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65" yWindow="525" windowWidth="12660" windowHeight="11640" tabRatio="727" firstSheet="23" activeTab="29"/>
  </bookViews>
  <sheets>
    <sheet name="1.1.sz.mell. " sheetId="1" r:id="rId1"/>
    <sheet name="1.2.sz.mell. " sheetId="2" r:id="rId2"/>
    <sheet name="1.3.sz.mell." sheetId="3" r:id="rId3"/>
    <sheet name="2.1.sz.mell " sheetId="4" r:id="rId4"/>
    <sheet name="2.2.sz.mell ." sheetId="5" r:id="rId5"/>
    <sheet name="6.sz.mell." sheetId="6" r:id="rId6"/>
    <sheet name="7.sz.mell." sheetId="7" r:id="rId7"/>
    <sheet name="8. sz. mell. " sheetId="8" r:id="rId8"/>
    <sheet name="9.1. sz. mell." sheetId="9" r:id="rId9"/>
    <sheet name="9.1.1. sz. mell. " sheetId="10" r:id="rId10"/>
    <sheet name="9.1.2. sz. mell." sheetId="11" r:id="rId11"/>
    <sheet name="9.2. sz. mell. " sheetId="12" r:id="rId12"/>
    <sheet name="9.2.2. sz.  mell" sheetId="13" r:id="rId13"/>
    <sheet name="9.3. sz. mell" sheetId="14" r:id="rId14"/>
    <sheet name="9.3.1. sz. mell EOI" sheetId="15" r:id="rId15"/>
    <sheet name="9.4. sz. mell EKIK" sheetId="16" r:id="rId16"/>
    <sheet name="9.4.1. sz. mell EKIK" sheetId="17" r:id="rId17"/>
    <sheet name="9.5. sz. mell VK" sheetId="18" r:id="rId18"/>
    <sheet name="9.5.1. sz. mell VK " sheetId="19" r:id="rId19"/>
    <sheet name="9.6. sz. mell Kornisné Kp." sheetId="20" r:id="rId20"/>
    <sheet name="9.6.1. sz. mell Kornisné Kp. " sheetId="21" r:id="rId21"/>
    <sheet name="9.6.2. sz. mell Kornisné Kp." sheetId="22" r:id="rId22"/>
    <sheet name="9.7. sz. mell TIB  " sheetId="23" r:id="rId23"/>
    <sheet name="9.7.1. sz. mell TIB  " sheetId="24" r:id="rId24"/>
    <sheet name="int.összesítő" sheetId="25" r:id="rId25"/>
    <sheet name="tartalék" sheetId="26" r:id="rId26"/>
    <sheet name="1.sz tájékoztató t " sheetId="27" r:id="rId27"/>
    <sheet name="4.sz tájékoztató t " sheetId="28" r:id="rId28"/>
    <sheet name="6.sz tájékoztató t " sheetId="29" r:id="rId29"/>
    <sheet name="feladatos Önk. " sheetId="30" r:id="rId30"/>
  </sheets>
  <externalReferences>
    <externalReference r:id="rId33"/>
    <externalReference r:id="rId34"/>
  </externalReferences>
  <definedNames>
    <definedName name="_xlfn.IFERROR" hidden="1">#NAME?</definedName>
    <definedName name="_xlnm.Print_Titles" localSheetId="8">'9.1. sz. mell.'!$1:$6</definedName>
    <definedName name="_xlnm.Print_Titles" localSheetId="9">'9.1.1. sz. mell. '!$1:$6</definedName>
    <definedName name="_xlnm.Print_Titles" localSheetId="10">'9.1.2. sz. mell.'!$1:$6</definedName>
    <definedName name="_xlnm.Print_Titles" localSheetId="11">'9.2. sz. mell. '!$1:$6</definedName>
    <definedName name="_xlnm.Print_Titles" localSheetId="12">'9.2.2. sz.  mell'!$1:$6</definedName>
    <definedName name="_xlnm.Print_Titles" localSheetId="13">'9.3. sz. mell'!$1:$6</definedName>
    <definedName name="_xlnm.Print_Titles" localSheetId="14">'9.3.1. sz. mell EOI'!$1:$6</definedName>
    <definedName name="_xlnm.Print_Titles" localSheetId="15">'9.4. sz. mell EKIK'!$1:$6</definedName>
    <definedName name="_xlnm.Print_Titles" localSheetId="16">'9.4.1. sz. mell EKIK'!$1:$6</definedName>
    <definedName name="_xlnm.Print_Titles" localSheetId="17">'9.5. sz. mell VK'!$1:$6</definedName>
    <definedName name="_xlnm.Print_Titles" localSheetId="18">'9.5.1. sz. mell VK '!$1:$6</definedName>
    <definedName name="_xlnm.Print_Titles" localSheetId="19">'9.6. sz. mell Kornisné Kp.'!$1:$6</definedName>
    <definedName name="_xlnm.Print_Titles" localSheetId="20">'9.6.1. sz. mell Kornisné Kp. '!$1:$6</definedName>
    <definedName name="_xlnm.Print_Titles" localSheetId="21">'9.6.2. sz. mell Kornisné Kp.'!$1:$6</definedName>
    <definedName name="_xlnm.Print_Titles" localSheetId="22">'9.7. sz. mell TIB  '!$1:$6</definedName>
    <definedName name="_xlnm.Print_Titles" localSheetId="23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'2.1.sz.mell '!$A$1:$E$32</definedName>
    <definedName name="_xlnm.Print_Area" localSheetId="8">'9.1. sz. mell.'!$A$1:$C$158</definedName>
  </definedNames>
  <calcPr fullCalcOnLoad="1"/>
</workbook>
</file>

<file path=xl/sharedStrings.xml><?xml version="1.0" encoding="utf-8"?>
<sst xmlns="http://schemas.openxmlformats.org/spreadsheetml/2006/main" count="4325" uniqueCount="743">
  <si>
    <t>Vis maior támogatás visszafizetése</t>
  </si>
  <si>
    <t>Kis értékű tárgyi eszköz beszerzés</t>
  </si>
  <si>
    <t>- Városi Kincstár</t>
  </si>
  <si>
    <t>- Egyesített Közművelődési Intézmény és Könyvtár</t>
  </si>
  <si>
    <t xml:space="preserve">  ebből: könyvtári könyvek</t>
  </si>
  <si>
    <t>- Kornisné Központ</t>
  </si>
  <si>
    <t>Minimanó Óvoda tetőszerkezetének részleges felújítása</t>
  </si>
  <si>
    <t>Fülemüle Óvoda tetőszerkezetének részleges szigetelése</t>
  </si>
  <si>
    <t>Tiszavasvári Egyesített Óvodai Intézmény</t>
  </si>
  <si>
    <t>Járóbetegek gyógyító szakellátása</t>
  </si>
  <si>
    <t>Intézmények megnevezése</t>
  </si>
  <si>
    <t>Tiszavasvári Egészségügyi Szolg. Kft.</t>
  </si>
  <si>
    <t>Magiszter Alapítvány támogatás</t>
  </si>
  <si>
    <t>Fizikoterápiás szolgáltatás</t>
  </si>
  <si>
    <t>Tervek készítése</t>
  </si>
  <si>
    <t>Karácsonyi díszbeszerzés</t>
  </si>
  <si>
    <t>Tiszavasvári, Sopron u. 2. kút tervezés</t>
  </si>
  <si>
    <t>Tiszavasvári, Sopron u. 1. kút vízóra beépítés</t>
  </si>
  <si>
    <t>Közfoglalkoztatási saját erő tartalék</t>
  </si>
  <si>
    <t>adatok: Ft-ban</t>
  </si>
  <si>
    <t>Közfoglalkoztatási támogatás visszafizetés</t>
  </si>
  <si>
    <t>Közutak üzemeltetése - Polgár Coop előtt padka javítás</t>
  </si>
  <si>
    <t>Pályázati tartalék - Kabay konyha rekonstrukció</t>
  </si>
  <si>
    <t>Pályázati önerő: közművelődés: 200 eFt, könyvtári: 200 eFt</t>
  </si>
  <si>
    <t>2016. évi módosított előirányzat</t>
  </si>
  <si>
    <t>Helyi adók</t>
  </si>
  <si>
    <t>Jövedelem adó</t>
  </si>
  <si>
    <t>Vagyoni típusú adók</t>
  </si>
  <si>
    <t xml:space="preserve">Hosszabb id. közfogl. </t>
  </si>
  <si>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</si>
  <si>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</si>
  <si>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</si>
  <si>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</si>
  <si>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</si>
  <si>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</si>
  <si>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</si>
  <si>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</si>
  <si>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</si>
  <si>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</si>
  <si>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</si>
  <si>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</si>
  <si>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</si>
  <si>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</si>
  <si>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</si>
  <si>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</si>
  <si>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</si>
  <si>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</si>
  <si>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</si>
  <si>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</si>
  <si>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</si>
  <si>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</si>
  <si>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</si>
  <si>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</si>
  <si>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</si>
  <si>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</si>
  <si>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</si>
  <si>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</si>
  <si>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</si>
  <si>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</si>
  <si>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</si>
  <si>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</si>
  <si>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</si>
  <si>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</si>
  <si>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</si>
  <si>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</si>
  <si>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</si>
  <si>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</si>
  <si>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</si>
  <si>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</si>
  <si>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</si>
  <si>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</si>
  <si>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</si>
  <si>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</si>
  <si>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</si>
  <si>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</si>
  <si>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</si>
  <si>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</si>
  <si>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</si>
  <si>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</si>
  <si>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</si>
  <si>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</si>
  <si>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</si>
  <si>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</si>
  <si>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</si>
  <si>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</si>
  <si>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</si>
  <si>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</si>
  <si>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</si>
  <si>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</si>
  <si>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</si>
  <si>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</si>
  <si>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</si>
  <si>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</si>
  <si>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</si>
  <si>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</si>
  <si>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</si>
  <si>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</si>
  <si>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</si>
  <si>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</si>
  <si>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</si>
  <si>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</si>
  <si>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</si>
  <si>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</si>
  <si>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</si>
  <si>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</si>
  <si>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</si>
  <si>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</si>
  <si>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</si>
  <si>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</si>
  <si>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</si>
  <si>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</si>
  <si>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</si>
  <si>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</si>
  <si>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</si>
  <si>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</si>
  <si>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</si>
  <si>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</si>
  <si>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</si>
  <si>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</si>
  <si>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</si>
  <si>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</si>
  <si>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</si>
  <si>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</si>
  <si>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</si>
  <si>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</si>
  <si>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</si>
  <si>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</si>
  <si>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</si>
  <si>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</si>
  <si>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</si>
  <si>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</si>
  <si>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</si>
  <si>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</si>
  <si>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</si>
  <si>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</si>
  <si>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</si>
  <si>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</si>
  <si>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</si>
  <si>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</si>
  <si>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</si>
  <si>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</si>
  <si>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</si>
  <si>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</si>
  <si>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</si>
  <si>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</si>
  <si>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</si>
  <si>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</si>
  <si>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</si>
  <si>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</si>
  <si>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</si>
  <si>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</si>
  <si>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</si>
  <si>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</si>
  <si>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</si>
  <si>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</si>
  <si>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</si>
  <si>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</si>
  <si>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</si>
  <si>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</si>
  <si>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</si>
  <si>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</si>
  <si>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</si>
  <si>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</si>
  <si>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</si>
  <si>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</si>
  <si>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</si>
  <si>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</si>
  <si>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</si>
  <si>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</si>
  <si>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</si>
  <si>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</si>
  <si>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</si>
  <si>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</si>
  <si>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</si>
  <si>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</si>
  <si>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</si>
  <si>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</si>
  <si>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</si>
  <si>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</si>
  <si>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</si>
  <si>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</si>
  <si>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</si>
  <si>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</si>
  <si>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</si>
  <si>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</si>
  <si>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</si>
  <si>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</si>
  <si>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</si>
  <si>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</si>
  <si>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</si>
  <si>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</si>
  <si>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</si>
  <si>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</si>
  <si>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</si>
  <si>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</si>
  <si>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</si>
  <si>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</si>
  <si>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</si>
  <si>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</si>
  <si>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</si>
  <si>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</si>
  <si>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</si>
  <si>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</si>
  <si>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</si>
  <si>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</si>
  <si>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</si>
  <si>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</si>
  <si>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</si>
  <si>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</si>
  <si>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</si>
  <si>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</si>
  <si>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</si>
  <si>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</si>
  <si>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</si>
  <si>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</si>
  <si>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</si>
  <si>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</si>
  <si>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</si>
  <si>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</si>
  <si>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</si>
  <si>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</si>
  <si>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</si>
  <si>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</si>
  <si>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</si>
  <si>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</si>
  <si>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</si>
  <si>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</si>
  <si>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</si>
  <si>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</si>
  <si>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</si>
  <si>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</si>
  <si>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</si>
  <si>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</si>
  <si>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</si>
  <si>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</si>
  <si>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</si>
  <si>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</si>
  <si>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</si>
  <si>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</si>
  <si>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</si>
  <si>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</si>
  <si>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</si>
  <si>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</si>
  <si>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</si>
  <si>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</si>
  <si>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</si>
  <si>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</si>
  <si>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</si>
  <si>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</si>
  <si>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</si>
  <si>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</si>
  <si>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</si>
  <si>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</si>
  <si>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</si>
  <si>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</si>
  <si>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</si>
  <si>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</si>
  <si>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</si>
  <si>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</si>
  <si>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</si>
  <si>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</si>
  <si>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</si>
  <si>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</si>
  <si>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</si>
  <si>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</si>
  <si>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</si>
  <si>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</si>
  <si>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</si>
  <si>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</si>
  <si>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</si>
  <si>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</si>
  <si>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</si>
  <si>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</si>
  <si>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</si>
  <si>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</si>
  <si>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</si>
  <si>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</si>
  <si>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</si>
  <si>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</si>
  <si>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</si>
  <si>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</si>
  <si>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</si>
  <si>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</si>
  <si>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</si>
  <si>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</si>
  <si>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</si>
  <si>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</si>
  <si>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</si>
  <si>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</si>
  <si>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</si>
  <si>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</si>
  <si>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</si>
  <si>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</si>
  <si>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</si>
  <si>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</si>
  <si>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</si>
  <si>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</si>
  <si>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</si>
  <si>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</si>
  <si>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</si>
  <si>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</si>
  <si>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</si>
  <si>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</si>
  <si>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</si>
  <si>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</si>
  <si>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</si>
  <si>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</si>
  <si>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</si>
  <si>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</si>
  <si>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</si>
  <si>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</si>
  <si>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</si>
  <si>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</si>
  <si>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</si>
  <si>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</si>
  <si>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</si>
  <si>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</si>
  <si>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</si>
  <si>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</si>
  <si>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</si>
  <si>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</si>
  <si>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</si>
  <si>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</si>
  <si>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</si>
  <si>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</si>
  <si>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</si>
  <si>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</si>
  <si>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</si>
  <si>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</si>
  <si>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</si>
  <si>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</si>
  <si>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</si>
  <si>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</si>
  <si>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</si>
  <si>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</si>
  <si>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</si>
  <si>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</si>
  <si>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</si>
  <si>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</si>
  <si>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</si>
  <si>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</si>
  <si>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</si>
  <si>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</si>
  <si>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</si>
  <si>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</si>
  <si>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</si>
  <si>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</si>
  <si>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</si>
  <si>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</si>
  <si>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</si>
  <si>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</si>
  <si>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</si>
  <si>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</si>
  <si>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</si>
  <si>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</si>
  <si>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</si>
  <si>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</si>
  <si>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</si>
  <si>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</si>
  <si>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</si>
  <si>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</si>
  <si>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</si>
  <si>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</si>
  <si>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</si>
  <si>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</si>
  <si>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</si>
  <si>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</si>
  <si>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</si>
  <si>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</si>
  <si>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</si>
  <si>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</si>
  <si>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</si>
  <si>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</si>
  <si>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</si>
  <si>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</si>
  <si>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</si>
  <si>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</si>
  <si>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</si>
  <si>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</si>
  <si>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</si>
  <si>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</si>
  <si>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</si>
  <si>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</si>
  <si>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</si>
  <si>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</si>
  <si>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</si>
  <si>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</si>
  <si>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</si>
  <si>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</si>
  <si>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</si>
  <si>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</si>
  <si>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</si>
  <si>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</si>
  <si>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</si>
  <si>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</si>
  <si>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</si>
  <si>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</si>
  <si>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</si>
  <si>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</si>
  <si>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</si>
  <si>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</si>
  <si>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</si>
  <si>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</si>
  <si>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</si>
  <si>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</si>
  <si>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</si>
  <si>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</si>
  <si>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</si>
  <si>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</si>
  <si>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</si>
  <si>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</si>
  <si>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</si>
  <si>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</si>
  <si>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</si>
  <si>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</si>
  <si>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>- Egyesített Óvodai Intézmény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</si>
  <si>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</si>
  <si>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</si>
  <si>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</si>
  <si>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</si>
  <si>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</si>
  <si>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</si>
  <si>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</si>
  <si>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</si>
  <si>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</si>
  <si>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</si>
  <si>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</si>
  <si>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</si>
  <si>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</si>
  <si>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</si>
  <si>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</si>
  <si>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</si>
  <si>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</si>
  <si>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</si>
  <si>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</si>
  <si>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</si>
  <si>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</si>
  <si>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</si>
  <si>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</si>
  <si>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</si>
  <si>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</si>
  <si>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</si>
  <si>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</si>
  <si>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</si>
  <si>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</si>
  <si>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</si>
  <si>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</si>
  <si>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</si>
  <si>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</si>
  <si>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</si>
  <si>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 xml:space="preserve">Sz-Sz-B-M-i Szilárdhulladék Társ. támogatása 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</si>
  <si>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</si>
  <si>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</si>
  <si>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</si>
  <si>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</si>
  <si>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</si>
  <si>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</si>
  <si>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</si>
  <si>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</si>
  <si>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</si>
  <si>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</si>
  <si>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</si>
  <si>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</si>
  <si>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</si>
  <si>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</si>
  <si>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</si>
  <si>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</si>
  <si>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</si>
  <si>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</si>
  <si>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</si>
  <si>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</si>
  <si>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</si>
  <si>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</si>
  <si>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</si>
  <si>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</si>
  <si>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</si>
  <si>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</si>
  <si>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</si>
  <si>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</si>
  <si>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</si>
  <si>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</si>
  <si>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</si>
  <si>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</si>
  <si>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</si>
  <si>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</si>
  <si>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</si>
  <si>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>Kiemelt állami és önkormányzati rendezvények</t>
  </si>
  <si>
    <t>Fertőző megbetegedések megelőzése</t>
  </si>
  <si>
    <t>Polgármesteri hivatal</t>
  </si>
  <si>
    <t>Tiszavasvári Sportegyesület TAO pályázat önerő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</si>
  <si>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</si>
  <si>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</si>
  <si>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</si>
  <si>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</si>
  <si>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</si>
  <si>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</si>
  <si>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</si>
  <si>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</si>
  <si>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</si>
  <si>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</si>
  <si>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</si>
  <si>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</si>
  <si>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</si>
  <si>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</si>
  <si>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</si>
  <si>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</si>
  <si>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</si>
  <si>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</si>
  <si>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</si>
  <si>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</si>
  <si>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</si>
  <si>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</si>
  <si>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</si>
  <si>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</si>
  <si>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</si>
  <si>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</si>
  <si>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</si>
  <si>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</si>
  <si>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</si>
  <si>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</si>
  <si>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</si>
  <si>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</si>
  <si>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</si>
  <si>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</si>
  <si>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</si>
  <si>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</si>
  <si>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</si>
  <si>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</si>
  <si>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</si>
  <si>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</si>
  <si>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</si>
  <si>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</si>
  <si>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</si>
  <si>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</si>
  <si>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</si>
  <si>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</si>
  <si>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</si>
  <si>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</si>
  <si>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</si>
  <si>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</si>
  <si>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</si>
  <si>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</si>
  <si>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</si>
  <si>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</si>
  <si>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</si>
  <si>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</si>
  <si>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</si>
  <si>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</si>
  <si>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</si>
  <si>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</si>
  <si>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</si>
  <si>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</si>
  <si>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</si>
  <si>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</si>
  <si>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</si>
  <si>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</si>
  <si>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</si>
  <si>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</si>
  <si>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</si>
  <si>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</si>
  <si>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</si>
  <si>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</si>
  <si>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</si>
  <si>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</si>
  <si>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</si>
  <si>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</si>
  <si>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</si>
  <si>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</si>
  <si>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</si>
  <si>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</si>
  <si>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</si>
  <si>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</si>
  <si>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</si>
  <si>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</si>
  <si>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</si>
  <si>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</si>
  <si>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</si>
  <si>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</si>
  <si>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</si>
  <si>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</si>
  <si>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</si>
  <si>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</si>
  <si>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</si>
  <si>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</si>
  <si>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</si>
  <si>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</si>
  <si>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</si>
  <si>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</si>
  <si>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</si>
  <si>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</si>
  <si>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</si>
  <si>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 xml:space="preserve"> Értékesítési és forgalmi adók</t>
  </si>
  <si>
    <t>Jövedelemadó</t>
  </si>
  <si>
    <t>4.3</t>
  </si>
  <si>
    <t>4.5.</t>
  </si>
  <si>
    <t>Értékesítési és forgalmi adók</t>
  </si>
  <si>
    <t>GIOP 5.2.1-14 pályázat keretében foglalkoztatottak létszáma (fő)</t>
  </si>
  <si>
    <t>Gyakorlati képz. - szoc. gondozó és ápoló (fő)</t>
  </si>
  <si>
    <t>NRSZH pályázat - megvált. munkakép. fogl.létszám (fő)</t>
  </si>
  <si>
    <t>Maradvány</t>
  </si>
  <si>
    <t>Zöldliget áram kiépítés</t>
  </si>
  <si>
    <t>Közvilágítási hálózat fejlesztés</t>
  </si>
  <si>
    <t>Rászoruló étkeztetési céltartalék</t>
  </si>
  <si>
    <t>Talaj és talajvíz szennyeződésmentesítése</t>
  </si>
  <si>
    <t>Út-, autópálya építés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</si>
  <si>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</si>
  <si>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</si>
  <si>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</si>
  <si>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</si>
  <si>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</si>
  <si>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</si>
  <si>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</si>
  <si>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</si>
  <si>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</si>
  <si>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</si>
  <si>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</si>
  <si>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</si>
  <si>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</si>
  <si>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2017. évi előirányzat</t>
  </si>
  <si>
    <t>2017</t>
  </si>
  <si>
    <t>Felhasználás
2016. XII.31-ig</t>
  </si>
  <si>
    <t xml:space="preserve">
2017. év utáni szükséglet
</t>
  </si>
  <si>
    <t>2017. év utáni szükséglet
(6=2 - 4 - 5)</t>
  </si>
  <si>
    <t>Önkormányzaton kívüli EU-s projektekhez történő hozzájárulás 2017. évi előirányzat</t>
  </si>
  <si>
    <t xml:space="preserve">2017. évi költségvetése </t>
  </si>
  <si>
    <t xml:space="preserve">2017. évi költségvetésében rendelkezésre álló tartalékok </t>
  </si>
  <si>
    <t>Előirányzat-felhasználási terv
2017 évre</t>
  </si>
  <si>
    <t>K I M U T A T Á S
a 2017. évben céljelleggel juttatott támogatásokról</t>
  </si>
  <si>
    <t>Az önkormányzat 2017. évi költségvetésének</t>
  </si>
  <si>
    <t>Egyesített Közművelédési Intérmény és Könyvtár</t>
  </si>
  <si>
    <t>2017 év</t>
  </si>
  <si>
    <t>2017. év</t>
  </si>
  <si>
    <t>Forintban</t>
  </si>
  <si>
    <t>Forintban !</t>
  </si>
  <si>
    <t xml:space="preserve">Kornisné Központban fűtéskorszerüsítés </t>
  </si>
  <si>
    <t>Petőfi utca járda építés és tervezés</t>
  </si>
  <si>
    <t>Pongrátz Gergely szobor</t>
  </si>
  <si>
    <t>Kabay konyha felújítás</t>
  </si>
  <si>
    <t>Közlekedési táblák beszerzése</t>
  </si>
  <si>
    <t>Kossuth L. utca 3. 1/6. - villany és fűtés felújítás</t>
  </si>
  <si>
    <t>Vasvári P. utca 6. lépcsőházi ablakcsere</t>
  </si>
  <si>
    <t>Extrém sportpályán 1 elem felújítás</t>
  </si>
  <si>
    <t>Vadkamera beszerzés</t>
  </si>
  <si>
    <t>Kamera rendszer kiépítés</t>
  </si>
  <si>
    <t>Játszótéri eszközök létesítése</t>
  </si>
  <si>
    <t>Kábítószerügyi Egyeztető Fórum egyéb tárgyi eszk. besz.</t>
  </si>
  <si>
    <t>Gyalogátkelőhely kivitelezés + megvilágítás</t>
  </si>
  <si>
    <t>TÁJÉKOZTATÓ TÁBLA                 Forintban !</t>
  </si>
  <si>
    <t xml:space="preserve"> Forintban !</t>
  </si>
  <si>
    <t>Olimpia Barátok Köre</t>
  </si>
  <si>
    <t>Szennyvíz rákötés</t>
  </si>
  <si>
    <t>Önkormányzati vagyonnal való gazd. (Pályázatok)</t>
  </si>
  <si>
    <t>Oktatás, közművelődés</t>
  </si>
  <si>
    <t>Gyermekek átmeneti ellátása</t>
  </si>
  <si>
    <t>Közfoglalkotatási mintaprogramok</t>
  </si>
  <si>
    <t>Önk</t>
  </si>
  <si>
    <t>PH</t>
  </si>
  <si>
    <t>INT</t>
  </si>
  <si>
    <t>Forintban!</t>
  </si>
  <si>
    <t>Hozzájárulás  (Ft)</t>
  </si>
  <si>
    <t>Egyesített Közműv. Int. és Könyv.</t>
  </si>
  <si>
    <t>- Üdülő VKT bevétel terhére kiadási tartalék</t>
  </si>
  <si>
    <t>2017. előtt</t>
  </si>
  <si>
    <t>2017 után</t>
  </si>
  <si>
    <t>Beruházási tartalék</t>
  </si>
  <si>
    <t>Udvari játéktároló beszerzés (Egyesített Óvodai Int.)</t>
  </si>
  <si>
    <t>Irattári szekrény készítés (Városi Kincstár)</t>
  </si>
  <si>
    <t>1 db nyomtató-fénymásoló beszerzés (EKIK)</t>
  </si>
  <si>
    <t>1 db EKG készülék vásárlás  (Kornisné Központ)</t>
  </si>
  <si>
    <t>1 db gépkocsi vásárlás fogyatékos ellátásra (Kornisné)</t>
  </si>
  <si>
    <t>1 db elektromos sütő (Tiszavasvári Bölcsőde)</t>
  </si>
  <si>
    <t>Falikép vásárlása (Polg.hiv.)</t>
  </si>
  <si>
    <t>Függöny vásárlás (Polg. Hiv.)</t>
  </si>
  <si>
    <t>Klíma (Polg. Hiv.)</t>
  </si>
  <si>
    <t>Szék/Bútor (Polg. Hiv.)</t>
  </si>
  <si>
    <t>Vasajtó (Polg. Hiv.)</t>
  </si>
  <si>
    <t>Iratmegsemmisítő (Polg. Hiv.)</t>
  </si>
  <si>
    <t>Sinology NAS + 2db merevlemez (Polg. Hiv.)</t>
  </si>
  <si>
    <t>Notebook (Polg. Hiv.)</t>
  </si>
  <si>
    <t>Multif. nyomtató (Polg. Hiv.)</t>
  </si>
  <si>
    <t>Class ranger felújítás (Városi Kincstár)</t>
  </si>
  <si>
    <t>EU-s projekt neve, azonosítója: A Tiszavasvári Kabay-konyha korszerűsítése és agrárlogisztikai pont kialakítása, TOP-1.1.3-15-SB1-2016-00033</t>
  </si>
  <si>
    <t>Víziközmű rendszeren végrehajtandó beruházás</t>
  </si>
  <si>
    <t>Víziközmű rendszeren végrehajtandó felújítás</t>
  </si>
  <si>
    <t>Fotocellás ajtó (2016 évről áth. Beruházás Kornisné)</t>
  </si>
  <si>
    <t>2016</t>
  </si>
  <si>
    <t>1 db fagyasztóláda (Tiszavasvári Bölcsőde)</t>
  </si>
  <si>
    <t>Tiszavasvári Egészségügyi Szolg. Kft. (röntgen gép)</t>
  </si>
  <si>
    <t>ASP pályázat - informatikai eszköz beszerzés</t>
  </si>
  <si>
    <t>Belvíz rendszer kiépítése</t>
  </si>
  <si>
    <t>Nyíri mezőség progr. ker. turisztikai fejlesztés</t>
  </si>
  <si>
    <t>Sportcsarnok kisértékű tárgyi eszköz beszerzés</t>
  </si>
  <si>
    <t>8 db mobiltelefon besz. (Kornisné Központ)</t>
  </si>
  <si>
    <t>EU-s projekt neve, azonosítója: Tiszavasvári város infrastruktúra fejlesztése, lakóterület belvíz mentesítése, TOP-2.1.3-15-SB1-2016-00024</t>
  </si>
  <si>
    <t>Kornisné fűtés korszerűsítési tartalék</t>
  </si>
  <si>
    <t>Belvíz pályázat tartalék</t>
  </si>
  <si>
    <t>Turizmus fejlesztési támogatások és tevékenységek</t>
  </si>
  <si>
    <t>Minimanó Óvoda részleges felújítása</t>
  </si>
  <si>
    <t>Tiszavasvári, Sopron u. 1. kút tervdokumentáció</t>
  </si>
  <si>
    <t xml:space="preserve">Komplex energetikai fejl. Tiszavasváriban </t>
  </si>
  <si>
    <t>Mezőőri szolgálat gépjárműbeszerzés</t>
  </si>
  <si>
    <t>Mártírok u. 7. szennyvízrendszer csatlakoztatás</t>
  </si>
  <si>
    <t>Kisértékű inf.eszk. beszerzés</t>
  </si>
  <si>
    <t>Kisértékű tárgyi eszköz beszerzés</t>
  </si>
  <si>
    <t>- Tiszavasvári bölcsőde</t>
  </si>
  <si>
    <t>Könyvtári érd.tám.-ból beszerzés (EKIK)</t>
  </si>
  <si>
    <t>Táborral kapcsolatos beszerzések (EKIK)</t>
  </si>
  <si>
    <t>Gyakorlati képz.kis.tárgy.esz.besz (Kornisné Központ)</t>
  </si>
  <si>
    <t>2 db villanybojler (Kornisné Központ)</t>
  </si>
  <si>
    <t>Minimanó Óvoda 4 db előtető felújítása</t>
  </si>
  <si>
    <t>Belterületi utak felújítása</t>
  </si>
  <si>
    <t>Nyírségi Szakképzés-szervezési Kft.</t>
  </si>
  <si>
    <t>Nyírvidék Kft. Támogatás</t>
  </si>
  <si>
    <t>Útépítés környezetvédelmi alapból+saját erő</t>
  </si>
  <si>
    <t>Mezőőri szolgálat egyéb tárgyi eszköz beszerzése</t>
  </si>
  <si>
    <t>Meghibásodott fólia+sátor pótlása Sopron u.</t>
  </si>
  <si>
    <t>Kisértékű tárgyieszköz beszerzés ei. emelése (EKIK)</t>
  </si>
  <si>
    <t>EFOP-3.2.9-16 kódsz. Pály. Beruh.kiad. (Kornisné)</t>
  </si>
  <si>
    <t>Letéti pénzkezelő program beszerzés (Kornisné)</t>
  </si>
  <si>
    <t>Varázsceruza óvaóda elektromos felújítás 3. ütem</t>
  </si>
  <si>
    <t>Varázsceruza óvaóda elektromos felújítás 4. ütem</t>
  </si>
  <si>
    <t>Váci Mihály Gimnázium épületének energetikai korszerűsítése</t>
  </si>
  <si>
    <t>EFOP 3.2.9-16 pályázat keretében foglalkoztatottak létszáma (fő)</t>
  </si>
  <si>
    <t xml:space="preserve">- Temető üzemeltetési tartalék: 0 eFt Sírbolt értékesítés: 5.000 eFt </t>
  </si>
  <si>
    <t>Támogatási tartalék ( EÜ Kft )</t>
  </si>
  <si>
    <t>Váci Mihály Gimnázium energetikai korszerűsítés</t>
  </si>
  <si>
    <t>Tiva-Szolg temető működtetési támogatás</t>
  </si>
  <si>
    <t>Tiszalökért Alapítvány - Tiszalöki mentőáll.tám</t>
  </si>
  <si>
    <t>- Felhalmozási támogatás</t>
  </si>
  <si>
    <t>Halgatói és oktatói ösztöndíjak</t>
  </si>
  <si>
    <t>Köztemető fenntartás és működtetés</t>
  </si>
  <si>
    <t>Nyomtató beszerzés (Egyesített Óvodai Int.)</t>
  </si>
  <si>
    <t>2 db számítógép beszerzése (Városi Kincstár)</t>
  </si>
  <si>
    <t>Plexi dobozok beszerzése (EKIK-Múzeum)</t>
  </si>
  <si>
    <t>Könyvtári könyvek beszerzése Szja 1 %-ának felajánlásából</t>
  </si>
  <si>
    <t>Boldogabb Családokért Alapítvány támogatásából megvalósuló beruházások (Kornisné Központ)</t>
  </si>
  <si>
    <t>Közfoglalkoztatás betuházásai</t>
  </si>
  <si>
    <t>Lektori lakás - bojler pótlás</t>
  </si>
  <si>
    <t>Tiszavasvári Egészségügyi Szolg. Kft. (pályázat, megv tan.)</t>
  </si>
  <si>
    <t>34.</t>
  </si>
  <si>
    <t>Tiszavasvári Egészségügyi Szolg. Kft. (saját tőke vissz.)</t>
  </si>
  <si>
    <t>Dr. Tolna Klári háziorvosi praxis műk.tám.</t>
  </si>
  <si>
    <t>Magyar Vöröskereszt Tiszavasvári szervezete</t>
  </si>
</sst>
</file>

<file path=xl/styles.xml><?xml version="1.0" encoding="utf-8"?>
<styleSheet xmlns="http://schemas.openxmlformats.org/spreadsheetml/2006/main">
  <numFmts count="4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#,##0.0"/>
    <numFmt numFmtId="181" formatCode="0.0%"/>
    <numFmt numFmtId="182" formatCode="_-* #,##0.0\ _F_t_-;\-* #,##0.0\ _F_t_-;_-* &quot;-&quot;??\ _F_t_-;_-@_-"/>
    <numFmt numFmtId="183" formatCode="#,##0&quot;eFt&quot;"/>
    <numFmt numFmtId="184" formatCode="#,##0&quot; eFt&quot;"/>
    <numFmt numFmtId="185" formatCode="0.0"/>
    <numFmt numFmtId="186" formatCode="_-* #,##0.000\ _F_t_-;\-* #,##0.000\ _F_t_-;_-* &quot;-&quot;??\ _F_t_-;_-@_-"/>
    <numFmt numFmtId="187" formatCode="_-* #,##0.0000\ _F_t_-;\-* #,##0.0000\ _F_t_-;_-* &quot;-&quot;??\ _F_t_-;_-@_-"/>
    <numFmt numFmtId="188" formatCode="_-* #,##0.0\ _F_t_-;\-* #,##0.0\ _F_t_-;_-* &quot;-&quot;?\ _F_t_-;_-@_-"/>
    <numFmt numFmtId="189" formatCode="&quot;H-&quot;0000"/>
    <numFmt numFmtId="190" formatCode="0.000"/>
    <numFmt numFmtId="191" formatCode="#,##0_ ;\-#,##0\ "/>
    <numFmt numFmtId="192" formatCode="#,##0\f\ő"/>
    <numFmt numFmtId="193" formatCode="#,##0,\f\ő"/>
    <numFmt numFmtId="194" formatCode="#,##0.0,\f\ő"/>
    <numFmt numFmtId="195" formatCode="#,##0.0\f\ő"/>
    <numFmt numFmtId="196" formatCode="mmm/yyyy"/>
    <numFmt numFmtId="197" formatCode="#,##0.00\f\ő"/>
    <numFmt numFmtId="198" formatCode="#,##0.00\ _F_t"/>
    <numFmt numFmtId="199" formatCode="0&quot;.&quot;"/>
    <numFmt numFmtId="200" formatCode="#,##0.000"/>
  </numFmts>
  <fonts count="11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i/>
      <sz val="8"/>
      <name val="Times New Roman CE"/>
      <family val="0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sz val="8"/>
      <color indexed="10"/>
      <name val="Times New Roman CE"/>
      <family val="0"/>
    </font>
    <font>
      <sz val="10"/>
      <color indexed="8"/>
      <name val="Times New Roman CE"/>
      <family val="0"/>
    </font>
    <font>
      <sz val="9"/>
      <color indexed="8"/>
      <name val="Times New Roman"/>
      <family val="1"/>
    </font>
    <font>
      <b/>
      <sz val="9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 CE"/>
      <family val="1"/>
    </font>
    <font>
      <i/>
      <sz val="10"/>
      <color indexed="8"/>
      <name val="Times New Roman CE"/>
      <family val="0"/>
    </font>
    <font>
      <sz val="11"/>
      <color indexed="8"/>
      <name val="Times New Roman CE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  <font>
      <sz val="8"/>
      <color rgb="FFFF0000"/>
      <name val="Times New Roman CE"/>
      <family val="0"/>
    </font>
    <font>
      <b/>
      <sz val="8"/>
      <color theme="1"/>
      <name val="Times New Roman CE"/>
      <family val="0"/>
    </font>
    <font>
      <sz val="10"/>
      <color theme="1"/>
      <name val="Times New Roman CE"/>
      <family val="0"/>
    </font>
    <font>
      <sz val="8"/>
      <color theme="1"/>
      <name val="Times New Roman CE"/>
      <family val="1"/>
    </font>
    <font>
      <b/>
      <sz val="10"/>
      <color theme="1"/>
      <name val="Times New Roman CE"/>
      <family val="0"/>
    </font>
    <font>
      <sz val="9"/>
      <color theme="1"/>
      <name val="Times New Roman CE"/>
      <family val="0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 CE"/>
      <family val="1"/>
    </font>
    <font>
      <i/>
      <sz val="10"/>
      <color theme="1"/>
      <name val="Times New Roman CE"/>
      <family val="0"/>
    </font>
    <font>
      <sz val="11"/>
      <color theme="1"/>
      <name val="Times New Roman CE"/>
      <family val="1"/>
    </font>
    <font>
      <sz val="10"/>
      <color rgb="FFFF0000"/>
      <name val="Times New Roman CE"/>
      <family val="1"/>
    </font>
    <font>
      <b/>
      <sz val="10"/>
      <color rgb="FFFF0000"/>
      <name val="Times New Roman CE"/>
      <family val="0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 CE"/>
      <family val="1"/>
    </font>
    <font>
      <b/>
      <sz val="9"/>
      <color rgb="FFFF0000"/>
      <name val="Times New Roman CE"/>
      <family val="0"/>
    </font>
    <font>
      <sz val="9"/>
      <color theme="1"/>
      <name val="Times New Roman"/>
      <family val="1"/>
    </font>
    <font>
      <b/>
      <sz val="9"/>
      <color theme="1"/>
      <name val="Times New Roman CE"/>
      <family val="1"/>
    </font>
    <font>
      <b/>
      <i/>
      <sz val="10"/>
      <color theme="1"/>
      <name val="Times New Roman CE"/>
      <family val="1"/>
    </font>
  </fonts>
  <fills count="4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5" fillId="0" borderId="0">
      <alignment/>
      <protection/>
    </xf>
    <xf numFmtId="0" fontId="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7" borderId="7" applyNumberFormat="0" applyFont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86" fillId="34" borderId="0" applyNumberFormat="0" applyBorder="0" applyAlignment="0" applyProtection="0"/>
    <xf numFmtId="0" fontId="87" fillId="35" borderId="8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6" fillId="0" borderId="0">
      <alignment/>
      <protection/>
    </xf>
    <xf numFmtId="0" fontId="9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36" borderId="0" applyNumberFormat="0" applyBorder="0" applyAlignment="0" applyProtection="0"/>
    <xf numFmtId="0" fontId="92" fillId="37" borderId="0" applyNumberFormat="0" applyBorder="0" applyAlignment="0" applyProtection="0"/>
    <xf numFmtId="0" fontId="93" fillId="35" borderId="1" applyNumberFormat="0" applyAlignment="0" applyProtection="0"/>
    <xf numFmtId="9" fontId="0" fillId="0" borderId="0" applyFont="0" applyFill="0" applyBorder="0" applyAlignment="0" applyProtection="0"/>
  </cellStyleXfs>
  <cellXfs count="906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75" applyFont="1" applyFill="1" applyBorder="1" applyAlignment="1" applyProtection="1">
      <alignment horizontal="center" vertical="center" wrapText="1"/>
      <protection/>
    </xf>
    <xf numFmtId="0" fontId="5" fillId="0" borderId="0" xfId="75" applyFont="1" applyFill="1" applyBorder="1" applyAlignment="1" applyProtection="1">
      <alignment vertical="center" wrapText="1"/>
      <protection/>
    </xf>
    <xf numFmtId="0" fontId="14" fillId="0" borderId="10" xfId="75" applyFont="1" applyFill="1" applyBorder="1" applyAlignment="1" applyProtection="1">
      <alignment horizontal="left" vertical="center" wrapText="1" indent="1"/>
      <protection/>
    </xf>
    <xf numFmtId="0" fontId="14" fillId="0" borderId="11" xfId="75" applyFont="1" applyFill="1" applyBorder="1" applyAlignment="1" applyProtection="1">
      <alignment horizontal="left" vertical="center" wrapText="1" indent="1"/>
      <protection/>
    </xf>
    <xf numFmtId="0" fontId="14" fillId="0" borderId="12" xfId="75" applyFont="1" applyFill="1" applyBorder="1" applyAlignment="1" applyProtection="1">
      <alignment horizontal="left" vertical="center" wrapText="1" indent="1"/>
      <protection/>
    </xf>
    <xf numFmtId="0" fontId="14" fillId="0" borderId="13" xfId="75" applyFont="1" applyFill="1" applyBorder="1" applyAlignment="1" applyProtection="1">
      <alignment horizontal="left" vertical="center" wrapText="1" indent="1"/>
      <protection/>
    </xf>
    <xf numFmtId="0" fontId="14" fillId="0" borderId="14" xfId="75" applyFont="1" applyFill="1" applyBorder="1" applyAlignment="1" applyProtection="1">
      <alignment horizontal="left" vertical="center" wrapText="1" indent="1"/>
      <protection/>
    </xf>
    <xf numFmtId="0" fontId="14" fillId="0" borderId="15" xfId="75" applyFont="1" applyFill="1" applyBorder="1" applyAlignment="1" applyProtection="1">
      <alignment horizontal="left" vertical="center" wrapText="1" indent="1"/>
      <protection/>
    </xf>
    <xf numFmtId="49" fontId="14" fillId="0" borderId="16" xfId="75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75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75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75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75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75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75" applyFont="1" applyFill="1" applyBorder="1" applyAlignment="1" applyProtection="1">
      <alignment horizontal="left" vertical="center" wrapText="1" indent="1"/>
      <protection/>
    </xf>
    <xf numFmtId="0" fontId="12" fillId="0" borderId="22" xfId="75" applyFont="1" applyFill="1" applyBorder="1" applyAlignment="1" applyProtection="1">
      <alignment horizontal="left" vertical="center" wrapText="1" indent="1"/>
      <protection/>
    </xf>
    <xf numFmtId="0" fontId="12" fillId="0" borderId="23" xfId="75" applyFont="1" applyFill="1" applyBorder="1" applyAlignment="1" applyProtection="1">
      <alignment horizontal="left" vertical="center" wrapText="1" indent="1"/>
      <protection/>
    </xf>
    <xf numFmtId="0" fontId="12" fillId="0" borderId="24" xfId="75" applyFont="1" applyFill="1" applyBorder="1" applyAlignment="1" applyProtection="1">
      <alignment horizontal="left" vertical="center" wrapText="1" indent="1"/>
      <protection/>
    </xf>
    <xf numFmtId="0" fontId="6" fillId="0" borderId="22" xfId="75" applyFont="1" applyFill="1" applyBorder="1" applyAlignment="1" applyProtection="1">
      <alignment horizontal="center" vertical="center" wrapText="1"/>
      <protection/>
    </xf>
    <xf numFmtId="0" fontId="6" fillId="0" borderId="23" xfId="75" applyFont="1" applyFill="1" applyBorder="1" applyAlignment="1" applyProtection="1">
      <alignment horizontal="center" vertical="center" wrapText="1"/>
      <protection/>
    </xf>
    <xf numFmtId="0" fontId="12" fillId="0" borderId="23" xfId="75" applyFont="1" applyFill="1" applyBorder="1" applyAlignment="1" applyProtection="1">
      <alignment vertical="center" wrapText="1"/>
      <protection/>
    </xf>
    <xf numFmtId="0" fontId="12" fillId="0" borderId="25" xfId="75" applyFont="1" applyFill="1" applyBorder="1" applyAlignment="1" applyProtection="1">
      <alignment vertical="center" wrapText="1"/>
      <protection/>
    </xf>
    <xf numFmtId="0" fontId="14" fillId="0" borderId="13" xfId="0" applyFont="1" applyBorder="1" applyAlignment="1" applyProtection="1">
      <alignment horizontal="left" vertical="center" indent="1"/>
      <protection locked="0"/>
    </xf>
    <xf numFmtId="3" fontId="14" fillId="0" borderId="26" xfId="0" applyNumberFormat="1" applyFont="1" applyBorder="1" applyAlignment="1" applyProtection="1">
      <alignment horizontal="right" vertical="center" indent="1"/>
      <protection locked="0"/>
    </xf>
    <xf numFmtId="0" fontId="14" fillId="0" borderId="11" xfId="0" applyFont="1" applyBorder="1" applyAlignment="1" applyProtection="1">
      <alignment horizontal="left" vertical="center" indent="1"/>
      <protection locked="0"/>
    </xf>
    <xf numFmtId="3" fontId="14" fillId="0" borderId="27" xfId="0" applyNumberFormat="1" applyFont="1" applyBorder="1" applyAlignment="1" applyProtection="1">
      <alignment horizontal="righ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0" fontId="12" fillId="0" borderId="22" xfId="75" applyFont="1" applyFill="1" applyBorder="1" applyAlignment="1" applyProtection="1">
      <alignment horizontal="center" vertical="center" wrapText="1"/>
      <protection/>
    </xf>
    <xf numFmtId="0" fontId="12" fillId="0" borderId="23" xfId="75" applyFont="1" applyFill="1" applyBorder="1" applyAlignment="1" applyProtection="1">
      <alignment horizontal="center" vertical="center" wrapText="1"/>
      <protection/>
    </xf>
    <xf numFmtId="0" fontId="12" fillId="0" borderId="28" xfId="75" applyFont="1" applyFill="1" applyBorder="1" applyAlignment="1" applyProtection="1">
      <alignment horizontal="center" vertical="center" wrapText="1"/>
      <protection/>
    </xf>
    <xf numFmtId="0" fontId="6" fillId="0" borderId="23" xfId="77" applyFont="1" applyFill="1" applyBorder="1" applyAlignment="1" applyProtection="1">
      <alignment horizontal="left" vertical="center" indent="1"/>
      <protection/>
    </xf>
    <xf numFmtId="0" fontId="6" fillId="0" borderId="28" xfId="75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right" wrapText="1"/>
      <protection/>
    </xf>
    <xf numFmtId="172" fontId="6" fillId="0" borderId="28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3" fillId="0" borderId="0" xfId="0" applyNumberFormat="1" applyFont="1" applyFill="1" applyAlignment="1">
      <alignment vertical="center" wrapText="1"/>
    </xf>
    <xf numFmtId="172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vertical="center" wrapText="1"/>
    </xf>
    <xf numFmtId="172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4" fillId="0" borderId="31" xfId="0" applyNumberFormat="1" applyFont="1" applyFill="1" applyBorder="1" applyAlignment="1" applyProtection="1">
      <alignment horizontal="right" vertical="center" indent="1"/>
      <protection locked="0"/>
    </xf>
    <xf numFmtId="3" fontId="14" fillId="0" borderId="13" xfId="0" applyNumberFormat="1" applyFont="1" applyFill="1" applyBorder="1" applyAlignment="1" applyProtection="1">
      <alignment vertical="center"/>
      <protection locked="0"/>
    </xf>
    <xf numFmtId="3" fontId="19" fillId="0" borderId="11" xfId="0" applyNumberFormat="1" applyFont="1" applyFill="1" applyBorder="1" applyAlignment="1" applyProtection="1">
      <alignment vertical="center"/>
      <protection locked="0"/>
    </xf>
    <xf numFmtId="3" fontId="14" fillId="0" borderId="11" xfId="0" applyNumberFormat="1" applyFont="1" applyFill="1" applyBorder="1" applyAlignment="1" applyProtection="1">
      <alignment vertical="center"/>
      <protection locked="0"/>
    </xf>
    <xf numFmtId="49" fontId="14" fillId="0" borderId="19" xfId="0" applyNumberFormat="1" applyFont="1" applyFill="1" applyBorder="1" applyAlignment="1" applyProtection="1">
      <alignment vertical="center"/>
      <protection locked="0"/>
    </xf>
    <xf numFmtId="3" fontId="14" fillId="0" borderId="15" xfId="0" applyNumberFormat="1" applyFont="1" applyFill="1" applyBorder="1" applyAlignment="1" applyProtection="1">
      <alignment vertical="center"/>
      <protection locked="0"/>
    </xf>
    <xf numFmtId="49" fontId="14" fillId="0" borderId="17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0" xfId="77" applyFill="1" applyProtection="1">
      <alignment/>
      <protection/>
    </xf>
    <xf numFmtId="0" fontId="14" fillId="0" borderId="22" xfId="77" applyFont="1" applyFill="1" applyBorder="1" applyAlignment="1" applyProtection="1">
      <alignment horizontal="left" vertical="center" indent="1"/>
      <protection/>
    </xf>
    <xf numFmtId="0" fontId="2" fillId="0" borderId="0" xfId="77" applyFill="1" applyAlignment="1" applyProtection="1">
      <alignment vertical="center"/>
      <protection/>
    </xf>
    <xf numFmtId="0" fontId="14" fillId="0" borderId="16" xfId="77" applyFont="1" applyFill="1" applyBorder="1" applyAlignment="1" applyProtection="1">
      <alignment horizontal="left" vertical="center" indent="1"/>
      <protection/>
    </xf>
    <xf numFmtId="0" fontId="14" fillId="0" borderId="17" xfId="77" applyFont="1" applyFill="1" applyBorder="1" applyAlignment="1" applyProtection="1">
      <alignment horizontal="left" vertical="center" indent="1"/>
      <protection/>
    </xf>
    <xf numFmtId="172" fontId="14" fillId="0" borderId="11" xfId="77" applyNumberFormat="1" applyFont="1" applyFill="1" applyBorder="1" applyAlignment="1" applyProtection="1">
      <alignment vertical="center"/>
      <protection locked="0"/>
    </xf>
    <xf numFmtId="0" fontId="2" fillId="0" borderId="0" xfId="77" applyFill="1" applyAlignment="1" applyProtection="1">
      <alignment vertical="center"/>
      <protection locked="0"/>
    </xf>
    <xf numFmtId="172" fontId="12" fillId="0" borderId="23" xfId="77" applyNumberFormat="1" applyFont="1" applyFill="1" applyBorder="1" applyAlignment="1" applyProtection="1">
      <alignment vertical="center"/>
      <protection/>
    </xf>
    <xf numFmtId="172" fontId="12" fillId="0" borderId="28" xfId="77" applyNumberFormat="1" applyFont="1" applyFill="1" applyBorder="1" applyAlignment="1" applyProtection="1">
      <alignment vertical="center"/>
      <protection/>
    </xf>
    <xf numFmtId="0" fontId="14" fillId="0" borderId="18" xfId="77" applyFont="1" applyFill="1" applyBorder="1" applyAlignment="1" applyProtection="1">
      <alignment horizontal="left" vertical="center" indent="1"/>
      <protection/>
    </xf>
    <xf numFmtId="0" fontId="12" fillId="0" borderId="22" xfId="77" applyFont="1" applyFill="1" applyBorder="1" applyAlignment="1" applyProtection="1">
      <alignment horizontal="left" vertical="center" indent="1"/>
      <protection/>
    </xf>
    <xf numFmtId="172" fontId="12" fillId="0" borderId="23" xfId="77" applyNumberFormat="1" applyFont="1" applyFill="1" applyBorder="1" applyProtection="1">
      <alignment/>
      <protection/>
    </xf>
    <xf numFmtId="172" fontId="12" fillId="0" borderId="28" xfId="77" applyNumberFormat="1" applyFont="1" applyFill="1" applyBorder="1" applyProtection="1">
      <alignment/>
      <protection/>
    </xf>
    <xf numFmtId="0" fontId="2" fillId="0" borderId="0" xfId="77" applyFill="1" applyProtection="1">
      <alignment/>
      <protection locked="0"/>
    </xf>
    <xf numFmtId="0" fontId="0" fillId="0" borderId="0" xfId="77" applyFont="1" applyFill="1" applyProtection="1">
      <alignment/>
      <protection/>
    </xf>
    <xf numFmtId="0" fontId="20" fillId="0" borderId="0" xfId="77" applyFont="1" applyFill="1" applyProtection="1">
      <alignment/>
      <protection locked="0"/>
    </xf>
    <xf numFmtId="0" fontId="5" fillId="0" borderId="0" xfId="77" applyFont="1" applyFill="1" applyProtection="1">
      <alignment/>
      <protection locked="0"/>
    </xf>
    <xf numFmtId="172" fontId="6" fillId="38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75" applyFont="1" applyFill="1" applyBorder="1" applyAlignment="1" applyProtection="1">
      <alignment horizontal="left" vertical="center" wrapText="1" indent="1"/>
      <protection/>
    </xf>
    <xf numFmtId="172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2" xfId="0" applyFont="1" applyFill="1" applyBorder="1" applyAlignment="1" applyProtection="1">
      <alignment horizontal="right"/>
      <protection/>
    </xf>
    <xf numFmtId="0" fontId="14" fillId="0" borderId="33" xfId="75" applyFont="1" applyFill="1" applyBorder="1" applyAlignment="1" applyProtection="1">
      <alignment horizontal="left" vertical="center" wrapText="1" indent="1"/>
      <protection/>
    </xf>
    <xf numFmtId="0" fontId="14" fillId="0" borderId="11" xfId="75" applyFont="1" applyFill="1" applyBorder="1" applyAlignment="1" applyProtection="1">
      <alignment horizontal="left" indent="6"/>
      <protection/>
    </xf>
    <xf numFmtId="0" fontId="14" fillId="0" borderId="11" xfId="75" applyFont="1" applyFill="1" applyBorder="1" applyAlignment="1" applyProtection="1">
      <alignment horizontal="left" vertical="center" wrapText="1" indent="6"/>
      <protection/>
    </xf>
    <xf numFmtId="0" fontId="14" fillId="0" borderId="15" xfId="75" applyFont="1" applyFill="1" applyBorder="1" applyAlignment="1" applyProtection="1">
      <alignment horizontal="left" vertical="center" wrapText="1" indent="6"/>
      <protection/>
    </xf>
    <xf numFmtId="0" fontId="14" fillId="0" borderId="34" xfId="75" applyFont="1" applyFill="1" applyBorder="1" applyAlignment="1" applyProtection="1">
      <alignment horizontal="left" vertical="center" wrapText="1" indent="6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6" fillId="0" borderId="22" xfId="0" applyNumberFormat="1" applyFont="1" applyFill="1" applyBorder="1" applyAlignment="1" applyProtection="1">
      <alignment horizontal="center" vertical="center" wrapText="1"/>
      <protection/>
    </xf>
    <xf numFmtId="172" fontId="6" fillId="0" borderId="23" xfId="0" applyNumberFormat="1" applyFont="1" applyFill="1" applyBorder="1" applyAlignment="1" applyProtection="1">
      <alignment horizontal="center" vertical="center" wrapText="1"/>
      <protection/>
    </xf>
    <xf numFmtId="172" fontId="6" fillId="0" borderId="22" xfId="0" applyNumberFormat="1" applyFont="1" applyFill="1" applyBorder="1" applyAlignment="1" applyProtection="1">
      <alignment horizontal="left" vertical="center" wrapText="1"/>
      <protection/>
    </xf>
    <xf numFmtId="172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4" fillId="0" borderId="17" xfId="0" applyFont="1" applyBorder="1" applyAlignment="1" applyProtection="1">
      <alignment horizontal="right" vertical="center" indent="1"/>
      <protection/>
    </xf>
    <xf numFmtId="172" fontId="0" fillId="39" borderId="3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49" fontId="14" fillId="0" borderId="20" xfId="0" applyNumberFormat="1" applyFont="1" applyFill="1" applyBorder="1" applyAlignment="1" applyProtection="1">
      <alignment vertical="center"/>
      <protection/>
    </xf>
    <xf numFmtId="3" fontId="14" fillId="0" borderId="26" xfId="0" applyNumberFormat="1" applyFont="1" applyFill="1" applyBorder="1" applyAlignment="1" applyProtection="1">
      <alignment vertical="center"/>
      <protection/>
    </xf>
    <xf numFmtId="49" fontId="19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19" fillId="0" borderId="27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Fill="1" applyBorder="1" applyAlignment="1" applyProtection="1">
      <alignment vertical="center"/>
      <protection/>
    </xf>
    <xf numFmtId="3" fontId="14" fillId="0" borderId="27" xfId="0" applyNumberFormat="1" applyFont="1" applyFill="1" applyBorder="1" applyAlignment="1" applyProtection="1">
      <alignment vertical="center"/>
      <protection/>
    </xf>
    <xf numFmtId="49" fontId="6" fillId="0" borderId="22" xfId="0" applyNumberFormat="1" applyFont="1" applyFill="1" applyBorder="1" applyAlignment="1" applyProtection="1">
      <alignment vertical="center"/>
      <protection/>
    </xf>
    <xf numFmtId="3" fontId="14" fillId="0" borderId="23" xfId="0" applyNumberFormat="1" applyFont="1" applyFill="1" applyBorder="1" applyAlignment="1" applyProtection="1">
      <alignment vertical="center"/>
      <protection/>
    </xf>
    <xf numFmtId="3" fontId="14" fillId="0" borderId="28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1" fillId="0" borderId="0" xfId="0" applyNumberFormat="1" applyFont="1" applyFill="1" applyAlignment="1" applyProtection="1">
      <alignment vertical="center" wrapText="1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72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1" fillId="0" borderId="41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72" fontId="14" fillId="0" borderId="44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0" xfId="75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77" applyFont="1" applyFill="1" applyBorder="1" applyAlignment="1" applyProtection="1">
      <alignment horizontal="left" vertical="center" indent="1"/>
      <protection/>
    </xf>
    <xf numFmtId="0" fontId="14" fillId="0" borderId="12" xfId="77" applyFont="1" applyFill="1" applyBorder="1" applyAlignment="1" applyProtection="1">
      <alignment horizontal="left" vertical="center" wrapText="1" indent="1"/>
      <protection/>
    </xf>
    <xf numFmtId="0" fontId="14" fillId="0" borderId="11" xfId="77" applyFont="1" applyFill="1" applyBorder="1" applyAlignment="1" applyProtection="1">
      <alignment horizontal="left" vertical="center" wrapText="1" indent="1"/>
      <protection/>
    </xf>
    <xf numFmtId="0" fontId="14" fillId="0" borderId="12" xfId="77" applyFont="1" applyFill="1" applyBorder="1" applyAlignment="1" applyProtection="1">
      <alignment horizontal="left" vertical="center" indent="1"/>
      <protection/>
    </xf>
    <xf numFmtId="0" fontId="6" fillId="0" borderId="23" xfId="77" applyFont="1" applyFill="1" applyBorder="1" applyAlignment="1" applyProtection="1">
      <alignment horizontal="left" indent="1"/>
      <protection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45" xfId="0" applyFont="1" applyBorder="1" applyAlignment="1" applyProtection="1">
      <alignment horizontal="left" vertical="center" wrapText="1" indent="1"/>
      <protection/>
    </xf>
    <xf numFmtId="172" fontId="12" fillId="0" borderId="36" xfId="75" applyNumberFormat="1" applyFont="1" applyFill="1" applyBorder="1" applyAlignment="1" applyProtection="1">
      <alignment horizontal="right" vertical="center" wrapText="1" indent="1"/>
      <protection/>
    </xf>
    <xf numFmtId="172" fontId="12" fillId="0" borderId="28" xfId="75" applyNumberFormat="1" applyFont="1" applyFill="1" applyBorder="1" applyAlignment="1" applyProtection="1">
      <alignment horizontal="right" vertical="center" wrapText="1" indent="1"/>
      <protection/>
    </xf>
    <xf numFmtId="172" fontId="14" fillId="0" borderId="27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9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31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7" xfId="75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8" xfId="75" applyNumberFormat="1" applyFont="1" applyFill="1" applyBorder="1" applyAlignment="1" applyProtection="1">
      <alignment horizontal="right" vertical="center" wrapText="1" indent="1"/>
      <protection/>
    </xf>
    <xf numFmtId="172" fontId="5" fillId="0" borderId="0" xfId="75" applyNumberFormat="1" applyFont="1" applyFill="1" applyBorder="1" applyAlignment="1" applyProtection="1">
      <alignment horizontal="right" vertical="center" wrapText="1" indent="1"/>
      <protection/>
    </xf>
    <xf numFmtId="172" fontId="14" fillId="0" borderId="30" xfId="75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172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5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4" fillId="0" borderId="0" xfId="0" applyNumberFormat="1" applyFont="1" applyFill="1" applyAlignment="1" applyProtection="1">
      <alignment horizontal="right" vertical="center"/>
      <protection/>
    </xf>
    <xf numFmtId="172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35" xfId="0" applyNumberFormat="1" applyFont="1" applyFill="1" applyBorder="1" applyAlignment="1" applyProtection="1">
      <alignment horizontal="center" vertical="center" wrapText="1"/>
      <protection/>
    </xf>
    <xf numFmtId="172" fontId="12" fillId="0" borderId="22" xfId="0" applyNumberFormat="1" applyFont="1" applyFill="1" applyBorder="1" applyAlignment="1" applyProtection="1">
      <alignment horizontal="center" vertical="center" wrapText="1"/>
      <protection/>
    </xf>
    <xf numFmtId="172" fontId="12" fillId="0" borderId="23" xfId="0" applyNumberFormat="1" applyFont="1" applyFill="1" applyBorder="1" applyAlignment="1" applyProtection="1">
      <alignment horizontal="center" vertical="center" wrapText="1"/>
      <protection/>
    </xf>
    <xf numFmtId="172" fontId="12" fillId="0" borderId="28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47" xfId="0" applyNumberFormat="1" applyFill="1" applyBorder="1" applyAlignment="1" applyProtection="1">
      <alignment horizontal="left" vertical="center" wrapText="1" indent="1"/>
      <protection/>
    </xf>
    <xf numFmtId="172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8" xfId="0" applyNumberFormat="1" applyFill="1" applyBorder="1" applyAlignment="1" applyProtection="1">
      <alignment horizontal="left" vertical="center" wrapText="1" indent="1"/>
      <protection/>
    </xf>
    <xf numFmtId="172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4" fillId="0" borderId="49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72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 quotePrefix="1">
      <alignment horizontal="right" vertical="center" indent="1"/>
      <protection/>
    </xf>
    <xf numFmtId="0" fontId="6" fillId="0" borderId="36" xfId="0" applyFont="1" applyFill="1" applyBorder="1" applyAlignment="1" applyProtection="1">
      <alignment horizontal="right" vertical="center" wrapText="1" indent="1"/>
      <protection/>
    </xf>
    <xf numFmtId="172" fontId="6" fillId="0" borderId="40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72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left" vertical="center" wrapText="1" indent="1"/>
      <protection/>
    </xf>
    <xf numFmtId="0" fontId="2" fillId="0" borderId="0" xfId="75" applyFont="1" applyFill="1" applyProtection="1">
      <alignment/>
      <protection/>
    </xf>
    <xf numFmtId="0" fontId="2" fillId="0" borderId="0" xfId="75" applyFont="1" applyFill="1" applyAlignment="1" applyProtection="1">
      <alignment horizontal="right" vertical="center" indent="1"/>
      <protection/>
    </xf>
    <xf numFmtId="172" fontId="0" fillId="0" borderId="52" xfId="0" applyNumberFormat="1" applyFill="1" applyBorder="1" applyAlignment="1" applyProtection="1">
      <alignment horizontal="left" vertical="center" wrapText="1" indent="1"/>
      <protection/>
    </xf>
    <xf numFmtId="172" fontId="14" fillId="0" borderId="31" xfId="75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2" fillId="0" borderId="24" xfId="75" applyFont="1" applyFill="1" applyBorder="1" applyAlignment="1" applyProtection="1">
      <alignment horizontal="center" vertical="center" wrapText="1"/>
      <protection/>
    </xf>
    <xf numFmtId="0" fontId="12" fillId="0" borderId="25" xfId="75" applyFont="1" applyFill="1" applyBorder="1" applyAlignment="1" applyProtection="1">
      <alignment horizontal="center" vertical="center" wrapText="1"/>
      <protection/>
    </xf>
    <xf numFmtId="0" fontId="12" fillId="0" borderId="36" xfId="75" applyFont="1" applyFill="1" applyBorder="1" applyAlignment="1" applyProtection="1">
      <alignment horizontal="center" vertical="center" wrapText="1"/>
      <protection/>
    </xf>
    <xf numFmtId="172" fontId="14" fillId="0" borderId="29" xfId="75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75" applyFont="1" applyFill="1" applyBorder="1" applyAlignment="1" applyProtection="1">
      <alignment horizontal="left" vertical="center" wrapText="1" indent="6"/>
      <protection/>
    </xf>
    <xf numFmtId="0" fontId="2" fillId="0" borderId="0" xfId="75" applyFill="1" applyProtection="1">
      <alignment/>
      <protection/>
    </xf>
    <xf numFmtId="0" fontId="14" fillId="0" borderId="0" xfId="75" applyFont="1" applyFill="1" applyProtection="1">
      <alignment/>
      <protection/>
    </xf>
    <xf numFmtId="0" fontId="0" fillId="0" borderId="0" xfId="75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33" xfId="0" applyFont="1" applyBorder="1" applyAlignment="1" applyProtection="1">
      <alignment wrapText="1"/>
      <protection/>
    </xf>
    <xf numFmtId="0" fontId="2" fillId="0" borderId="0" xfId="75" applyFill="1" applyAlignment="1" applyProtection="1">
      <alignment/>
      <protection/>
    </xf>
    <xf numFmtId="172" fontId="16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0" xfId="75" applyFont="1" applyFill="1" applyProtection="1">
      <alignment/>
      <protection/>
    </xf>
    <xf numFmtId="172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75" applyNumberFormat="1" applyFont="1" applyFill="1" applyBorder="1" applyAlignment="1" applyProtection="1">
      <alignment horizontal="center" vertical="center" wrapText="1"/>
      <protection/>
    </xf>
    <xf numFmtId="49" fontId="14" fillId="0" borderId="17" xfId="75" applyNumberFormat="1" applyFont="1" applyFill="1" applyBorder="1" applyAlignment="1" applyProtection="1">
      <alignment horizontal="center" vertical="center" wrapText="1"/>
      <protection/>
    </xf>
    <xf numFmtId="49" fontId="14" fillId="0" borderId="19" xfId="75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45" xfId="0" applyFont="1" applyBorder="1" applyAlignment="1" applyProtection="1">
      <alignment horizontal="center" wrapText="1"/>
      <protection/>
    </xf>
    <xf numFmtId="49" fontId="14" fillId="0" borderId="20" xfId="75" applyNumberFormat="1" applyFont="1" applyFill="1" applyBorder="1" applyAlignment="1" applyProtection="1">
      <alignment horizontal="center" vertical="center" wrapText="1"/>
      <protection/>
    </xf>
    <xf numFmtId="49" fontId="14" fillId="0" borderId="16" xfId="75" applyNumberFormat="1" applyFont="1" applyFill="1" applyBorder="1" applyAlignment="1" applyProtection="1">
      <alignment horizontal="center" vertical="center" wrapText="1"/>
      <protection/>
    </xf>
    <xf numFmtId="49" fontId="14" fillId="0" borderId="21" xfId="75" applyNumberFormat="1" applyFont="1" applyFill="1" applyBorder="1" applyAlignment="1" applyProtection="1">
      <alignment horizontal="center" vertical="center" wrapText="1"/>
      <protection/>
    </xf>
    <xf numFmtId="0" fontId="18" fillId="0" borderId="45" xfId="0" applyFont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75" applyFont="1" applyFill="1" applyBorder="1" applyAlignment="1" applyProtection="1">
      <alignment horizontal="left" vertical="center" wrapText="1" indent="1"/>
      <protection/>
    </xf>
    <xf numFmtId="0" fontId="14" fillId="0" borderId="11" xfId="75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72" fontId="14" fillId="0" borderId="29" xfId="75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8" xfId="75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0" xfId="77" applyFont="1" applyFill="1" applyBorder="1" applyAlignment="1" applyProtection="1">
      <alignment horizontal="left" vertical="center" wrapText="1" indent="1"/>
      <protection/>
    </xf>
    <xf numFmtId="172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25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14" fillId="0" borderId="10" xfId="0" applyFont="1" applyBorder="1" applyAlignment="1" applyProtection="1">
      <alignment horizontal="left" vertical="center" indent="1"/>
      <protection locked="0"/>
    </xf>
    <xf numFmtId="3" fontId="36" fillId="0" borderId="11" xfId="0" applyNumberFormat="1" applyFont="1" applyFill="1" applyBorder="1" applyAlignment="1" applyProtection="1">
      <alignment vertical="center"/>
      <protection locked="0"/>
    </xf>
    <xf numFmtId="3" fontId="36" fillId="0" borderId="27" xfId="0" applyNumberFormat="1" applyFont="1" applyFill="1" applyBorder="1" applyAlignment="1" applyProtection="1">
      <alignment vertical="center"/>
      <protection/>
    </xf>
    <xf numFmtId="172" fontId="11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5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4" fillId="0" borderId="11" xfId="77" applyNumberFormat="1" applyFont="1" applyFill="1" applyBorder="1" applyAlignment="1" applyProtection="1">
      <alignment vertical="center"/>
      <protection locked="0"/>
    </xf>
    <xf numFmtId="172" fontId="14" fillId="0" borderId="12" xfId="77" applyNumberFormat="1" applyFont="1" applyFill="1" applyBorder="1" applyAlignment="1" applyProtection="1">
      <alignment vertical="center"/>
      <protection locked="0"/>
    </xf>
    <xf numFmtId="0" fontId="17" fillId="0" borderId="11" xfId="0" applyFont="1" applyBorder="1" applyAlignment="1" applyProtection="1" quotePrefix="1">
      <alignment horizontal="left" wrapText="1" indent="1"/>
      <protection/>
    </xf>
    <xf numFmtId="0" fontId="12" fillId="0" borderId="22" xfId="75" applyFont="1" applyFill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vertical="center" wrapText="1"/>
      <protection/>
    </xf>
    <xf numFmtId="0" fontId="17" fillId="0" borderId="15" xfId="0" applyFont="1" applyBorder="1" applyAlignment="1" applyProtection="1">
      <alignment vertical="center" wrapText="1"/>
      <protection/>
    </xf>
    <xf numFmtId="0" fontId="18" fillId="0" borderId="45" xfId="0" applyFont="1" applyBorder="1" applyAlignment="1" applyProtection="1">
      <alignment vertical="center" wrapText="1"/>
      <protection/>
    </xf>
    <xf numFmtId="0" fontId="14" fillId="0" borderId="34" xfId="75" applyFont="1" applyFill="1" applyBorder="1" applyAlignment="1" applyProtection="1">
      <alignment horizontal="left" vertical="center" wrapText="1" indent="7"/>
      <protection/>
    </xf>
    <xf numFmtId="0" fontId="12" fillId="0" borderId="45" xfId="75" applyFont="1" applyFill="1" applyBorder="1" applyAlignment="1" applyProtection="1">
      <alignment horizontal="left" vertical="center" wrapText="1" indent="1"/>
      <protection/>
    </xf>
    <xf numFmtId="0" fontId="12" fillId="0" borderId="33" xfId="75" applyFont="1" applyFill="1" applyBorder="1" applyAlignment="1" applyProtection="1">
      <alignment vertical="center" wrapText="1"/>
      <protection/>
    </xf>
    <xf numFmtId="172" fontId="12" fillId="0" borderId="54" xfId="75" applyNumberFormat="1" applyFont="1" applyFill="1" applyBorder="1" applyAlignment="1" applyProtection="1">
      <alignment horizontal="right" vertical="center" wrapText="1" indent="1"/>
      <protection/>
    </xf>
    <xf numFmtId="172" fontId="18" fillId="0" borderId="28" xfId="0" applyNumberFormat="1" applyFont="1" applyBorder="1" applyAlignment="1" applyProtection="1">
      <alignment horizontal="right" vertical="center" wrapText="1" indent="1"/>
      <protection locked="0"/>
    </xf>
    <xf numFmtId="172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6" fillId="0" borderId="51" xfId="0" applyNumberFormat="1" applyFont="1" applyFill="1" applyBorder="1" applyAlignment="1" applyProtection="1">
      <alignment horizontal="right" vertical="center" indent="1"/>
      <protection/>
    </xf>
    <xf numFmtId="49" fontId="12" fillId="0" borderId="22" xfId="75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/>
    </xf>
    <xf numFmtId="172" fontId="36" fillId="0" borderId="29" xfId="75" applyNumberFormat="1" applyFont="1" applyFill="1" applyBorder="1" applyAlignment="1" applyProtection="1">
      <alignment horizontal="right" vertical="center" wrapText="1" indent="1"/>
      <protection locked="0"/>
    </xf>
    <xf numFmtId="172" fontId="3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4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8" xfId="75" applyNumberFormat="1" applyFont="1" applyFill="1" applyBorder="1" applyAlignment="1" applyProtection="1">
      <alignment horizontal="right" vertical="center" wrapText="1" indent="1"/>
      <protection/>
    </xf>
    <xf numFmtId="172" fontId="39" fillId="0" borderId="27" xfId="75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77" applyFont="1" applyFill="1" applyAlignment="1" applyProtection="1">
      <alignment vertical="center"/>
      <protection locked="0"/>
    </xf>
    <xf numFmtId="172" fontId="14" fillId="0" borderId="10" xfId="77" applyNumberFormat="1" applyFont="1" applyFill="1" applyBorder="1" applyAlignment="1" applyProtection="1">
      <alignment vertical="center"/>
      <protection locked="0"/>
    </xf>
    <xf numFmtId="172" fontId="14" fillId="0" borderId="40" xfId="75" applyNumberFormat="1" applyFont="1" applyFill="1" applyBorder="1" applyAlignment="1" applyProtection="1">
      <alignment horizontal="right" vertical="center" wrapText="1" indent="1"/>
      <protection locked="0"/>
    </xf>
    <xf numFmtId="172" fontId="39" fillId="0" borderId="44" xfId="75" applyNumberFormat="1" applyFont="1" applyFill="1" applyBorder="1" applyAlignment="1" applyProtection="1">
      <alignment horizontal="right" vertical="center" wrapText="1" indent="1"/>
      <protection locked="0"/>
    </xf>
    <xf numFmtId="172" fontId="39" fillId="0" borderId="40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11" xfId="0" applyNumberFormat="1" applyFont="1" applyFill="1" applyBorder="1" applyAlignment="1" applyProtection="1">
      <alignment vertical="center" wrapText="1"/>
      <protection locked="0"/>
    </xf>
    <xf numFmtId="0" fontId="37" fillId="0" borderId="0" xfId="0" applyFont="1" applyFill="1" applyAlignment="1">
      <alignment vertical="center" wrapText="1"/>
    </xf>
    <xf numFmtId="172" fontId="14" fillId="0" borderId="26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36" fillId="0" borderId="44" xfId="75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1" xfId="75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11" xfId="0" applyFont="1" applyBorder="1" applyAlignment="1" applyProtection="1">
      <alignment horizontal="left" vertical="center" indent="1"/>
      <protection locked="0"/>
    </xf>
    <xf numFmtId="172" fontId="39" fillId="0" borderId="31" xfId="75" applyNumberFormat="1" applyFont="1" applyFill="1" applyBorder="1" applyAlignment="1" applyProtection="1">
      <alignment horizontal="right" vertical="center" wrapText="1" indent="1"/>
      <protection locked="0"/>
    </xf>
    <xf numFmtId="172" fontId="39" fillId="0" borderId="26" xfId="75" applyNumberFormat="1" applyFont="1" applyFill="1" applyBorder="1" applyAlignment="1" applyProtection="1">
      <alignment horizontal="right" vertical="center" wrapText="1" indent="1"/>
      <protection locked="0"/>
    </xf>
    <xf numFmtId="172" fontId="39" fillId="0" borderId="30" xfId="75" applyNumberFormat="1" applyFont="1" applyFill="1" applyBorder="1" applyAlignment="1" applyProtection="1">
      <alignment horizontal="right" vertical="center" wrapText="1" indent="1"/>
      <protection locked="0"/>
    </xf>
    <xf numFmtId="172" fontId="39" fillId="0" borderId="29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30" xfId="75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2" xfId="75" applyNumberFormat="1" applyFont="1" applyFill="1" applyBorder="1" applyAlignment="1" applyProtection="1">
      <alignment horizontal="left" vertical="center"/>
      <protection/>
    </xf>
    <xf numFmtId="0" fontId="2" fillId="0" borderId="0" xfId="75" applyFill="1">
      <alignment/>
      <protection/>
    </xf>
    <xf numFmtId="0" fontId="14" fillId="0" borderId="0" xfId="75" applyFont="1" applyFill="1">
      <alignment/>
      <protection/>
    </xf>
    <xf numFmtId="172" fontId="12" fillId="0" borderId="23" xfId="75" applyNumberFormat="1" applyFont="1" applyFill="1" applyBorder="1" applyAlignment="1" applyProtection="1">
      <alignment horizontal="right" vertical="center" wrapText="1" indent="1"/>
      <protection/>
    </xf>
    <xf numFmtId="172" fontId="12" fillId="0" borderId="50" xfId="75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5" applyFont="1" applyFill="1">
      <alignment/>
      <protection/>
    </xf>
    <xf numFmtId="172" fontId="14" fillId="0" borderId="56" xfId="75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75" applyNumberFormat="1" applyFont="1" applyFill="1" applyBorder="1" applyAlignment="1" applyProtection="1">
      <alignment horizontal="right" vertical="center" wrapText="1" indent="1"/>
      <protection/>
    </xf>
    <xf numFmtId="172" fontId="12" fillId="0" borderId="50" xfId="75" applyNumberFormat="1" applyFont="1" applyFill="1" applyBorder="1" applyAlignment="1" applyProtection="1">
      <alignment horizontal="right" vertical="center" wrapText="1" indent="1"/>
      <protection/>
    </xf>
    <xf numFmtId="172" fontId="14" fillId="0" borderId="11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12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6" xfId="75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0" xfId="75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57" xfId="75" applyFont="1" applyFill="1" applyBorder="1" applyAlignment="1" applyProtection="1">
      <alignment horizontal="center" vertical="center" wrapText="1"/>
      <protection/>
    </xf>
    <xf numFmtId="0" fontId="5" fillId="0" borderId="57" xfId="75" applyFont="1" applyFill="1" applyBorder="1" applyAlignment="1" applyProtection="1">
      <alignment vertical="center" wrapText="1"/>
      <protection/>
    </xf>
    <xf numFmtId="0" fontId="14" fillId="0" borderId="57" xfId="75" applyFont="1" applyFill="1" applyBorder="1" applyAlignment="1" applyProtection="1">
      <alignment horizontal="right" vertical="center" wrapText="1" indent="1"/>
      <protection locked="0"/>
    </xf>
    <xf numFmtId="172" fontId="12" fillId="0" borderId="58" xfId="75" applyNumberFormat="1" applyFont="1" applyFill="1" applyBorder="1" applyAlignment="1" applyProtection="1">
      <alignment horizontal="right" vertical="center" wrapText="1" indent="1"/>
      <protection/>
    </xf>
    <xf numFmtId="172" fontId="14" fillId="0" borderId="59" xfId="75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23" xfId="0" applyNumberFormat="1" applyFont="1" applyBorder="1" applyAlignment="1" applyProtection="1">
      <alignment horizontal="right" vertical="center" wrapText="1" indent="1"/>
      <protection/>
    </xf>
    <xf numFmtId="172" fontId="18" fillId="0" borderId="50" xfId="0" applyNumberFormat="1" applyFont="1" applyBorder="1" applyAlignment="1" applyProtection="1">
      <alignment horizontal="right" vertical="center" wrapText="1" indent="1"/>
      <protection/>
    </xf>
    <xf numFmtId="172" fontId="18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16" fillId="0" borderId="23" xfId="0" applyNumberFormat="1" applyFont="1" applyBorder="1" applyAlignment="1" applyProtection="1" quotePrefix="1">
      <alignment horizontal="right" vertical="center" wrapText="1" indent="1"/>
      <protection/>
    </xf>
    <xf numFmtId="172" fontId="16" fillId="0" borderId="50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75" applyFont="1" applyFill="1">
      <alignment/>
      <protection/>
    </xf>
    <xf numFmtId="172" fontId="14" fillId="0" borderId="12" xfId="0" applyNumberFormat="1" applyFont="1" applyFill="1" applyBorder="1" applyAlignment="1" applyProtection="1">
      <alignment vertical="center" wrapText="1"/>
      <protection locked="0"/>
    </xf>
    <xf numFmtId="172" fontId="12" fillId="0" borderId="22" xfId="0" applyNumberFormat="1" applyFont="1" applyFill="1" applyBorder="1" applyAlignment="1" applyProtection="1">
      <alignment horizontal="center" vertical="center" wrapText="1"/>
      <protection/>
    </xf>
    <xf numFmtId="172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vertical="center"/>
    </xf>
    <xf numFmtId="172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172" fontId="37" fillId="0" borderId="0" xfId="0" applyNumberFormat="1" applyFont="1" applyFill="1" applyAlignment="1">
      <alignment horizontal="center" vertical="center" wrapText="1"/>
    </xf>
    <xf numFmtId="172" fontId="37" fillId="0" borderId="0" xfId="0" applyNumberFormat="1" applyFont="1" applyFill="1" applyAlignment="1">
      <alignment horizontal="center" vertical="center" wrapText="1"/>
    </xf>
    <xf numFmtId="172" fontId="12" fillId="0" borderId="35" xfId="75" applyNumberFormat="1" applyFont="1" applyFill="1" applyBorder="1" applyAlignment="1" applyProtection="1">
      <alignment horizontal="right" vertical="center" wrapText="1" indent="1"/>
      <protection/>
    </xf>
    <xf numFmtId="172" fontId="36" fillId="0" borderId="56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6" xfId="75" applyNumberFormat="1" applyFont="1" applyFill="1" applyBorder="1" applyAlignment="1" applyProtection="1">
      <alignment horizontal="right" vertical="center" wrapText="1" indent="1"/>
      <protection/>
    </xf>
    <xf numFmtId="172" fontId="14" fillId="0" borderId="60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9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6" xfId="0" applyNumberFormat="1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horizontal="center" vertical="center" wrapText="1"/>
      <protection/>
    </xf>
    <xf numFmtId="172" fontId="12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36" fillId="0" borderId="40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9" xfId="75" applyNumberFormat="1" applyFont="1" applyFill="1" applyBorder="1" applyAlignment="1" applyProtection="1">
      <alignment horizontal="right" vertical="center" wrapText="1" indent="1"/>
      <protection/>
    </xf>
    <xf numFmtId="172" fontId="14" fillId="0" borderId="27" xfId="75" applyNumberFormat="1" applyFont="1" applyFill="1" applyBorder="1" applyAlignment="1" applyProtection="1">
      <alignment horizontal="right" vertical="center" wrapText="1" indent="1"/>
      <protection/>
    </xf>
    <xf numFmtId="172" fontId="14" fillId="0" borderId="31" xfId="75" applyNumberFormat="1" applyFont="1" applyFill="1" applyBorder="1" applyAlignment="1" applyProtection="1">
      <alignment horizontal="right" vertical="center" wrapText="1" indent="1"/>
      <protection/>
    </xf>
    <xf numFmtId="0" fontId="14" fillId="0" borderId="17" xfId="78" applyFont="1" applyBorder="1" applyAlignment="1">
      <alignment horizontal="left"/>
      <protection/>
    </xf>
    <xf numFmtId="172" fontId="12" fillId="0" borderId="23" xfId="0" applyNumberFormat="1" applyFont="1" applyFill="1" applyBorder="1" applyAlignment="1" applyProtection="1">
      <alignment vertical="center" wrapText="1"/>
      <protection/>
    </xf>
    <xf numFmtId="172" fontId="12" fillId="38" borderId="23" xfId="0" applyNumberFormat="1" applyFont="1" applyFill="1" applyBorder="1" applyAlignment="1" applyProtection="1">
      <alignment vertical="center" wrapText="1"/>
      <protection/>
    </xf>
    <xf numFmtId="172" fontId="12" fillId="0" borderId="28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43" xfId="75" applyFont="1" applyFill="1" applyBorder="1" applyAlignment="1" applyProtection="1">
      <alignment horizontal="center" vertical="center" wrapText="1"/>
      <protection/>
    </xf>
    <xf numFmtId="0" fontId="12" fillId="0" borderId="62" xfId="75" applyFont="1" applyFill="1" applyBorder="1" applyAlignment="1" applyProtection="1">
      <alignment horizontal="center" vertical="center" wrapText="1"/>
      <protection/>
    </xf>
    <xf numFmtId="172" fontId="12" fillId="0" borderId="62" xfId="75" applyNumberFormat="1" applyFont="1" applyFill="1" applyBorder="1" applyAlignment="1" applyProtection="1">
      <alignment horizontal="right" vertical="center" wrapText="1" indent="1"/>
      <protection/>
    </xf>
    <xf numFmtId="172" fontId="14" fillId="0" borderId="63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5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64" xfId="75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62" xfId="75" applyNumberFormat="1" applyFont="1" applyFill="1" applyBorder="1" applyAlignment="1" applyProtection="1">
      <alignment horizontal="right" vertical="center" wrapText="1" indent="1"/>
      <protection/>
    </xf>
    <xf numFmtId="172" fontId="14" fillId="0" borderId="55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64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63" xfId="75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62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65" xfId="75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66" xfId="75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0" xfId="75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67" xfId="75" applyNumberFormat="1" applyFont="1" applyFill="1" applyBorder="1" applyAlignment="1" applyProtection="1">
      <alignment horizontal="right" vertical="center" wrapText="1" indent="1"/>
      <protection/>
    </xf>
    <xf numFmtId="172" fontId="12" fillId="0" borderId="68" xfId="75" applyNumberFormat="1" applyFont="1" applyFill="1" applyBorder="1" applyAlignment="1" applyProtection="1">
      <alignment horizontal="right" vertical="center" wrapText="1" indent="1"/>
      <protection/>
    </xf>
    <xf numFmtId="172" fontId="14" fillId="0" borderId="27" xfId="75" applyNumberFormat="1" applyFont="1" applyFill="1" applyBorder="1" applyAlignment="1" applyProtection="1">
      <alignment horizontal="right" vertical="center" wrapText="1" indent="1"/>
      <protection/>
    </xf>
    <xf numFmtId="172" fontId="14" fillId="0" borderId="31" xfId="75" applyNumberFormat="1" applyFont="1" applyFill="1" applyBorder="1" applyAlignment="1" applyProtection="1">
      <alignment horizontal="right" vertical="center" wrapText="1" indent="1"/>
      <protection/>
    </xf>
    <xf numFmtId="172" fontId="14" fillId="0" borderId="28" xfId="75" applyNumberFormat="1" applyFont="1" applyFill="1" applyBorder="1" applyAlignment="1" applyProtection="1">
      <alignment horizontal="right" vertical="center" wrapText="1" indent="1"/>
      <protection/>
    </xf>
    <xf numFmtId="172" fontId="12" fillId="0" borderId="28" xfId="75" applyNumberFormat="1" applyFont="1" applyFill="1" applyBorder="1" applyAlignment="1" applyProtection="1">
      <alignment horizontal="center" vertical="center" wrapText="1"/>
      <protection/>
    </xf>
    <xf numFmtId="172" fontId="14" fillId="0" borderId="27" xfId="75" applyNumberFormat="1" applyFont="1" applyFill="1" applyBorder="1" applyAlignment="1" applyProtection="1">
      <alignment horizontal="center" vertical="center" wrapText="1"/>
      <protection/>
    </xf>
    <xf numFmtId="172" fontId="14" fillId="0" borderId="29" xfId="75" applyNumberFormat="1" applyFont="1" applyFill="1" applyBorder="1" applyAlignment="1" applyProtection="1">
      <alignment horizontal="center" vertical="center" wrapText="1"/>
      <protection/>
    </xf>
    <xf numFmtId="172" fontId="14" fillId="0" borderId="31" xfId="75" applyNumberFormat="1" applyFont="1" applyFill="1" applyBorder="1" applyAlignment="1" applyProtection="1">
      <alignment horizontal="center" vertical="center" wrapText="1"/>
      <protection/>
    </xf>
    <xf numFmtId="172" fontId="14" fillId="0" borderId="28" xfId="75" applyNumberFormat="1" applyFont="1" applyFill="1" applyBorder="1" applyAlignment="1" applyProtection="1">
      <alignment horizontal="center" vertical="center" wrapText="1"/>
      <protection/>
    </xf>
    <xf numFmtId="0" fontId="2" fillId="0" borderId="0" xfId="75" applyFont="1" applyFill="1" applyAlignment="1" applyProtection="1">
      <alignment horizontal="right" vertical="center" indent="1"/>
      <protection/>
    </xf>
    <xf numFmtId="172" fontId="14" fillId="0" borderId="27" xfId="75" applyNumberFormat="1" applyFont="1" applyFill="1" applyBorder="1" applyAlignment="1" applyProtection="1">
      <alignment horizontal="center" vertical="center" wrapText="1"/>
      <protection/>
    </xf>
    <xf numFmtId="172" fontId="2" fillId="0" borderId="0" xfId="75" applyNumberFormat="1" applyFill="1" applyProtection="1">
      <alignment/>
      <protection/>
    </xf>
    <xf numFmtId="172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0" xfId="0" applyNumberFormat="1" applyFont="1" applyFill="1" applyAlignment="1" applyProtection="1">
      <alignment vertical="center" wrapText="1"/>
      <protection/>
    </xf>
    <xf numFmtId="3" fontId="0" fillId="0" borderId="55" xfId="51" applyNumberFormat="1" applyFont="1" applyFill="1" applyBorder="1" applyAlignment="1" applyProtection="1">
      <alignment horizontal="left"/>
      <protection locked="0"/>
    </xf>
    <xf numFmtId="3" fontId="0" fillId="40" borderId="55" xfId="51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42" fillId="0" borderId="0" xfId="0" applyFont="1" applyAlignment="1" applyProtection="1">
      <alignment horizontal="right" vertical="top"/>
      <protection/>
    </xf>
    <xf numFmtId="49" fontId="43" fillId="0" borderId="26" xfId="0" applyNumberFormat="1" applyFont="1" applyFill="1" applyBorder="1" applyAlignment="1" applyProtection="1">
      <alignment horizontal="right" vertical="center"/>
      <protection/>
    </xf>
    <xf numFmtId="49" fontId="43" fillId="0" borderId="51" xfId="0" applyNumberFormat="1" applyFont="1" applyFill="1" applyBorder="1" applyAlignment="1" applyProtection="1">
      <alignment horizontal="right" vertical="center"/>
      <protection/>
    </xf>
    <xf numFmtId="0" fontId="44" fillId="0" borderId="0" xfId="0" applyFont="1" applyFill="1" applyAlignment="1" applyProtection="1">
      <alignment horizontal="right"/>
      <protection/>
    </xf>
    <xf numFmtId="0" fontId="43" fillId="0" borderId="36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Fill="1" applyBorder="1" applyAlignment="1" applyProtection="1">
      <alignment horizontal="center" vertical="center" wrapText="1"/>
      <protection/>
    </xf>
    <xf numFmtId="3" fontId="4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0" xfId="0" applyFont="1" applyFill="1" applyAlignment="1" applyProtection="1">
      <alignment vertical="center" wrapText="1"/>
      <protection/>
    </xf>
    <xf numFmtId="0" fontId="0" fillId="0" borderId="21" xfId="78" applyFont="1" applyBorder="1">
      <alignment/>
      <protection/>
    </xf>
    <xf numFmtId="174" fontId="7" fillId="0" borderId="0" xfId="51" applyNumberFormat="1" applyFont="1" applyAlignment="1">
      <alignment horizontal="center"/>
    </xf>
    <xf numFmtId="174" fontId="0" fillId="0" borderId="0" xfId="51" applyNumberFormat="1" applyFont="1" applyAlignment="1">
      <alignment/>
    </xf>
    <xf numFmtId="174" fontId="2" fillId="0" borderId="0" xfId="51" applyNumberFormat="1" applyFont="1" applyAlignment="1">
      <alignment/>
    </xf>
    <xf numFmtId="174" fontId="28" fillId="0" borderId="0" xfId="51" applyNumberFormat="1" applyFont="1" applyAlignment="1">
      <alignment horizontal="centerContinuous"/>
    </xf>
    <xf numFmtId="174" fontId="7" fillId="0" borderId="0" xfId="51" applyNumberFormat="1" applyFont="1" applyAlignment="1">
      <alignment horizontal="right"/>
    </xf>
    <xf numFmtId="174" fontId="5" fillId="0" borderId="35" xfId="51" applyNumberFormat="1" applyFont="1" applyBorder="1" applyAlignment="1">
      <alignment horizontal="center" vertical="center"/>
    </xf>
    <xf numFmtId="174" fontId="5" fillId="0" borderId="53" xfId="51" applyNumberFormat="1" applyFont="1" applyBorder="1" applyAlignment="1">
      <alignment/>
    </xf>
    <xf numFmtId="174" fontId="5" fillId="0" borderId="69" xfId="51" applyNumberFormat="1" applyFont="1" applyBorder="1" applyAlignment="1">
      <alignment/>
    </xf>
    <xf numFmtId="174" fontId="5" fillId="0" borderId="60" xfId="51" applyNumberFormat="1" applyFont="1" applyBorder="1" applyAlignment="1">
      <alignment/>
    </xf>
    <xf numFmtId="174" fontId="5" fillId="0" borderId="70" xfId="51" applyNumberFormat="1" applyFont="1" applyBorder="1" applyAlignment="1">
      <alignment/>
    </xf>
    <xf numFmtId="174" fontId="2" fillId="0" borderId="71" xfId="51" applyNumberFormat="1" applyFont="1" applyBorder="1" applyAlignment="1" quotePrefix="1">
      <alignment/>
    </xf>
    <xf numFmtId="174" fontId="2" fillId="0" borderId="44" xfId="51" applyNumberFormat="1" applyFont="1" applyBorder="1" applyAlignment="1" quotePrefix="1">
      <alignment/>
    </xf>
    <xf numFmtId="174" fontId="2" fillId="0" borderId="44" xfId="51" applyNumberFormat="1" applyFont="1" applyBorder="1" applyAlignment="1">
      <alignment/>
    </xf>
    <xf numFmtId="174" fontId="0" fillId="0" borderId="44" xfId="51" applyNumberFormat="1" applyFont="1" applyBorder="1" applyAlignment="1">
      <alignment/>
    </xf>
    <xf numFmtId="174" fontId="0" fillId="0" borderId="0" xfId="51" applyNumberFormat="1" applyFont="1" applyBorder="1" applyAlignment="1">
      <alignment/>
    </xf>
    <xf numFmtId="174" fontId="0" fillId="0" borderId="0" xfId="51" applyNumberFormat="1" applyFont="1" applyBorder="1" applyAlignment="1">
      <alignment/>
    </xf>
    <xf numFmtId="174" fontId="29" fillId="0" borderId="0" xfId="51" applyNumberFormat="1" applyFont="1" applyBorder="1" applyAlignment="1">
      <alignment/>
    </xf>
    <xf numFmtId="174" fontId="5" fillId="0" borderId="71" xfId="51" applyNumberFormat="1" applyFont="1" applyBorder="1" applyAlignment="1">
      <alignment/>
    </xf>
    <xf numFmtId="174" fontId="5" fillId="0" borderId="44" xfId="51" applyNumberFormat="1" applyFont="1" applyBorder="1" applyAlignment="1">
      <alignment/>
    </xf>
    <xf numFmtId="174" fontId="3" fillId="0" borderId="44" xfId="51" applyNumberFormat="1" applyFont="1" applyBorder="1" applyAlignment="1">
      <alignment/>
    </xf>
    <xf numFmtId="174" fontId="5" fillId="0" borderId="37" xfId="51" applyNumberFormat="1" applyFont="1" applyBorder="1" applyAlignment="1">
      <alignment/>
    </xf>
    <xf numFmtId="174" fontId="5" fillId="0" borderId="72" xfId="51" applyNumberFormat="1" applyFont="1" applyBorder="1" applyAlignment="1">
      <alignment/>
    </xf>
    <xf numFmtId="174" fontId="5" fillId="0" borderId="59" xfId="51" applyNumberFormat="1" applyFont="1" applyBorder="1" applyAlignment="1">
      <alignment/>
    </xf>
    <xf numFmtId="174" fontId="3" fillId="0" borderId="59" xfId="51" applyNumberFormat="1" applyFont="1" applyBorder="1" applyAlignment="1">
      <alignment/>
    </xf>
    <xf numFmtId="172" fontId="9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9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94" fillId="0" borderId="11" xfId="0" applyNumberFormat="1" applyFont="1" applyFill="1" applyBorder="1" applyAlignment="1" applyProtection="1">
      <alignment vertical="center"/>
      <protection locked="0"/>
    </xf>
    <xf numFmtId="3" fontId="94" fillId="0" borderId="27" xfId="0" applyNumberFormat="1" applyFont="1" applyFill="1" applyBorder="1" applyAlignment="1" applyProtection="1">
      <alignment vertical="center"/>
      <protection/>
    </xf>
    <xf numFmtId="172" fontId="9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9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9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9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9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79" applyFont="1">
      <alignment/>
      <protection/>
    </xf>
    <xf numFmtId="0" fontId="26" fillId="0" borderId="0" xfId="79">
      <alignment/>
      <protection/>
    </xf>
    <xf numFmtId="0" fontId="31" fillId="0" borderId="0" xfId="79" applyFont="1" applyAlignment="1">
      <alignment horizontal="centerContinuous"/>
      <protection/>
    </xf>
    <xf numFmtId="0" fontId="31" fillId="0" borderId="0" xfId="76" applyFont="1" applyAlignment="1">
      <alignment horizontal="centerContinuous"/>
      <protection/>
    </xf>
    <xf numFmtId="0" fontId="19" fillId="0" borderId="0" xfId="79" applyFont="1" applyAlignment="1">
      <alignment horizontal="centerContinuous"/>
      <protection/>
    </xf>
    <xf numFmtId="0" fontId="19" fillId="0" borderId="0" xfId="76" applyFont="1" applyFill="1" applyAlignment="1">
      <alignment horizontal="centerContinuous"/>
      <protection/>
    </xf>
    <xf numFmtId="0" fontId="28" fillId="0" borderId="0" xfId="79" applyFont="1" applyAlignment="1">
      <alignment horizontal="centerContinuous"/>
      <protection/>
    </xf>
    <xf numFmtId="0" fontId="34" fillId="0" borderId="0" xfId="79" applyFont="1" applyAlignment="1">
      <alignment horizontal="right"/>
      <protection/>
    </xf>
    <xf numFmtId="0" fontId="12" fillId="0" borderId="11" xfId="79" applyFont="1" applyBorder="1" applyAlignment="1">
      <alignment horizontal="center"/>
      <protection/>
    </xf>
    <xf numFmtId="0" fontId="12" fillId="0" borderId="27" xfId="79" applyFont="1" applyBorder="1" applyAlignment="1">
      <alignment horizontal="center"/>
      <protection/>
    </xf>
    <xf numFmtId="0" fontId="14" fillId="0" borderId="17" xfId="79" applyFont="1" applyBorder="1" applyAlignment="1">
      <alignment horizontal="left"/>
      <protection/>
    </xf>
    <xf numFmtId="0" fontId="26" fillId="0" borderId="0" xfId="79" applyFont="1">
      <alignment/>
      <protection/>
    </xf>
    <xf numFmtId="3" fontId="26" fillId="0" borderId="0" xfId="79" applyNumberFormat="1">
      <alignment/>
      <protection/>
    </xf>
    <xf numFmtId="0" fontId="38" fillId="0" borderId="0" xfId="79" applyFont="1">
      <alignment/>
      <protection/>
    </xf>
    <xf numFmtId="0" fontId="2" fillId="0" borderId="0" xfId="74" applyFont="1">
      <alignment/>
      <protection/>
    </xf>
    <xf numFmtId="0" fontId="26" fillId="0" borderId="0" xfId="74">
      <alignment/>
      <protection/>
    </xf>
    <xf numFmtId="0" fontId="7" fillId="0" borderId="0" xfId="74" applyFont="1" applyAlignment="1">
      <alignment horizontal="center"/>
      <protection/>
    </xf>
    <xf numFmtId="0" fontId="28" fillId="0" borderId="0" xfId="74" applyFont="1" applyAlignment="1">
      <alignment horizontal="centerContinuous"/>
      <protection/>
    </xf>
    <xf numFmtId="0" fontId="5" fillId="0" borderId="73" xfId="74" applyFont="1" applyBorder="1" applyAlignment="1">
      <alignment vertical="center"/>
      <protection/>
    </xf>
    <xf numFmtId="0" fontId="2" fillId="0" borderId="57" xfId="74" applyFont="1" applyBorder="1" applyAlignment="1">
      <alignment vertical="center"/>
      <protection/>
    </xf>
    <xf numFmtId="0" fontId="2" fillId="0" borderId="58" xfId="74" applyFont="1" applyBorder="1" applyAlignment="1">
      <alignment vertical="center"/>
      <protection/>
    </xf>
    <xf numFmtId="0" fontId="26" fillId="0" borderId="0" xfId="74" applyAlignment="1">
      <alignment vertical="center"/>
      <protection/>
    </xf>
    <xf numFmtId="0" fontId="26" fillId="0" borderId="0" xfId="74" applyFill="1" applyBorder="1">
      <alignment/>
      <protection/>
    </xf>
    <xf numFmtId="0" fontId="26" fillId="0" borderId="0" xfId="74" applyBorder="1">
      <alignment/>
      <protection/>
    </xf>
    <xf numFmtId="0" fontId="0" fillId="0" borderId="70" xfId="74" applyFont="1" applyBorder="1" applyAlignment="1">
      <alignment horizontal="left"/>
      <protection/>
    </xf>
    <xf numFmtId="0" fontId="0" fillId="0" borderId="71" xfId="74" applyFont="1" applyBorder="1">
      <alignment/>
      <protection/>
    </xf>
    <xf numFmtId="0" fontId="0" fillId="0" borderId="44" xfId="74" applyFont="1" applyBorder="1">
      <alignment/>
      <protection/>
    </xf>
    <xf numFmtId="0" fontId="0" fillId="0" borderId="0" xfId="74" applyFont="1" applyBorder="1">
      <alignment/>
      <protection/>
    </xf>
    <xf numFmtId="0" fontId="0" fillId="0" borderId="70" xfId="74" applyFont="1" applyBorder="1">
      <alignment/>
      <protection/>
    </xf>
    <xf numFmtId="0" fontId="29" fillId="0" borderId="44" xfId="74" applyFont="1" applyBorder="1">
      <alignment/>
      <protection/>
    </xf>
    <xf numFmtId="0" fontId="26" fillId="0" borderId="0" xfId="73">
      <alignment/>
      <protection/>
    </xf>
    <xf numFmtId="0" fontId="14" fillId="0" borderId="0" xfId="73" applyFont="1">
      <alignment/>
      <protection/>
    </xf>
    <xf numFmtId="0" fontId="12" fillId="0" borderId="0" xfId="73" applyFont="1">
      <alignment/>
      <protection/>
    </xf>
    <xf numFmtId="0" fontId="47" fillId="0" borderId="0" xfId="73" applyFont="1">
      <alignment/>
      <protection/>
    </xf>
    <xf numFmtId="0" fontId="0" fillId="0" borderId="0" xfId="73" applyFont="1">
      <alignment/>
      <protection/>
    </xf>
    <xf numFmtId="0" fontId="14" fillId="0" borderId="0" xfId="73" applyFont="1">
      <alignment/>
      <protection/>
    </xf>
    <xf numFmtId="0" fontId="13" fillId="0" borderId="0" xfId="73" applyFont="1" applyAlignment="1">
      <alignment horizontal="right"/>
      <protection/>
    </xf>
    <xf numFmtId="49" fontId="28" fillId="0" borderId="0" xfId="73" applyNumberFormat="1" applyFont="1" applyAlignment="1">
      <alignment horizontal="centerContinuous"/>
      <protection/>
    </xf>
    <xf numFmtId="0" fontId="14" fillId="0" borderId="0" xfId="73" applyFont="1" applyAlignment="1">
      <alignment horizontal="centerContinuous"/>
      <protection/>
    </xf>
    <xf numFmtId="0" fontId="12" fillId="0" borderId="0" xfId="73" applyFont="1" applyAlignment="1">
      <alignment horizontal="centerContinuous"/>
      <protection/>
    </xf>
    <xf numFmtId="0" fontId="0" fillId="0" borderId="0" xfId="73" applyFont="1" applyAlignment="1">
      <alignment horizontal="centerContinuous"/>
      <protection/>
    </xf>
    <xf numFmtId="0" fontId="3" fillId="0" borderId="0" xfId="73" applyFont="1" applyAlignment="1">
      <alignment horizontal="centerContinuous"/>
      <protection/>
    </xf>
    <xf numFmtId="0" fontId="28" fillId="0" borderId="0" xfId="73" applyFont="1" applyAlignment="1">
      <alignment horizontal="centerContinuous"/>
      <protection/>
    </xf>
    <xf numFmtId="0" fontId="32" fillId="0" borderId="0" xfId="73" applyFont="1" applyAlignment="1">
      <alignment horizontal="centerContinuous"/>
      <protection/>
    </xf>
    <xf numFmtId="0" fontId="5" fillId="0" borderId="73" xfId="73" applyFont="1" applyBorder="1">
      <alignment/>
      <protection/>
    </xf>
    <xf numFmtId="0" fontId="5" fillId="0" borderId="57" xfId="73" applyFont="1" applyBorder="1" applyAlignment="1">
      <alignment horizontal="center"/>
      <protection/>
    </xf>
    <xf numFmtId="0" fontId="13" fillId="0" borderId="49" xfId="73" applyFont="1" applyBorder="1" applyAlignment="1">
      <alignment horizontal="center"/>
      <protection/>
    </xf>
    <xf numFmtId="0" fontId="6" fillId="0" borderId="19" xfId="73" applyFont="1" applyBorder="1" applyAlignment="1">
      <alignment horizontal="center"/>
      <protection/>
    </xf>
    <xf numFmtId="0" fontId="6" fillId="0" borderId="15" xfId="73" applyFont="1" applyBorder="1" applyAlignment="1">
      <alignment horizontal="center"/>
      <protection/>
    </xf>
    <xf numFmtId="0" fontId="6" fillId="0" borderId="31" xfId="73" applyFont="1" applyBorder="1" applyAlignment="1">
      <alignment horizontal="center"/>
      <protection/>
    </xf>
    <xf numFmtId="0" fontId="6" fillId="0" borderId="52" xfId="73" applyFont="1" applyBorder="1" applyAlignment="1">
      <alignment horizontal="center"/>
      <protection/>
    </xf>
    <xf numFmtId="0" fontId="11" fillId="0" borderId="74" xfId="73" applyFont="1" applyBorder="1">
      <alignment/>
      <protection/>
    </xf>
    <xf numFmtId="0" fontId="6" fillId="0" borderId="16" xfId="73" applyFont="1" applyBorder="1" applyAlignment="1">
      <alignment horizontal="center"/>
      <protection/>
    </xf>
    <xf numFmtId="0" fontId="6" fillId="0" borderId="10" xfId="73" applyFont="1" applyBorder="1" applyAlignment="1">
      <alignment horizontal="center"/>
      <protection/>
    </xf>
    <xf numFmtId="0" fontId="6" fillId="0" borderId="46" xfId="73" applyFont="1" applyBorder="1" applyAlignment="1">
      <alignment horizontal="center"/>
      <protection/>
    </xf>
    <xf numFmtId="0" fontId="6" fillId="0" borderId="0" xfId="73" applyFont="1" applyBorder="1" applyAlignment="1">
      <alignment horizontal="center"/>
      <protection/>
    </xf>
    <xf numFmtId="3" fontId="11" fillId="0" borderId="75" xfId="73" applyNumberFormat="1" applyFont="1" applyBorder="1" applyAlignment="1">
      <alignment horizontal="center"/>
      <protection/>
    </xf>
    <xf numFmtId="3" fontId="11" fillId="0" borderId="13" xfId="73" applyNumberFormat="1" applyFont="1" applyBorder="1" applyAlignment="1">
      <alignment horizontal="center"/>
      <protection/>
    </xf>
    <xf numFmtId="3" fontId="11" fillId="0" borderId="13" xfId="73" applyNumberFormat="1" applyFont="1" applyBorder="1" applyAlignment="1">
      <alignment horizontal="right"/>
      <protection/>
    </xf>
    <xf numFmtId="3" fontId="6" fillId="0" borderId="26" xfId="73" applyNumberFormat="1" applyFont="1" applyBorder="1">
      <alignment/>
      <protection/>
    </xf>
    <xf numFmtId="3" fontId="6" fillId="0" borderId="57" xfId="73" applyNumberFormat="1" applyFont="1" applyBorder="1">
      <alignment/>
      <protection/>
    </xf>
    <xf numFmtId="3" fontId="11" fillId="0" borderId="20" xfId="73" applyNumberFormat="1" applyFont="1" applyBorder="1" applyAlignment="1">
      <alignment horizontal="right"/>
      <protection/>
    </xf>
    <xf numFmtId="3" fontId="11" fillId="0" borderId="13" xfId="73" applyNumberFormat="1" applyFont="1" applyBorder="1" applyAlignment="1">
      <alignment/>
      <protection/>
    </xf>
    <xf numFmtId="3" fontId="6" fillId="0" borderId="26" xfId="73" applyNumberFormat="1" applyFont="1" applyBorder="1">
      <alignment/>
      <protection/>
    </xf>
    <xf numFmtId="0" fontId="27" fillId="0" borderId="0" xfId="73" applyFont="1">
      <alignment/>
      <protection/>
    </xf>
    <xf numFmtId="3" fontId="11" fillId="0" borderId="14" xfId="73" applyNumberFormat="1" applyFont="1" applyBorder="1">
      <alignment/>
      <protection/>
    </xf>
    <xf numFmtId="3" fontId="11" fillId="0" borderId="11" xfId="73" applyNumberFormat="1" applyFont="1" applyBorder="1">
      <alignment/>
      <protection/>
    </xf>
    <xf numFmtId="3" fontId="6" fillId="0" borderId="27" xfId="73" applyNumberFormat="1" applyFont="1" applyBorder="1">
      <alignment/>
      <protection/>
    </xf>
    <xf numFmtId="3" fontId="6" fillId="0" borderId="52" xfId="73" applyNumberFormat="1" applyFont="1" applyBorder="1">
      <alignment/>
      <protection/>
    </xf>
    <xf numFmtId="3" fontId="11" fillId="0" borderId="17" xfId="73" applyNumberFormat="1" applyFont="1" applyBorder="1">
      <alignment/>
      <protection/>
    </xf>
    <xf numFmtId="3" fontId="6" fillId="0" borderId="27" xfId="73" applyNumberFormat="1" applyFont="1" applyBorder="1">
      <alignment/>
      <protection/>
    </xf>
    <xf numFmtId="0" fontId="11" fillId="0" borderId="48" xfId="73" applyFont="1" applyBorder="1">
      <alignment/>
      <protection/>
    </xf>
    <xf numFmtId="3" fontId="6" fillId="0" borderId="0" xfId="73" applyNumberFormat="1" applyFont="1" applyBorder="1">
      <alignment/>
      <protection/>
    </xf>
    <xf numFmtId="3" fontId="11" fillId="0" borderId="11" xfId="73" applyNumberFormat="1" applyFont="1" applyFill="1" applyBorder="1">
      <alignment/>
      <protection/>
    </xf>
    <xf numFmtId="3" fontId="6" fillId="0" borderId="55" xfId="73" applyNumberFormat="1" applyFont="1" applyBorder="1">
      <alignment/>
      <protection/>
    </xf>
    <xf numFmtId="49" fontId="11" fillId="0" borderId="48" xfId="73" applyNumberFormat="1" applyFont="1" applyBorder="1">
      <alignment/>
      <protection/>
    </xf>
    <xf numFmtId="3" fontId="34" fillId="0" borderId="11" xfId="73" applyNumberFormat="1" applyFont="1" applyBorder="1">
      <alignment/>
      <protection/>
    </xf>
    <xf numFmtId="3" fontId="34" fillId="0" borderId="14" xfId="73" applyNumberFormat="1" applyFont="1" applyBorder="1">
      <alignment/>
      <protection/>
    </xf>
    <xf numFmtId="3" fontId="13" fillId="0" borderId="52" xfId="73" applyNumberFormat="1" applyFont="1" applyBorder="1">
      <alignment/>
      <protection/>
    </xf>
    <xf numFmtId="3" fontId="34" fillId="0" borderId="17" xfId="73" applyNumberFormat="1" applyFont="1" applyBorder="1">
      <alignment/>
      <protection/>
    </xf>
    <xf numFmtId="49" fontId="34" fillId="0" borderId="48" xfId="73" applyNumberFormat="1" applyFont="1" applyBorder="1">
      <alignment/>
      <protection/>
    </xf>
    <xf numFmtId="3" fontId="13" fillId="0" borderId="27" xfId="73" applyNumberFormat="1" applyFont="1" applyBorder="1">
      <alignment/>
      <protection/>
    </xf>
    <xf numFmtId="3" fontId="13" fillId="0" borderId="27" xfId="73" applyNumberFormat="1" applyFont="1" applyBorder="1">
      <alignment/>
      <protection/>
    </xf>
    <xf numFmtId="0" fontId="0" fillId="0" borderId="48" xfId="73" applyFont="1" applyBorder="1">
      <alignment/>
      <protection/>
    </xf>
    <xf numFmtId="3" fontId="11" fillId="0" borderId="76" xfId="73" applyNumberFormat="1" applyFont="1" applyBorder="1">
      <alignment/>
      <protection/>
    </xf>
    <xf numFmtId="3" fontId="11" fillId="0" borderId="15" xfId="73" applyNumberFormat="1" applyFont="1" applyBorder="1">
      <alignment/>
      <protection/>
    </xf>
    <xf numFmtId="3" fontId="34" fillId="0" borderId="15" xfId="73" applyNumberFormat="1" applyFont="1" applyBorder="1">
      <alignment/>
      <protection/>
    </xf>
    <xf numFmtId="3" fontId="6" fillId="0" borderId="31" xfId="73" applyNumberFormat="1" applyFont="1" applyBorder="1">
      <alignment/>
      <protection/>
    </xf>
    <xf numFmtId="3" fontId="13" fillId="0" borderId="77" xfId="73" applyNumberFormat="1" applyFont="1" applyBorder="1">
      <alignment/>
      <protection/>
    </xf>
    <xf numFmtId="3" fontId="11" fillId="0" borderId="19" xfId="73" applyNumberFormat="1" applyFont="1" applyBorder="1">
      <alignment/>
      <protection/>
    </xf>
    <xf numFmtId="3" fontId="11" fillId="0" borderId="76" xfId="73" applyNumberFormat="1" applyFont="1" applyFill="1" applyBorder="1">
      <alignment/>
      <protection/>
    </xf>
    <xf numFmtId="3" fontId="11" fillId="0" borderId="15" xfId="73" applyNumberFormat="1" applyFont="1" applyFill="1" applyBorder="1">
      <alignment/>
      <protection/>
    </xf>
    <xf numFmtId="0" fontId="6" fillId="0" borderId="47" xfId="73" applyFont="1" applyBorder="1">
      <alignment/>
      <protection/>
    </xf>
    <xf numFmtId="3" fontId="6" fillId="0" borderId="75" xfId="73" applyNumberFormat="1" applyFont="1" applyBorder="1">
      <alignment/>
      <protection/>
    </xf>
    <xf numFmtId="3" fontId="6" fillId="0" borderId="20" xfId="73" applyNumberFormat="1" applyFont="1" applyBorder="1">
      <alignment/>
      <protection/>
    </xf>
    <xf numFmtId="3" fontId="6" fillId="0" borderId="78" xfId="73" applyNumberFormat="1" applyFont="1" applyBorder="1">
      <alignment/>
      <protection/>
    </xf>
    <xf numFmtId="3" fontId="26" fillId="0" borderId="0" xfId="73" applyNumberFormat="1">
      <alignment/>
      <protection/>
    </xf>
    <xf numFmtId="0" fontId="11" fillId="0" borderId="48" xfId="73" applyFont="1" applyBorder="1" quotePrefix="1">
      <alignment/>
      <protection/>
    </xf>
    <xf numFmtId="3" fontId="11" fillId="0" borderId="14" xfId="73" applyNumberFormat="1" applyFont="1" applyBorder="1">
      <alignment/>
      <protection/>
    </xf>
    <xf numFmtId="3" fontId="11" fillId="0" borderId="11" xfId="73" applyNumberFormat="1" applyFont="1" applyBorder="1">
      <alignment/>
      <protection/>
    </xf>
    <xf numFmtId="3" fontId="6" fillId="0" borderId="17" xfId="73" applyNumberFormat="1" applyFont="1" applyBorder="1">
      <alignment/>
      <protection/>
    </xf>
    <xf numFmtId="3" fontId="6" fillId="0" borderId="11" xfId="73" applyNumberFormat="1" applyFont="1" applyBorder="1">
      <alignment/>
      <protection/>
    </xf>
    <xf numFmtId="3" fontId="11" fillId="0" borderId="27" xfId="73" applyNumberFormat="1" applyFont="1" applyBorder="1">
      <alignment/>
      <protection/>
    </xf>
    <xf numFmtId="0" fontId="6" fillId="0" borderId="79" xfId="73" applyFont="1" applyBorder="1">
      <alignment/>
      <protection/>
    </xf>
    <xf numFmtId="3" fontId="6" fillId="0" borderId="80" xfId="73" applyNumberFormat="1" applyFont="1" applyBorder="1">
      <alignment/>
      <protection/>
    </xf>
    <xf numFmtId="3" fontId="6" fillId="0" borderId="34" xfId="73" applyNumberFormat="1" applyFont="1" applyBorder="1">
      <alignment/>
      <protection/>
    </xf>
    <xf numFmtId="3" fontId="6" fillId="0" borderId="79" xfId="73" applyNumberFormat="1" applyFont="1" applyBorder="1">
      <alignment/>
      <protection/>
    </xf>
    <xf numFmtId="3" fontId="6" fillId="0" borderId="30" xfId="73" applyNumberFormat="1" applyFont="1" applyBorder="1">
      <alignment/>
      <protection/>
    </xf>
    <xf numFmtId="0" fontId="34" fillId="0" borderId="0" xfId="73" applyFont="1" applyBorder="1" quotePrefix="1">
      <alignment/>
      <protection/>
    </xf>
    <xf numFmtId="3" fontId="11" fillId="0" borderId="0" xfId="73" applyNumberFormat="1" applyFont="1" applyBorder="1">
      <alignment/>
      <protection/>
    </xf>
    <xf numFmtId="3" fontId="13" fillId="0" borderId="0" xfId="73" applyNumberFormat="1" applyFont="1" applyBorder="1">
      <alignment/>
      <protection/>
    </xf>
    <xf numFmtId="3" fontId="11" fillId="0" borderId="0" xfId="73" applyNumberFormat="1" applyFont="1" applyFill="1" applyBorder="1">
      <alignment/>
      <protection/>
    </xf>
    <xf numFmtId="3" fontId="34" fillId="0" borderId="0" xfId="73" applyNumberFormat="1" applyFont="1" applyFill="1" applyBorder="1">
      <alignment/>
      <protection/>
    </xf>
    <xf numFmtId="3" fontId="34" fillId="0" borderId="0" xfId="73" applyNumberFormat="1" applyFont="1" applyBorder="1">
      <alignment/>
      <protection/>
    </xf>
    <xf numFmtId="3" fontId="35" fillId="0" borderId="0" xfId="73" applyNumberFormat="1" applyFont="1" applyBorder="1">
      <alignment/>
      <protection/>
    </xf>
    <xf numFmtId="172" fontId="36" fillId="0" borderId="27" xfId="75" applyNumberFormat="1" applyFont="1" applyFill="1" applyBorder="1" applyAlignment="1" applyProtection="1">
      <alignment horizontal="right" vertical="center" wrapText="1" indent="1"/>
      <protection/>
    </xf>
    <xf numFmtId="172" fontId="36" fillId="0" borderId="29" xfId="75" applyNumberFormat="1" applyFont="1" applyFill="1" applyBorder="1" applyAlignment="1" applyProtection="1">
      <alignment horizontal="right" vertical="center" wrapText="1" indent="1"/>
      <protection/>
    </xf>
    <xf numFmtId="172" fontId="36" fillId="0" borderId="29" xfId="75" applyNumberFormat="1" applyFont="1" applyFill="1" applyBorder="1" applyAlignment="1" applyProtection="1">
      <alignment horizontal="center" vertical="center" wrapText="1"/>
      <protection/>
    </xf>
    <xf numFmtId="172" fontId="36" fillId="0" borderId="27" xfId="75" applyNumberFormat="1" applyFont="1" applyFill="1" applyBorder="1" applyAlignment="1" applyProtection="1">
      <alignment horizontal="center" vertical="center" wrapText="1"/>
      <protection/>
    </xf>
    <xf numFmtId="172" fontId="36" fillId="0" borderId="31" xfId="75" applyNumberFormat="1" applyFont="1" applyFill="1" applyBorder="1" applyAlignment="1" applyProtection="1">
      <alignment horizontal="center" vertical="center" wrapText="1"/>
      <protection/>
    </xf>
    <xf numFmtId="172" fontId="3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3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3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17" xfId="75" applyFont="1" applyFill="1" applyBorder="1" applyAlignment="1" applyProtection="1">
      <alignment horizontal="left"/>
      <protection locked="0"/>
    </xf>
    <xf numFmtId="172" fontId="37" fillId="0" borderId="0" xfId="0" applyNumberFormat="1" applyFont="1" applyFill="1" applyAlignment="1">
      <alignment vertical="center" wrapText="1"/>
    </xf>
    <xf numFmtId="172" fontId="33" fillId="0" borderId="26" xfId="0" applyNumberFormat="1" applyFont="1" applyFill="1" applyBorder="1" applyAlignment="1" applyProtection="1">
      <alignment vertical="center" wrapText="1"/>
      <protection/>
    </xf>
    <xf numFmtId="172" fontId="11" fillId="0" borderId="27" xfId="0" applyNumberFormat="1" applyFont="1" applyFill="1" applyBorder="1" applyAlignment="1" applyProtection="1">
      <alignment vertical="center" wrapText="1"/>
      <protection/>
    </xf>
    <xf numFmtId="172" fontId="33" fillId="0" borderId="27" xfId="0" applyNumberFormat="1" applyFont="1" applyFill="1" applyBorder="1" applyAlignment="1" applyProtection="1">
      <alignment vertical="center" wrapText="1"/>
      <protection/>
    </xf>
    <xf numFmtId="172" fontId="11" fillId="0" borderId="31" xfId="0" applyNumberFormat="1" applyFont="1" applyFill="1" applyBorder="1" applyAlignment="1" applyProtection="1">
      <alignment vertical="center" wrapText="1"/>
      <protection/>
    </xf>
    <xf numFmtId="172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172" fontId="11" fillId="0" borderId="29" xfId="0" applyNumberFormat="1" applyFont="1" applyFill="1" applyBorder="1" applyAlignment="1" applyProtection="1">
      <alignment vertical="center" wrapText="1"/>
      <protection/>
    </xf>
    <xf numFmtId="172" fontId="11" fillId="0" borderId="18" xfId="0" applyNumberFormat="1" applyFont="1" applyFill="1" applyBorder="1" applyAlignment="1" applyProtection="1">
      <alignment horizontal="left" vertical="center" wrapText="1"/>
      <protection locked="0"/>
    </xf>
    <xf numFmtId="172" fontId="11" fillId="0" borderId="12" xfId="0" applyNumberFormat="1" applyFont="1" applyFill="1" applyBorder="1" applyAlignment="1" applyProtection="1">
      <alignment vertical="center" wrapText="1"/>
      <protection locked="0"/>
    </xf>
    <xf numFmtId="172" fontId="33" fillId="0" borderId="4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7" fillId="0" borderId="22" xfId="0" applyFont="1" applyFill="1" applyBorder="1" applyAlignment="1" applyProtection="1">
      <alignment horizontal="left" vertical="center"/>
      <protection/>
    </xf>
    <xf numFmtId="0" fontId="37" fillId="0" borderId="41" xfId="0" applyFont="1" applyFill="1" applyBorder="1" applyAlignment="1" applyProtection="1">
      <alignment vertical="center" wrapText="1"/>
      <protection/>
    </xf>
    <xf numFmtId="0" fontId="37" fillId="0" borderId="44" xfId="74" applyFont="1" applyBorder="1">
      <alignment/>
      <protection/>
    </xf>
    <xf numFmtId="0" fontId="6" fillId="0" borderId="24" xfId="77" applyFont="1" applyFill="1" applyBorder="1" applyAlignment="1" applyProtection="1">
      <alignment horizontal="center" vertical="center" wrapText="1"/>
      <protection locked="0"/>
    </xf>
    <xf numFmtId="0" fontId="6" fillId="0" borderId="25" xfId="77" applyFont="1" applyFill="1" applyBorder="1" applyAlignment="1" applyProtection="1">
      <alignment horizontal="center" vertical="center"/>
      <protection locked="0"/>
    </xf>
    <xf numFmtId="0" fontId="6" fillId="0" borderId="36" xfId="77" applyFont="1" applyFill="1" applyBorder="1" applyAlignment="1" applyProtection="1">
      <alignment horizontal="center" vertical="center"/>
      <protection locked="0"/>
    </xf>
    <xf numFmtId="172" fontId="14" fillId="0" borderId="27" xfId="77" applyNumberFormat="1" applyFont="1" applyFill="1" applyBorder="1" applyAlignment="1" applyProtection="1">
      <alignment vertical="center"/>
      <protection/>
    </xf>
    <xf numFmtId="0" fontId="6" fillId="0" borderId="45" xfId="73" applyFont="1" applyBorder="1" applyAlignment="1">
      <alignment horizontal="center"/>
      <protection/>
    </xf>
    <xf numFmtId="0" fontId="6" fillId="0" borderId="33" xfId="73" applyFont="1" applyBorder="1" applyAlignment="1">
      <alignment horizontal="center"/>
      <protection/>
    </xf>
    <xf numFmtId="0" fontId="6" fillId="0" borderId="54" xfId="73" applyFont="1" applyBorder="1" applyAlignment="1">
      <alignment horizontal="center"/>
      <protection/>
    </xf>
    <xf numFmtId="0" fontId="11" fillId="0" borderId="78" xfId="73" applyFont="1" applyBorder="1">
      <alignment/>
      <protection/>
    </xf>
    <xf numFmtId="0" fontId="11" fillId="0" borderId="77" xfId="73" applyFont="1" applyBorder="1">
      <alignment/>
      <protection/>
    </xf>
    <xf numFmtId="0" fontId="11" fillId="0" borderId="52" xfId="73" applyFont="1" applyBorder="1">
      <alignment/>
      <protection/>
    </xf>
    <xf numFmtId="172" fontId="94" fillId="0" borderId="31" xfId="75" applyNumberFormat="1" applyFont="1" applyFill="1" applyBorder="1" applyAlignment="1" applyProtection="1">
      <alignment horizontal="center" vertical="center" wrapText="1"/>
      <protection/>
    </xf>
    <xf numFmtId="172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9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96" fillId="0" borderId="29" xfId="0" applyNumberFormat="1" applyFont="1" applyFill="1" applyBorder="1" applyAlignment="1" applyProtection="1">
      <alignment vertical="center" wrapText="1"/>
      <protection/>
    </xf>
    <xf numFmtId="172" fontId="97" fillId="0" borderId="0" xfId="0" applyNumberFormat="1" applyFont="1" applyFill="1" applyAlignment="1">
      <alignment vertical="center" wrapText="1"/>
    </xf>
    <xf numFmtId="172" fontId="98" fillId="0" borderId="48" xfId="0" applyNumberFormat="1" applyFont="1" applyFill="1" applyBorder="1" applyAlignment="1" applyProtection="1">
      <alignment horizontal="left" vertical="center" wrapText="1"/>
      <protection locked="0"/>
    </xf>
    <xf numFmtId="172" fontId="98" fillId="0" borderId="17" xfId="0" applyNumberFormat="1" applyFont="1" applyFill="1" applyBorder="1" applyAlignment="1" applyProtection="1">
      <alignment vertical="center" wrapText="1"/>
      <protection locked="0"/>
    </xf>
    <xf numFmtId="49" fontId="98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98" fillId="0" borderId="11" xfId="0" applyNumberFormat="1" applyFont="1" applyFill="1" applyBorder="1" applyAlignment="1" applyProtection="1">
      <alignment vertical="center" wrapText="1"/>
      <protection locked="0"/>
    </xf>
    <xf numFmtId="172" fontId="98" fillId="0" borderId="27" xfId="0" applyNumberFormat="1" applyFont="1" applyFill="1" applyBorder="1" applyAlignment="1" applyProtection="1">
      <alignment vertical="center" wrapText="1"/>
      <protection/>
    </xf>
    <xf numFmtId="172" fontId="98" fillId="0" borderId="17" xfId="0" applyNumberFormat="1" applyFont="1" applyFill="1" applyBorder="1" applyAlignment="1" applyProtection="1">
      <alignment vertical="center" wrapText="1"/>
      <protection locked="0"/>
    </xf>
    <xf numFmtId="172" fontId="98" fillId="0" borderId="11" xfId="0" applyNumberFormat="1" applyFont="1" applyFill="1" applyBorder="1" applyAlignment="1" applyProtection="1">
      <alignment vertical="center" wrapText="1"/>
      <protection locked="0"/>
    </xf>
    <xf numFmtId="172" fontId="98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98" fillId="0" borderId="17" xfId="75" applyFont="1" applyFill="1" applyBorder="1" applyAlignment="1" applyProtection="1">
      <alignment horizontal="left"/>
      <protection locked="0"/>
    </xf>
    <xf numFmtId="172" fontId="98" fillId="0" borderId="52" xfId="0" applyNumberFormat="1" applyFont="1" applyFill="1" applyBorder="1" applyAlignment="1" applyProtection="1">
      <alignment horizontal="left" vertical="center" wrapText="1"/>
      <protection locked="0"/>
    </xf>
    <xf numFmtId="49" fontId="98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98" fillId="0" borderId="27" xfId="0" applyNumberFormat="1" applyFont="1" applyFill="1" applyBorder="1" applyAlignment="1" applyProtection="1">
      <alignment vertical="center" wrapText="1"/>
      <protection/>
    </xf>
    <xf numFmtId="172" fontId="99" fillId="0" borderId="0" xfId="0" applyNumberFormat="1" applyFont="1" applyFill="1" applyAlignment="1">
      <alignment vertical="center" wrapText="1"/>
    </xf>
    <xf numFmtId="0" fontId="98" fillId="0" borderId="48" xfId="75" applyFont="1" applyFill="1" applyBorder="1" applyProtection="1">
      <alignment/>
      <protection locked="0"/>
    </xf>
    <xf numFmtId="172" fontId="100" fillId="0" borderId="17" xfId="0" applyNumberFormat="1" applyFont="1" applyFill="1" applyBorder="1" applyAlignment="1" applyProtection="1">
      <alignment vertical="center" wrapText="1"/>
      <protection locked="0"/>
    </xf>
    <xf numFmtId="172" fontId="100" fillId="0" borderId="11" xfId="0" applyNumberFormat="1" applyFont="1" applyFill="1" applyBorder="1" applyAlignment="1" applyProtection="1">
      <alignment vertical="center" wrapText="1"/>
      <protection locked="0"/>
    </xf>
    <xf numFmtId="172" fontId="98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97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101" fillId="0" borderId="48" xfId="0" applyFont="1" applyFill="1" applyBorder="1" applyAlignment="1">
      <alignment vertical="center"/>
    </xf>
    <xf numFmtId="172" fontId="96" fillId="0" borderId="27" xfId="0" applyNumberFormat="1" applyFont="1" applyFill="1" applyBorder="1" applyAlignment="1" applyProtection="1">
      <alignment vertical="center" wrapText="1"/>
      <protection/>
    </xf>
    <xf numFmtId="172" fontId="98" fillId="0" borderId="14" xfId="0" applyNumberFormat="1" applyFont="1" applyFill="1" applyBorder="1" applyAlignment="1" applyProtection="1">
      <alignment vertical="center" wrapText="1"/>
      <protection locked="0"/>
    </xf>
    <xf numFmtId="172" fontId="96" fillId="0" borderId="29" xfId="0" applyNumberFormat="1" applyFont="1" applyFill="1" applyBorder="1" applyAlignment="1" applyProtection="1">
      <alignment vertical="center" wrapText="1"/>
      <protection/>
    </xf>
    <xf numFmtId="0" fontId="101" fillId="0" borderId="47" xfId="0" applyFont="1" applyFill="1" applyBorder="1" applyAlignment="1">
      <alignment vertical="center"/>
    </xf>
    <xf numFmtId="172" fontId="98" fillId="0" borderId="81" xfId="0" applyNumberFormat="1" applyFont="1" applyFill="1" applyBorder="1" applyAlignment="1" applyProtection="1">
      <alignment vertical="center" wrapText="1"/>
      <protection locked="0"/>
    </xf>
    <xf numFmtId="49" fontId="98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98" fillId="0" borderId="12" xfId="0" applyNumberFormat="1" applyFont="1" applyFill="1" applyBorder="1" applyAlignment="1" applyProtection="1">
      <alignment vertical="center" wrapText="1"/>
      <protection locked="0"/>
    </xf>
    <xf numFmtId="0" fontId="101" fillId="0" borderId="78" xfId="0" applyFont="1" applyFill="1" applyBorder="1" applyAlignment="1">
      <alignment vertical="center"/>
    </xf>
    <xf numFmtId="172" fontId="98" fillId="0" borderId="75" xfId="0" applyNumberFormat="1" applyFont="1" applyFill="1" applyBorder="1" applyAlignment="1" applyProtection="1">
      <alignment vertical="center" wrapText="1"/>
      <protection locked="0"/>
    </xf>
    <xf numFmtId="49" fontId="98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98" fillId="0" borderId="13" xfId="0" applyNumberFormat="1" applyFont="1" applyFill="1" applyBorder="1" applyAlignment="1" applyProtection="1">
      <alignment vertical="center" wrapText="1"/>
      <protection locked="0"/>
    </xf>
    <xf numFmtId="172" fontId="98" fillId="0" borderId="36" xfId="0" applyNumberFormat="1" applyFont="1" applyFill="1" applyBorder="1" applyAlignment="1" applyProtection="1">
      <alignment vertical="center" wrapText="1"/>
      <protection/>
    </xf>
    <xf numFmtId="172" fontId="98" fillId="0" borderId="31" xfId="0" applyNumberFormat="1" applyFont="1" applyFill="1" applyBorder="1" applyAlignment="1" applyProtection="1">
      <alignment vertical="center" wrapText="1"/>
      <protection/>
    </xf>
    <xf numFmtId="0" fontId="101" fillId="0" borderId="82" xfId="0" applyFont="1" applyFill="1" applyBorder="1" applyAlignment="1">
      <alignment vertical="center"/>
    </xf>
    <xf numFmtId="172" fontId="98" fillId="0" borderId="83" xfId="0" applyNumberFormat="1" applyFont="1" applyFill="1" applyBorder="1" applyAlignment="1" applyProtection="1">
      <alignment vertical="center" wrapText="1"/>
      <protection locked="0"/>
    </xf>
    <xf numFmtId="49" fontId="98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98" fillId="0" borderId="10" xfId="0" applyNumberFormat="1" applyFont="1" applyFill="1" applyBorder="1" applyAlignment="1" applyProtection="1">
      <alignment vertical="center" wrapText="1"/>
      <protection locked="0"/>
    </xf>
    <xf numFmtId="172" fontId="98" fillId="0" borderId="46" xfId="0" applyNumberFormat="1" applyFont="1" applyFill="1" applyBorder="1" applyAlignment="1" applyProtection="1">
      <alignment vertical="center" wrapText="1"/>
      <protection/>
    </xf>
    <xf numFmtId="0" fontId="101" fillId="0" borderId="53" xfId="0" applyFont="1" applyFill="1" applyBorder="1" applyAlignment="1">
      <alignment vertical="center"/>
    </xf>
    <xf numFmtId="172" fontId="98" fillId="0" borderId="20" xfId="0" applyNumberFormat="1" applyFont="1" applyFill="1" applyBorder="1" applyAlignment="1" applyProtection="1">
      <alignment vertical="center" wrapText="1"/>
      <protection locked="0"/>
    </xf>
    <xf numFmtId="172" fontId="98" fillId="0" borderId="26" xfId="0" applyNumberFormat="1" applyFont="1" applyFill="1" applyBorder="1" applyAlignment="1" applyProtection="1">
      <alignment vertical="center" wrapText="1"/>
      <protection/>
    </xf>
    <xf numFmtId="0" fontId="101" fillId="0" borderId="70" xfId="0" applyFont="1" applyFill="1" applyBorder="1" applyAlignment="1" quotePrefix="1">
      <alignment vertical="center"/>
    </xf>
    <xf numFmtId="0" fontId="102" fillId="0" borderId="70" xfId="0" applyFont="1" applyFill="1" applyBorder="1" applyAlignment="1">
      <alignment vertical="center"/>
    </xf>
    <xf numFmtId="172" fontId="103" fillId="0" borderId="17" xfId="0" applyNumberFormat="1" applyFont="1" applyFill="1" applyBorder="1" applyAlignment="1" applyProtection="1">
      <alignment vertical="center" wrapText="1"/>
      <protection locked="0"/>
    </xf>
    <xf numFmtId="49" fontId="103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03" fillId="0" borderId="11" xfId="0" applyNumberFormat="1" applyFont="1" applyFill="1" applyBorder="1" applyAlignment="1" applyProtection="1">
      <alignment vertical="center" wrapText="1"/>
      <protection locked="0"/>
    </xf>
    <xf numFmtId="172" fontId="103" fillId="0" borderId="27" xfId="0" applyNumberFormat="1" applyFont="1" applyFill="1" applyBorder="1" applyAlignment="1" applyProtection="1">
      <alignment vertical="center" wrapText="1"/>
      <protection/>
    </xf>
    <xf numFmtId="172" fontId="104" fillId="0" borderId="0" xfId="0" applyNumberFormat="1" applyFont="1" applyFill="1" applyAlignment="1">
      <alignment vertical="center" wrapText="1"/>
    </xf>
    <xf numFmtId="172" fontId="105" fillId="0" borderId="70" xfId="0" applyNumberFormat="1" applyFont="1" applyFill="1" applyBorder="1" applyAlignment="1" applyProtection="1">
      <alignment horizontal="left" vertical="center" wrapText="1"/>
      <protection locked="0"/>
    </xf>
    <xf numFmtId="172" fontId="106" fillId="0" borderId="0" xfId="0" applyNumberFormat="1" applyFont="1" applyFill="1" applyAlignment="1">
      <alignment vertical="center" wrapText="1"/>
    </xf>
    <xf numFmtId="0" fontId="97" fillId="0" borderId="70" xfId="75" applyFont="1" applyFill="1" applyBorder="1" applyProtection="1">
      <alignment/>
      <protection locked="0"/>
    </xf>
    <xf numFmtId="172" fontId="106" fillId="0" borderId="0" xfId="0" applyNumberFormat="1" applyFont="1" applyFill="1" applyAlignment="1">
      <alignment vertical="center" wrapText="1"/>
    </xf>
    <xf numFmtId="0" fontId="101" fillId="0" borderId="70" xfId="0" applyFont="1" applyFill="1" applyBorder="1" applyAlignment="1">
      <alignment vertical="center"/>
    </xf>
    <xf numFmtId="172" fontId="107" fillId="0" borderId="0" xfId="0" applyNumberFormat="1" applyFont="1" applyFill="1" applyAlignment="1">
      <alignment vertical="center" wrapText="1"/>
    </xf>
    <xf numFmtId="0" fontId="101" fillId="0" borderId="70" xfId="72" applyFont="1" applyFill="1" applyBorder="1" applyAlignment="1">
      <alignment vertical="center"/>
      <protection/>
    </xf>
    <xf numFmtId="172" fontId="98" fillId="0" borderId="19" xfId="0" applyNumberFormat="1" applyFont="1" applyFill="1" applyBorder="1" applyAlignment="1" applyProtection="1">
      <alignment vertical="center" wrapText="1"/>
      <protection locked="0"/>
    </xf>
    <xf numFmtId="49" fontId="98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98" fillId="0" borderId="15" xfId="0" applyNumberFormat="1" applyFont="1" applyFill="1" applyBorder="1" applyAlignment="1" applyProtection="1">
      <alignment vertical="center" wrapText="1"/>
      <protection locked="0"/>
    </xf>
    <xf numFmtId="49" fontId="98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98" fillId="0" borderId="31" xfId="0" applyNumberFormat="1" applyFont="1" applyFill="1" applyBorder="1" applyAlignment="1" applyProtection="1">
      <alignment vertical="center" wrapText="1"/>
      <protection/>
    </xf>
    <xf numFmtId="3" fontId="97" fillId="0" borderId="38" xfId="51" applyNumberFormat="1" applyFont="1" applyFill="1" applyBorder="1" applyAlignment="1">
      <alignment vertical="center" wrapText="1"/>
    </xf>
    <xf numFmtId="172" fontId="98" fillId="0" borderId="21" xfId="0" applyNumberFormat="1" applyFont="1" applyFill="1" applyBorder="1" applyAlignment="1" applyProtection="1">
      <alignment vertical="center" wrapText="1"/>
      <protection locked="0"/>
    </xf>
    <xf numFmtId="49" fontId="98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98" fillId="0" borderId="34" xfId="0" applyNumberFormat="1" applyFont="1" applyFill="1" applyBorder="1" applyAlignment="1" applyProtection="1">
      <alignment vertical="center" wrapText="1"/>
      <protection locked="0"/>
    </xf>
    <xf numFmtId="172" fontId="98" fillId="0" borderId="30" xfId="0" applyNumberFormat="1" applyFont="1" applyFill="1" applyBorder="1" applyAlignment="1" applyProtection="1">
      <alignment vertical="center" wrapText="1"/>
      <protection/>
    </xf>
    <xf numFmtId="3" fontId="99" fillId="0" borderId="79" xfId="51" applyNumberFormat="1" applyFont="1" applyFill="1" applyBorder="1" applyAlignment="1">
      <alignment vertical="center" wrapText="1"/>
    </xf>
    <xf numFmtId="172" fontId="96" fillId="0" borderId="21" xfId="0" applyNumberFormat="1" applyFont="1" applyFill="1" applyBorder="1" applyAlignment="1" applyProtection="1">
      <alignment vertical="center" wrapText="1"/>
      <protection locked="0"/>
    </xf>
    <xf numFmtId="49" fontId="96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96" fillId="0" borderId="66" xfId="0" applyNumberFormat="1" applyFont="1" applyFill="1" applyBorder="1" applyAlignment="1" applyProtection="1">
      <alignment vertical="center" wrapText="1"/>
      <protection locked="0"/>
    </xf>
    <xf numFmtId="172" fontId="96" fillId="0" borderId="34" xfId="0" applyNumberFormat="1" applyFont="1" applyFill="1" applyBorder="1" applyAlignment="1" applyProtection="1">
      <alignment vertical="center" wrapText="1"/>
      <protection locked="0"/>
    </xf>
    <xf numFmtId="172" fontId="96" fillId="0" borderId="30" xfId="0" applyNumberFormat="1" applyFont="1" applyFill="1" applyBorder="1" applyAlignment="1" applyProtection="1">
      <alignment vertical="center" wrapText="1"/>
      <protection/>
    </xf>
    <xf numFmtId="172" fontId="94" fillId="0" borderId="23" xfId="0" applyNumberFormat="1" applyFont="1" applyFill="1" applyBorder="1" applyAlignment="1" applyProtection="1">
      <alignment vertical="center" wrapText="1"/>
      <protection/>
    </xf>
    <xf numFmtId="172" fontId="14" fillId="0" borderId="36" xfId="75" applyNumberFormat="1" applyFont="1" applyFill="1" applyBorder="1" applyAlignment="1" applyProtection="1">
      <alignment horizontal="right" vertical="center" wrapText="1" indent="1"/>
      <protection/>
    </xf>
    <xf numFmtId="172" fontId="94" fillId="0" borderId="27" xfId="75" applyNumberFormat="1" applyFont="1" applyFill="1" applyBorder="1" applyAlignment="1" applyProtection="1">
      <alignment horizontal="right" vertical="center" wrapText="1" indent="1"/>
      <protection/>
    </xf>
    <xf numFmtId="172" fontId="94" fillId="0" borderId="29" xfId="75" applyNumberFormat="1" applyFont="1" applyFill="1" applyBorder="1" applyAlignment="1" applyProtection="1">
      <alignment horizontal="right" vertical="center" wrapText="1" indent="1"/>
      <protection/>
    </xf>
    <xf numFmtId="172" fontId="94" fillId="0" borderId="31" xfId="7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75" applyNumberFormat="1" applyFont="1" applyFill="1" applyProtection="1">
      <alignment/>
      <protection/>
    </xf>
    <xf numFmtId="3" fontId="2" fillId="0" borderId="0" xfId="75" applyNumberFormat="1" applyFill="1" applyProtection="1">
      <alignment/>
      <protection/>
    </xf>
    <xf numFmtId="17" fontId="108" fillId="0" borderId="20" xfId="0" applyNumberFormat="1" applyFont="1" applyBorder="1" applyAlignment="1">
      <alignment horizontal="left" vertical="center" wrapText="1"/>
    </xf>
    <xf numFmtId="172" fontId="94" fillId="0" borderId="24" xfId="0" applyNumberFormat="1" applyFont="1" applyFill="1" applyBorder="1" applyAlignment="1" applyProtection="1">
      <alignment vertical="center" wrapText="1"/>
      <protection locked="0"/>
    </xf>
    <xf numFmtId="49" fontId="94" fillId="0" borderId="25" xfId="0" applyNumberFormat="1" applyFont="1" applyFill="1" applyBorder="1" applyAlignment="1" applyProtection="1">
      <alignment horizontal="center" vertical="center" wrapText="1"/>
      <protection locked="0"/>
    </xf>
    <xf numFmtId="172" fontId="94" fillId="0" borderId="67" xfId="0" applyNumberFormat="1" applyFont="1" applyFill="1" applyBorder="1" applyAlignment="1" applyProtection="1">
      <alignment vertical="center" wrapText="1"/>
      <protection locked="0"/>
    </xf>
    <xf numFmtId="172" fontId="94" fillId="0" borderId="25" xfId="0" applyNumberFormat="1" applyFont="1" applyFill="1" applyBorder="1" applyAlignment="1" applyProtection="1">
      <alignment vertical="center" wrapText="1"/>
      <protection locked="0"/>
    </xf>
    <xf numFmtId="172" fontId="94" fillId="0" borderId="36" xfId="0" applyNumberFormat="1" applyFont="1" applyFill="1" applyBorder="1" applyAlignment="1" applyProtection="1">
      <alignment vertical="center" wrapText="1"/>
      <protection/>
    </xf>
    <xf numFmtId="172" fontId="98" fillId="0" borderId="47" xfId="0" applyNumberFormat="1" applyFont="1" applyFill="1" applyBorder="1" applyAlignment="1" applyProtection="1">
      <alignment horizontal="left" vertical="center" wrapText="1"/>
      <protection locked="0"/>
    </xf>
    <xf numFmtId="172" fontId="98" fillId="0" borderId="18" xfId="0" applyNumberFormat="1" applyFont="1" applyFill="1" applyBorder="1" applyAlignment="1" applyProtection="1">
      <alignment vertical="center" wrapText="1"/>
      <protection locked="0"/>
    </xf>
    <xf numFmtId="49" fontId="98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98" fillId="0" borderId="12" xfId="0" applyNumberFormat="1" applyFont="1" applyFill="1" applyBorder="1" applyAlignment="1" applyProtection="1">
      <alignment vertical="center" wrapText="1"/>
      <protection locked="0"/>
    </xf>
    <xf numFmtId="3" fontId="107" fillId="0" borderId="38" xfId="51" applyNumberFormat="1" applyFont="1" applyFill="1" applyBorder="1" applyAlignment="1">
      <alignment vertical="center" wrapText="1"/>
    </xf>
    <xf numFmtId="172" fontId="94" fillId="0" borderId="19" xfId="0" applyNumberFormat="1" applyFont="1" applyFill="1" applyBorder="1" applyAlignment="1" applyProtection="1">
      <alignment vertical="center" wrapText="1"/>
      <protection locked="0"/>
    </xf>
    <xf numFmtId="49" fontId="94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94" fillId="0" borderId="15" xfId="0" applyNumberFormat="1" applyFont="1" applyFill="1" applyBorder="1" applyAlignment="1" applyProtection="1">
      <alignment vertical="center" wrapText="1"/>
      <protection locked="0"/>
    </xf>
    <xf numFmtId="172" fontId="94" fillId="0" borderId="31" xfId="0" applyNumberFormat="1" applyFont="1" applyFill="1" applyBorder="1" applyAlignment="1" applyProtection="1">
      <alignment vertical="center" wrapText="1"/>
      <protection/>
    </xf>
    <xf numFmtId="0" fontId="109" fillId="0" borderId="70" xfId="0" applyFont="1" applyFill="1" applyBorder="1" applyAlignment="1">
      <alignment vertical="center"/>
    </xf>
    <xf numFmtId="172" fontId="94" fillId="0" borderId="17" xfId="0" applyNumberFormat="1" applyFont="1" applyFill="1" applyBorder="1" applyAlignment="1" applyProtection="1">
      <alignment vertical="center" wrapText="1"/>
      <protection locked="0"/>
    </xf>
    <xf numFmtId="49" fontId="94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94" fillId="0" borderId="11" xfId="0" applyNumberFormat="1" applyFont="1" applyFill="1" applyBorder="1" applyAlignment="1" applyProtection="1">
      <alignment vertical="center" wrapText="1"/>
      <protection locked="0"/>
    </xf>
    <xf numFmtId="172" fontId="94" fillId="0" borderId="27" xfId="0" applyNumberFormat="1" applyFont="1" applyFill="1" applyBorder="1" applyAlignment="1" applyProtection="1">
      <alignment vertical="center" wrapText="1"/>
      <protection/>
    </xf>
    <xf numFmtId="172" fontId="110" fillId="0" borderId="70" xfId="0" applyNumberFormat="1" applyFont="1" applyFill="1" applyBorder="1" applyAlignment="1" applyProtection="1">
      <alignment horizontal="left" vertical="center" wrapText="1"/>
      <protection locked="0"/>
    </xf>
    <xf numFmtId="0" fontId="107" fillId="0" borderId="70" xfId="75" applyFont="1" applyFill="1" applyBorder="1" applyProtection="1">
      <alignment/>
      <protection locked="0"/>
    </xf>
    <xf numFmtId="172" fontId="111" fillId="0" borderId="17" xfId="0" applyNumberFormat="1" applyFont="1" applyFill="1" applyBorder="1" applyAlignment="1" applyProtection="1">
      <alignment vertical="center" wrapText="1"/>
      <protection locked="0"/>
    </xf>
    <xf numFmtId="49" fontId="94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11" fillId="0" borderId="11" xfId="0" applyNumberFormat="1" applyFont="1" applyFill="1" applyBorder="1" applyAlignment="1" applyProtection="1">
      <alignment vertical="center" wrapText="1"/>
      <protection locked="0"/>
    </xf>
    <xf numFmtId="172" fontId="94" fillId="0" borderId="27" xfId="0" applyNumberFormat="1" applyFont="1" applyFill="1" applyBorder="1" applyAlignment="1" applyProtection="1">
      <alignment vertical="center" wrapText="1"/>
      <protection/>
    </xf>
    <xf numFmtId="172" fontId="94" fillId="0" borderId="48" xfId="0" applyNumberFormat="1" applyFont="1" applyFill="1" applyBorder="1" applyAlignment="1" applyProtection="1">
      <alignment horizontal="left" vertical="center" wrapText="1"/>
      <protection locked="0"/>
    </xf>
    <xf numFmtId="172" fontId="94" fillId="0" borderId="17" xfId="0" applyNumberFormat="1" applyFont="1" applyFill="1" applyBorder="1" applyAlignment="1" applyProtection="1">
      <alignment vertical="center" wrapText="1"/>
      <protection locked="0"/>
    </xf>
    <xf numFmtId="172" fontId="94" fillId="0" borderId="11" xfId="0" applyNumberFormat="1" applyFont="1" applyFill="1" applyBorder="1" applyAlignment="1" applyProtection="1">
      <alignment vertical="center" wrapText="1"/>
      <protection locked="0"/>
    </xf>
    <xf numFmtId="0" fontId="109" fillId="0" borderId="48" xfId="0" applyFont="1" applyFill="1" applyBorder="1" applyAlignment="1">
      <alignment vertical="center"/>
    </xf>
    <xf numFmtId="172" fontId="94" fillId="0" borderId="14" xfId="0" applyNumberFormat="1" applyFont="1" applyFill="1" applyBorder="1" applyAlignment="1" applyProtection="1">
      <alignment vertical="center" wrapText="1"/>
      <protection locked="0"/>
    </xf>
    <xf numFmtId="172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72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172" fontId="11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11" fillId="0" borderId="27" xfId="0" applyNumberFormat="1" applyFont="1" applyFill="1" applyBorder="1" applyAlignment="1" applyProtection="1">
      <alignment vertical="center" wrapText="1"/>
      <protection/>
    </xf>
    <xf numFmtId="172" fontId="11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11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11" fillId="0" borderId="15" xfId="0" applyNumberFormat="1" applyFont="1" applyFill="1" applyBorder="1" applyAlignment="1" applyProtection="1">
      <alignment vertical="center" wrapText="1"/>
      <protection locked="0"/>
    </xf>
    <xf numFmtId="49" fontId="11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11" fillId="0" borderId="31" xfId="0" applyNumberFormat="1" applyFont="1" applyFill="1" applyBorder="1" applyAlignment="1" applyProtection="1">
      <alignment vertical="center" wrapText="1"/>
      <protection/>
    </xf>
    <xf numFmtId="3" fontId="94" fillId="0" borderId="13" xfId="0" applyNumberFormat="1" applyFont="1" applyFill="1" applyBorder="1" applyAlignment="1" applyProtection="1">
      <alignment vertical="center"/>
      <protection locked="0"/>
    </xf>
    <xf numFmtId="3" fontId="94" fillId="0" borderId="26" xfId="0" applyNumberFormat="1" applyFont="1" applyFill="1" applyBorder="1" applyAlignment="1" applyProtection="1">
      <alignment vertical="center"/>
      <protection/>
    </xf>
    <xf numFmtId="172" fontId="94" fillId="0" borderId="27" xfId="75" applyNumberFormat="1" applyFont="1" applyFill="1" applyBorder="1" applyAlignment="1" applyProtection="1">
      <alignment horizontal="right" vertical="center" wrapText="1" indent="1"/>
      <protection locked="0"/>
    </xf>
    <xf numFmtId="172" fontId="94" fillId="0" borderId="29" xfId="75" applyNumberFormat="1" applyFont="1" applyFill="1" applyBorder="1" applyAlignment="1" applyProtection="1">
      <alignment horizontal="right" vertical="center" wrapText="1" indent="1"/>
      <protection locked="0"/>
    </xf>
    <xf numFmtId="172" fontId="5" fillId="0" borderId="0" xfId="0" applyNumberFormat="1" applyFont="1" applyFill="1" applyAlignment="1">
      <alignment horizontal="center" vertical="center" wrapText="1"/>
    </xf>
    <xf numFmtId="172" fontId="94" fillId="0" borderId="26" xfId="75" applyNumberFormat="1" applyFont="1" applyFill="1" applyBorder="1" applyAlignment="1" applyProtection="1">
      <alignment horizontal="right" vertical="center" wrapText="1" indent="1"/>
      <protection locked="0"/>
    </xf>
    <xf numFmtId="172" fontId="94" fillId="0" borderId="31" xfId="75" applyNumberFormat="1" applyFont="1" applyFill="1" applyBorder="1" applyAlignment="1" applyProtection="1">
      <alignment horizontal="right" vertical="center" wrapText="1" indent="1"/>
      <protection locked="0"/>
    </xf>
    <xf numFmtId="172" fontId="94" fillId="0" borderId="40" xfId="75" applyNumberFormat="1" applyFont="1" applyFill="1" applyBorder="1" applyAlignment="1" applyProtection="1">
      <alignment horizontal="right" vertical="center" wrapText="1" indent="1"/>
      <protection locked="0"/>
    </xf>
    <xf numFmtId="172" fontId="94" fillId="0" borderId="30" xfId="75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0" xfId="0" applyNumberFormat="1" applyFont="1" applyFill="1" applyAlignment="1" applyProtection="1">
      <alignment vertical="center" wrapText="1"/>
      <protection/>
    </xf>
    <xf numFmtId="0" fontId="112" fillId="0" borderId="0" xfId="0" applyFont="1" applyAlignment="1" applyProtection="1">
      <alignment horizontal="right" vertical="top"/>
      <protection/>
    </xf>
    <xf numFmtId="49" fontId="113" fillId="0" borderId="26" xfId="0" applyNumberFormat="1" applyFont="1" applyFill="1" applyBorder="1" applyAlignment="1" applyProtection="1">
      <alignment horizontal="right" vertical="center"/>
      <protection/>
    </xf>
    <xf numFmtId="49" fontId="113" fillId="0" borderId="51" xfId="0" applyNumberFormat="1" applyFont="1" applyFill="1" applyBorder="1" applyAlignment="1" applyProtection="1">
      <alignment horizontal="right" vertical="center"/>
      <protection/>
    </xf>
    <xf numFmtId="0" fontId="114" fillId="0" borderId="0" xfId="0" applyFont="1" applyFill="1" applyAlignment="1" applyProtection="1">
      <alignment horizontal="right"/>
      <protection/>
    </xf>
    <xf numFmtId="0" fontId="113" fillId="0" borderId="36" xfId="0" applyFont="1" applyFill="1" applyBorder="1" applyAlignment="1" applyProtection="1">
      <alignment horizontal="center" vertical="center" wrapText="1"/>
      <protection/>
    </xf>
    <xf numFmtId="0" fontId="96" fillId="0" borderId="28" xfId="0" applyFont="1" applyFill="1" applyBorder="1" applyAlignment="1" applyProtection="1">
      <alignment horizontal="center" vertical="center" wrapText="1"/>
      <protection/>
    </xf>
    <xf numFmtId="172" fontId="113" fillId="0" borderId="40" xfId="0" applyNumberFormat="1" applyFont="1" applyFill="1" applyBorder="1" applyAlignment="1" applyProtection="1">
      <alignment horizontal="center" vertical="center" wrapText="1"/>
      <protection/>
    </xf>
    <xf numFmtId="172" fontId="96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9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9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9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9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9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9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9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9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9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72" fontId="96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94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9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98" fillId="0" borderId="0" xfId="0" applyFont="1" applyFill="1" applyAlignment="1" applyProtection="1">
      <alignment horizontal="right" vertical="center" wrapText="1" indent="1"/>
      <protection/>
    </xf>
    <xf numFmtId="172" fontId="96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94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9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94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97" fillId="0" borderId="0" xfId="0" applyFont="1" applyFill="1" applyAlignment="1" applyProtection="1">
      <alignment horizontal="right" vertical="center" wrapText="1" indent="1"/>
      <protection/>
    </xf>
    <xf numFmtId="3" fontId="9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97" fillId="0" borderId="0" xfId="0" applyFont="1" applyFill="1" applyAlignment="1" applyProtection="1">
      <alignment vertical="center" wrapText="1"/>
      <protection/>
    </xf>
    <xf numFmtId="172" fontId="9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94" fillId="0" borderId="50" xfId="0" applyNumberFormat="1" applyFont="1" applyFill="1" applyBorder="1" applyAlignment="1" applyProtection="1">
      <alignment horizontal="right" vertical="center" wrapText="1" indent="1"/>
      <protection/>
    </xf>
    <xf numFmtId="4" fontId="9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2" fontId="9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80" fontId="9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80" fontId="9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9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97" fillId="0" borderId="17" xfId="0" applyFont="1" applyFill="1" applyBorder="1" applyAlignment="1" applyProtection="1">
      <alignment horizontal="left" vertical="center"/>
      <protection/>
    </xf>
    <xf numFmtId="0" fontId="97" fillId="0" borderId="11" xfId="0" applyFont="1" applyFill="1" applyBorder="1" applyAlignment="1" applyProtection="1">
      <alignment vertical="center" wrapText="1"/>
      <protection/>
    </xf>
    <xf numFmtId="174" fontId="97" fillId="0" borderId="30" xfId="51" applyNumberFormat="1" applyFont="1" applyFill="1" applyBorder="1" applyAlignment="1" applyProtection="1">
      <alignment horizontal="right" vertical="center" wrapText="1" indent="1"/>
      <protection/>
    </xf>
    <xf numFmtId="174" fontId="99" fillId="0" borderId="30" xfId="51" applyNumberFormat="1" applyFont="1" applyFill="1" applyBorder="1" applyAlignment="1" applyProtection="1">
      <alignment horizontal="right" vertical="center" wrapText="1" indent="1"/>
      <protection/>
    </xf>
    <xf numFmtId="172" fontId="96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9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9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9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9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72" fontId="9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97" fillId="0" borderId="0" xfId="0" applyFont="1" applyFill="1" applyAlignment="1" applyProtection="1">
      <alignment horizontal="right" vertical="center" wrapText="1" indent="1"/>
      <protection/>
    </xf>
    <xf numFmtId="3" fontId="98" fillId="0" borderId="11" xfId="79" applyNumberFormat="1" applyFont="1" applyBorder="1" applyAlignment="1">
      <alignment horizontal="right"/>
      <protection/>
    </xf>
    <xf numFmtId="3" fontId="94" fillId="0" borderId="27" xfId="79" applyNumberFormat="1" applyFont="1" applyBorder="1" applyAlignment="1">
      <alignment horizontal="right"/>
      <protection/>
    </xf>
    <xf numFmtId="3" fontId="98" fillId="0" borderId="11" xfId="51" applyNumberFormat="1" applyFont="1" applyBorder="1" applyAlignment="1" quotePrefix="1">
      <alignment horizontal="right"/>
    </xf>
    <xf numFmtId="3" fontId="98" fillId="0" borderId="11" xfId="51" applyNumberFormat="1" applyFont="1" applyBorder="1" applyAlignment="1">
      <alignment horizontal="right"/>
    </xf>
    <xf numFmtId="3" fontId="96" fillId="0" borderId="27" xfId="79" applyNumberFormat="1" applyFont="1" applyBorder="1" applyAlignment="1">
      <alignment horizontal="right"/>
      <protection/>
    </xf>
    <xf numFmtId="3" fontId="96" fillId="0" borderId="34" xfId="51" applyNumberFormat="1" applyFont="1" applyBorder="1" applyAlignment="1">
      <alignment horizontal="right"/>
    </xf>
    <xf numFmtId="3" fontId="96" fillId="0" borderId="30" xfId="51" applyNumberFormat="1" applyFont="1" applyBorder="1" applyAlignment="1">
      <alignment horizontal="right"/>
    </xf>
    <xf numFmtId="3" fontId="94" fillId="0" borderId="11" xfId="51" applyNumberFormat="1" applyFont="1" applyBorder="1" applyAlignment="1">
      <alignment horizontal="right"/>
    </xf>
    <xf numFmtId="3" fontId="94" fillId="0" borderId="11" xfId="79" applyNumberFormat="1" applyFont="1" applyBorder="1" applyAlignment="1">
      <alignment horizontal="right"/>
      <protection/>
    </xf>
    <xf numFmtId="174" fontId="0" fillId="0" borderId="60" xfId="51" applyNumberFormat="1" applyFont="1" applyBorder="1" applyAlignment="1">
      <alignment/>
    </xf>
    <xf numFmtId="0" fontId="0" fillId="0" borderId="71" xfId="74" applyFont="1" applyBorder="1">
      <alignment/>
      <protection/>
    </xf>
    <xf numFmtId="0" fontId="0" fillId="0" borderId="70" xfId="74" applyFont="1" applyBorder="1" quotePrefix="1">
      <alignment/>
      <protection/>
    </xf>
    <xf numFmtId="0" fontId="3" fillId="0" borderId="71" xfId="74" applyFont="1" applyBorder="1">
      <alignment/>
      <protection/>
    </xf>
    <xf numFmtId="0" fontId="0" fillId="0" borderId="70" xfId="74" applyFont="1" applyBorder="1" applyAlignment="1">
      <alignment horizontal="left"/>
      <protection/>
    </xf>
    <xf numFmtId="0" fontId="0" fillId="0" borderId="71" xfId="74" applyFont="1" applyBorder="1" applyAlignment="1" quotePrefix="1">
      <alignment horizontal="left"/>
      <protection/>
    </xf>
    <xf numFmtId="0" fontId="107" fillId="0" borderId="70" xfId="74" applyFont="1" applyBorder="1">
      <alignment/>
      <protection/>
    </xf>
    <xf numFmtId="174" fontId="107" fillId="0" borderId="44" xfId="51" applyNumberFormat="1" applyFont="1" applyBorder="1" applyAlignment="1">
      <alignment/>
    </xf>
    <xf numFmtId="172" fontId="14" fillId="0" borderId="46" xfId="77" applyNumberFormat="1" applyFont="1" applyFill="1" applyBorder="1" applyAlignment="1" applyProtection="1">
      <alignment vertical="center"/>
      <protection/>
    </xf>
    <xf numFmtId="172" fontId="94" fillId="0" borderId="11" xfId="77" applyNumberFormat="1" applyFont="1" applyFill="1" applyBorder="1" applyAlignment="1" applyProtection="1">
      <alignment vertical="center"/>
      <protection locked="0"/>
    </xf>
    <xf numFmtId="172" fontId="94" fillId="0" borderId="27" xfId="77" applyNumberFormat="1" applyFont="1" applyFill="1" applyBorder="1" applyAlignment="1" applyProtection="1">
      <alignment vertical="center"/>
      <protection/>
    </xf>
    <xf numFmtId="172" fontId="94" fillId="0" borderId="12" xfId="77" applyNumberFormat="1" applyFont="1" applyFill="1" applyBorder="1" applyAlignment="1" applyProtection="1">
      <alignment vertical="center"/>
      <protection locked="0"/>
    </xf>
    <xf numFmtId="172" fontId="94" fillId="0" borderId="29" xfId="77" applyNumberFormat="1" applyFont="1" applyFill="1" applyBorder="1" applyAlignment="1" applyProtection="1">
      <alignment vertical="center"/>
      <protection/>
    </xf>
    <xf numFmtId="0" fontId="94" fillId="0" borderId="17" xfId="0" applyFont="1" applyBorder="1" applyAlignment="1" applyProtection="1">
      <alignment horizontal="right" vertical="center" indent="1"/>
      <protection/>
    </xf>
    <xf numFmtId="0" fontId="94" fillId="0" borderId="11" xfId="0" applyFont="1" applyBorder="1" applyAlignment="1" applyProtection="1">
      <alignment horizontal="left" vertical="center" indent="1"/>
      <protection locked="0"/>
    </xf>
    <xf numFmtId="3" fontId="94" fillId="0" borderId="27" xfId="0" applyNumberFormat="1" applyFont="1" applyFill="1" applyBorder="1" applyAlignment="1" applyProtection="1">
      <alignment horizontal="right" vertical="center" indent="1"/>
      <protection locked="0"/>
    </xf>
    <xf numFmtId="0" fontId="94" fillId="0" borderId="11" xfId="0" applyFont="1" applyBorder="1" applyAlignment="1" applyProtection="1">
      <alignment horizontal="left" vertical="center" wrapText="1" indent="1"/>
      <protection locked="0"/>
    </xf>
    <xf numFmtId="3" fontId="11" fillId="0" borderId="14" xfId="73" applyNumberFormat="1" applyFont="1" applyFill="1" applyBorder="1">
      <alignment/>
      <protection/>
    </xf>
    <xf numFmtId="3" fontId="111" fillId="0" borderId="76" xfId="73" applyNumberFormat="1" applyFont="1" applyBorder="1">
      <alignment/>
      <protection/>
    </xf>
    <xf numFmtId="3" fontId="111" fillId="0" borderId="15" xfId="73" applyNumberFormat="1" applyFont="1" applyBorder="1">
      <alignment/>
      <protection/>
    </xf>
    <xf numFmtId="3" fontId="111" fillId="0" borderId="19" xfId="73" applyNumberFormat="1" applyFont="1" applyBorder="1">
      <alignment/>
      <protection/>
    </xf>
    <xf numFmtId="3" fontId="111" fillId="0" borderId="76" xfId="73" applyNumberFormat="1" applyFont="1" applyFill="1" applyBorder="1">
      <alignment/>
      <protection/>
    </xf>
    <xf numFmtId="3" fontId="111" fillId="0" borderId="17" xfId="73" applyNumberFormat="1" applyFont="1" applyBorder="1">
      <alignment/>
      <protection/>
    </xf>
    <xf numFmtId="3" fontId="111" fillId="0" borderId="19" xfId="73" applyNumberFormat="1" applyFont="1" applyFill="1" applyBorder="1">
      <alignment/>
      <protection/>
    </xf>
    <xf numFmtId="3" fontId="111" fillId="0" borderId="11" xfId="73" applyNumberFormat="1" applyFont="1" applyBorder="1">
      <alignment/>
      <protection/>
    </xf>
    <xf numFmtId="172" fontId="5" fillId="0" borderId="0" xfId="75" applyNumberFormat="1" applyFont="1" applyFill="1" applyBorder="1" applyAlignment="1" applyProtection="1">
      <alignment horizontal="center" vertical="center"/>
      <protection/>
    </xf>
    <xf numFmtId="172" fontId="13" fillId="0" borderId="32" xfId="75" applyNumberFormat="1" applyFont="1" applyFill="1" applyBorder="1" applyAlignment="1" applyProtection="1">
      <alignment horizontal="left" vertical="center"/>
      <protection/>
    </xf>
    <xf numFmtId="172" fontId="13" fillId="0" borderId="32" xfId="75" applyNumberFormat="1" applyFont="1" applyFill="1" applyBorder="1" applyAlignment="1" applyProtection="1">
      <alignment horizontal="left"/>
      <protection/>
    </xf>
    <xf numFmtId="0" fontId="5" fillId="0" borderId="0" xfId="75" applyFont="1" applyFill="1" applyAlignment="1" applyProtection="1">
      <alignment horizontal="center"/>
      <protection/>
    </xf>
    <xf numFmtId="172" fontId="6" fillId="0" borderId="32" xfId="75" applyNumberFormat="1" applyFont="1" applyFill="1" applyBorder="1" applyAlignment="1" applyProtection="1">
      <alignment horizontal="center" vertical="center"/>
      <protection/>
    </xf>
    <xf numFmtId="172" fontId="7" fillId="0" borderId="0" xfId="0" applyNumberFormat="1" applyFont="1" applyFill="1" applyAlignment="1" applyProtection="1">
      <alignment horizontal="center" textRotation="180" wrapText="1"/>
      <protection/>
    </xf>
    <xf numFmtId="172" fontId="6" fillId="0" borderId="84" xfId="0" applyNumberFormat="1" applyFont="1" applyFill="1" applyBorder="1" applyAlignment="1" applyProtection="1">
      <alignment horizontal="center" vertical="center" wrapText="1"/>
      <protection/>
    </xf>
    <xf numFmtId="172" fontId="6" fillId="0" borderId="82" xfId="0" applyNumberFormat="1" applyFont="1" applyFill="1" applyBorder="1" applyAlignment="1" applyProtection="1">
      <alignment horizontal="center" vertical="center" wrapText="1"/>
      <protection/>
    </xf>
    <xf numFmtId="172" fontId="24" fillId="0" borderId="57" xfId="0" applyNumberFormat="1" applyFont="1" applyFill="1" applyBorder="1" applyAlignment="1" applyProtection="1">
      <alignment horizontal="center" vertical="center" wrapText="1"/>
      <protection/>
    </xf>
    <xf numFmtId="172" fontId="6" fillId="0" borderId="78" xfId="0" applyNumberFormat="1" applyFont="1" applyFill="1" applyBorder="1" applyAlignment="1" applyProtection="1">
      <alignment horizontal="center" vertical="center" wrapText="1"/>
      <protection/>
    </xf>
    <xf numFmtId="172" fontId="6" fillId="0" borderId="79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Alignment="1">
      <alignment horizontal="center" vertical="center" wrapText="1"/>
    </xf>
    <xf numFmtId="0" fontId="14" fillId="0" borderId="53" xfId="0" applyFont="1" applyFill="1" applyBorder="1" applyAlignment="1" applyProtection="1">
      <alignment horizontal="left" indent="1"/>
      <protection locked="0"/>
    </xf>
    <xf numFmtId="0" fontId="14" fillId="0" borderId="69" xfId="0" applyFont="1" applyFill="1" applyBorder="1" applyAlignment="1" applyProtection="1">
      <alignment horizontal="left" indent="1"/>
      <protection locked="0"/>
    </xf>
    <xf numFmtId="0" fontId="14" fillId="0" borderId="75" xfId="0" applyFont="1" applyFill="1" applyBorder="1" applyAlignment="1" applyProtection="1">
      <alignment horizontal="left" indent="1"/>
      <protection locked="0"/>
    </xf>
    <xf numFmtId="0" fontId="14" fillId="0" borderId="13" xfId="0" applyFont="1" applyFill="1" applyBorder="1" applyAlignment="1" applyProtection="1">
      <alignment horizontal="right" indent="1"/>
      <protection locked="0"/>
    </xf>
    <xf numFmtId="0" fontId="14" fillId="0" borderId="26" xfId="0" applyFont="1" applyFill="1" applyBorder="1" applyAlignment="1" applyProtection="1">
      <alignment horizontal="right" indent="1"/>
      <protection locked="0"/>
    </xf>
    <xf numFmtId="0" fontId="14" fillId="0" borderId="38" xfId="0" applyFont="1" applyFill="1" applyBorder="1" applyAlignment="1" applyProtection="1">
      <alignment horizontal="left" indent="1"/>
      <protection locked="0"/>
    </xf>
    <xf numFmtId="0" fontId="14" fillId="0" borderId="39" xfId="0" applyFont="1" applyFill="1" applyBorder="1" applyAlignment="1" applyProtection="1">
      <alignment horizontal="left" indent="1"/>
      <protection locked="0"/>
    </xf>
    <xf numFmtId="0" fontId="14" fillId="0" borderId="76" xfId="0" applyFont="1" applyFill="1" applyBorder="1" applyAlignment="1" applyProtection="1">
      <alignment horizontal="left" indent="1"/>
      <protection locked="0"/>
    </xf>
    <xf numFmtId="0" fontId="14" fillId="0" borderId="15" xfId="0" applyFont="1" applyFill="1" applyBorder="1" applyAlignment="1" applyProtection="1">
      <alignment horizontal="right" indent="1"/>
      <protection locked="0"/>
    </xf>
    <xf numFmtId="0" fontId="14" fillId="0" borderId="31" xfId="0" applyFont="1" applyFill="1" applyBorder="1" applyAlignment="1" applyProtection="1">
      <alignment horizontal="right" indent="1"/>
      <protection locked="0"/>
    </xf>
    <xf numFmtId="0" fontId="6" fillId="0" borderId="42" xfId="0" applyFont="1" applyFill="1" applyBorder="1" applyAlignment="1" applyProtection="1">
      <alignment horizontal="left" indent="1"/>
      <protection/>
    </xf>
    <xf numFmtId="0" fontId="6" fillId="0" borderId="43" xfId="0" applyFont="1" applyFill="1" applyBorder="1" applyAlignment="1" applyProtection="1">
      <alignment horizontal="left" indent="1"/>
      <protection/>
    </xf>
    <xf numFmtId="0" fontId="6" fillId="0" borderId="41" xfId="0" applyFont="1" applyFill="1" applyBorder="1" applyAlignment="1" applyProtection="1">
      <alignment horizontal="left" indent="1"/>
      <protection/>
    </xf>
    <xf numFmtId="0" fontId="12" fillId="0" borderId="23" xfId="0" applyFont="1" applyFill="1" applyBorder="1" applyAlignment="1" applyProtection="1">
      <alignment horizontal="right" indent="1"/>
      <protection/>
    </xf>
    <xf numFmtId="0" fontId="12" fillId="0" borderId="28" xfId="0" applyFont="1" applyFill="1" applyBorder="1" applyAlignment="1" applyProtection="1">
      <alignment horizontal="right" inden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73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85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97" fillId="0" borderId="17" xfId="0" applyFont="1" applyFill="1" applyBorder="1" applyAlignment="1" applyProtection="1">
      <alignment horizontal="left" vertical="center" wrapText="1"/>
      <protection/>
    </xf>
    <xf numFmtId="0" fontId="97" fillId="0" borderId="11" xfId="0" applyFont="1" applyFill="1" applyBorder="1" applyAlignment="1" applyProtection="1">
      <alignment horizontal="left" vertical="center" wrapText="1"/>
      <protection/>
    </xf>
    <xf numFmtId="0" fontId="97" fillId="0" borderId="21" xfId="0" applyFont="1" applyFill="1" applyBorder="1" applyAlignment="1" applyProtection="1">
      <alignment horizontal="left" vertical="center" wrapText="1"/>
      <protection/>
    </xf>
    <xf numFmtId="0" fontId="97" fillId="0" borderId="34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left" vertical="center" wrapText="1"/>
      <protection/>
    </xf>
    <xf numFmtId="0" fontId="3" fillId="0" borderId="50" xfId="0" applyFont="1" applyFill="1" applyBorder="1" applyAlignment="1" applyProtection="1">
      <alignment horizontal="left" vertical="center" wrapText="1"/>
      <protection/>
    </xf>
    <xf numFmtId="0" fontId="29" fillId="0" borderId="21" xfId="0" applyFont="1" applyFill="1" applyBorder="1" applyAlignment="1" applyProtection="1">
      <alignment horizontal="left" vertical="center" wrapText="1"/>
      <protection/>
    </xf>
    <xf numFmtId="0" fontId="29" fillId="0" borderId="34" xfId="0" applyFont="1" applyFill="1" applyBorder="1" applyAlignment="1" applyProtection="1">
      <alignment horizontal="left" vertical="center" wrapText="1"/>
      <protection/>
    </xf>
    <xf numFmtId="0" fontId="12" fillId="0" borderId="24" xfId="79" applyFont="1" applyBorder="1" applyAlignment="1">
      <alignment horizontal="center" vertical="center"/>
      <protection/>
    </xf>
    <xf numFmtId="0" fontId="12" fillId="0" borderId="16" xfId="79" applyFont="1" applyBorder="1" applyAlignment="1">
      <alignment horizontal="center" vertical="center"/>
      <protection/>
    </xf>
    <xf numFmtId="0" fontId="12" fillId="0" borderId="18" xfId="79" applyFont="1" applyBorder="1" applyAlignment="1">
      <alignment horizontal="center" vertical="center"/>
      <protection/>
    </xf>
    <xf numFmtId="0" fontId="12" fillId="0" borderId="13" xfId="79" applyFont="1" applyBorder="1" applyAlignment="1">
      <alignment horizontal="left"/>
      <protection/>
    </xf>
    <xf numFmtId="0" fontId="26" fillId="0" borderId="13" xfId="79" applyBorder="1" applyAlignment="1">
      <alignment horizontal="left"/>
      <protection/>
    </xf>
    <xf numFmtId="0" fontId="26" fillId="0" borderId="26" xfId="79" applyBorder="1" applyAlignment="1">
      <alignment horizontal="left"/>
      <protection/>
    </xf>
    <xf numFmtId="0" fontId="0" fillId="0" borderId="70" xfId="74" applyFont="1" applyBorder="1" applyAlignment="1">
      <alignment horizontal="left"/>
      <protection/>
    </xf>
    <xf numFmtId="0" fontId="0" fillId="0" borderId="71" xfId="74" applyFont="1" applyBorder="1" applyAlignment="1" quotePrefix="1">
      <alignment horizontal="left"/>
      <protection/>
    </xf>
    <xf numFmtId="0" fontId="5" fillId="0" borderId="0" xfId="77" applyFont="1" applyFill="1" applyAlignment="1" applyProtection="1">
      <alignment horizontal="center" wrapText="1"/>
      <protection/>
    </xf>
    <xf numFmtId="0" fontId="5" fillId="0" borderId="0" xfId="77" applyFont="1" applyFill="1" applyAlignment="1" applyProtection="1">
      <alignment horizontal="center"/>
      <protection/>
    </xf>
    <xf numFmtId="0" fontId="13" fillId="0" borderId="62" xfId="77" applyFont="1" applyFill="1" applyBorder="1" applyAlignment="1" applyProtection="1">
      <alignment horizontal="left" vertical="center" indent="1"/>
      <protection/>
    </xf>
    <xf numFmtId="0" fontId="13" fillId="0" borderId="43" xfId="77" applyFont="1" applyFill="1" applyBorder="1" applyAlignment="1" applyProtection="1">
      <alignment horizontal="left" vertical="center" indent="1"/>
      <protection/>
    </xf>
    <xf numFmtId="0" fontId="13" fillId="0" borderId="50" xfId="77" applyFont="1" applyFill="1" applyBorder="1" applyAlignment="1" applyProtection="1">
      <alignment horizontal="left" vertical="center" indent="1"/>
      <protection/>
    </xf>
    <xf numFmtId="0" fontId="5" fillId="0" borderId="0" xfId="0" applyFont="1" applyAlignment="1">
      <alignment horizontal="center" wrapText="1"/>
    </xf>
    <xf numFmtId="0" fontId="13" fillId="0" borderId="0" xfId="0" applyFont="1" applyAlignment="1" applyProtection="1">
      <alignment horizontal="right"/>
      <protection/>
    </xf>
    <xf numFmtId="0" fontId="6" fillId="0" borderId="42" xfId="0" applyFont="1" applyBorder="1" applyAlignment="1" applyProtection="1">
      <alignment horizontal="left" vertical="center" indent="2"/>
      <protection/>
    </xf>
    <xf numFmtId="0" fontId="6" fillId="0" borderId="50" xfId="0" applyFont="1" applyBorder="1" applyAlignment="1" applyProtection="1">
      <alignment horizontal="left" vertical="center" indent="2"/>
      <protection/>
    </xf>
    <xf numFmtId="0" fontId="7" fillId="0" borderId="0" xfId="73" applyFont="1" applyAlignment="1">
      <alignment horizontal="center"/>
      <protection/>
    </xf>
    <xf numFmtId="0" fontId="0" fillId="0" borderId="0" xfId="73" applyFont="1" applyAlignment="1">
      <alignment horizontal="center"/>
      <protection/>
    </xf>
    <xf numFmtId="0" fontId="5" fillId="0" borderId="20" xfId="73" applyFont="1" applyBorder="1" applyAlignment="1">
      <alignment horizontal="center"/>
      <protection/>
    </xf>
    <xf numFmtId="0" fontId="5" fillId="0" borderId="13" xfId="73" applyFont="1" applyBorder="1" applyAlignment="1">
      <alignment horizontal="center"/>
      <protection/>
    </xf>
    <xf numFmtId="0" fontId="5" fillId="0" borderId="26" xfId="73" applyFont="1" applyBorder="1" applyAlignment="1">
      <alignment horizontal="center"/>
      <protection/>
    </xf>
  </cellXfs>
  <cellStyles count="7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yperlink" xfId="55"/>
    <cellStyle name="Hivatkozott cella" xfId="56"/>
    <cellStyle name="Jegyzet" xfId="57"/>
    <cellStyle name="Jelölőszín (1)" xfId="58"/>
    <cellStyle name="Jelölőszín (2)" xfId="59"/>
    <cellStyle name="Jelölőszín (3)" xfId="60"/>
    <cellStyle name="Jelölőszín (4)" xfId="61"/>
    <cellStyle name="Jelölőszín (5)" xfId="62"/>
    <cellStyle name="Jelölőszín (6)" xfId="63"/>
    <cellStyle name="Jó" xfId="64"/>
    <cellStyle name="Kimenet" xfId="65"/>
    <cellStyle name="Followed Hyperlink" xfId="66"/>
    <cellStyle name="Magyarázó szöveg" xfId="67"/>
    <cellStyle name="Már látott hiperhivatkozás" xfId="68"/>
    <cellStyle name="Normál 2" xfId="69"/>
    <cellStyle name="Normál 3" xfId="70"/>
    <cellStyle name="Normál 3 2" xfId="71"/>
    <cellStyle name="Normál 3 2 2" xfId="72"/>
    <cellStyle name="Normál_Göngyölített 12.13 2 2" xfId="73"/>
    <cellStyle name="Normál_költségvetési rend. mód. melléklet 2 2" xfId="74"/>
    <cellStyle name="Normál_KVRENMUNKA" xfId="75"/>
    <cellStyle name="Normál_Önkormányzati%20melléklet%202013.(1) 2 2" xfId="76"/>
    <cellStyle name="Normál_SEGEDLETEK" xfId="77"/>
    <cellStyle name="Normál_szakfeladat táblázat költségvetéshez" xfId="78"/>
    <cellStyle name="Normál_szakfeladatokhoz táblázat 2 2" xfId="79"/>
    <cellStyle name="Összesen" xfId="80"/>
    <cellStyle name="Currency" xfId="81"/>
    <cellStyle name="Currency [0]" xfId="82"/>
    <cellStyle name="Rossz" xfId="83"/>
    <cellStyle name="Semleges" xfId="84"/>
    <cellStyle name="Számítás" xfId="85"/>
    <cellStyle name="Percent" xfId="8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zabaly\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6">
        <row r="8">
          <cell r="G8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SheetLayoutView="100" workbookViewId="0" topLeftCell="A1">
      <selection activeCell="K3" sqref="K3"/>
    </sheetView>
  </sheetViews>
  <sheetFormatPr defaultColWidth="9.00390625" defaultRowHeight="12.75"/>
  <cols>
    <col min="1" max="1" width="9.50390625" style="234" customWidth="1"/>
    <col min="2" max="2" width="91.625" style="234" customWidth="1"/>
    <col min="3" max="3" width="21.625" style="415" customWidth="1"/>
    <col min="4" max="5" width="14.50390625" style="245" hidden="1" customWidth="1"/>
    <col min="6" max="6" width="15.375" style="245" hidden="1" customWidth="1"/>
    <col min="7" max="7" width="11.125" style="245" hidden="1" customWidth="1"/>
    <col min="8" max="8" width="17.125" style="706" hidden="1" customWidth="1"/>
    <col min="9" max="9" width="12.875" style="245" hidden="1" customWidth="1"/>
    <col min="10" max="10" width="0" style="245" hidden="1" customWidth="1"/>
    <col min="11" max="16384" width="9.375" style="245" customWidth="1"/>
  </cols>
  <sheetData>
    <row r="1" spans="1:3" ht="15.75" customHeight="1">
      <c r="A1" s="841" t="s">
        <v>37</v>
      </c>
      <c r="B1" s="841"/>
      <c r="C1" s="841"/>
    </row>
    <row r="2" spans="1:3" ht="15.75" customHeight="1" thickBot="1">
      <c r="A2" s="842" t="s">
        <v>162</v>
      </c>
      <c r="B2" s="842"/>
      <c r="C2" s="171" t="s">
        <v>632</v>
      </c>
    </row>
    <row r="3" spans="1:7" ht="37.5" customHeight="1" thickBot="1">
      <c r="A3" s="22" t="s">
        <v>91</v>
      </c>
      <c r="B3" s="23" t="s">
        <v>39</v>
      </c>
      <c r="C3" s="35" t="s">
        <v>618</v>
      </c>
      <c r="D3" s="234" t="s">
        <v>655</v>
      </c>
      <c r="E3" s="234" t="s">
        <v>656</v>
      </c>
      <c r="F3" s="234" t="s">
        <v>657</v>
      </c>
      <c r="G3" s="234"/>
    </row>
    <row r="4" spans="1:8" s="246" customFormat="1" ht="12" customHeight="1" thickBot="1">
      <c r="A4" s="240" t="s">
        <v>491</v>
      </c>
      <c r="B4" s="241" t="s">
        <v>492</v>
      </c>
      <c r="C4" s="242" t="s">
        <v>493</v>
      </c>
      <c r="H4" s="706"/>
    </row>
    <row r="5" spans="1:9" s="247" customFormat="1" ht="12" customHeight="1" thickBot="1">
      <c r="A5" s="19" t="s">
        <v>40</v>
      </c>
      <c r="B5" s="20" t="s">
        <v>224</v>
      </c>
      <c r="C5" s="162">
        <f>SUM(C6:C11)</f>
        <v>1214441231</v>
      </c>
      <c r="D5" s="342">
        <f>+D6+D7+D8+D9+D10+D11</f>
        <v>1190343400</v>
      </c>
      <c r="E5" s="162">
        <f>+E6+E7+E8+E9+E10+E11</f>
        <v>0</v>
      </c>
      <c r="F5" s="162">
        <f>+F6+F7+F8+F9+F10+F11</f>
        <v>0</v>
      </c>
      <c r="H5" s="706" t="e">
        <f>'1.2.sz.mell. '!C5+'1.3.sz.mell.'!C5+#REF!</f>
        <v>#REF!</v>
      </c>
      <c r="I5" s="707" t="e">
        <f aca="true" t="shared" si="0" ref="I5:I68">C5-H5</f>
        <v>#REF!</v>
      </c>
    </row>
    <row r="6" spans="1:9" s="247" customFormat="1" ht="12" customHeight="1">
      <c r="A6" s="14" t="s">
        <v>116</v>
      </c>
      <c r="B6" s="248" t="s">
        <v>225</v>
      </c>
      <c r="C6" s="382">
        <f>SUM(D6:F6)+905743</f>
        <v>228418282</v>
      </c>
      <c r="D6" s="349">
        <v>227512539</v>
      </c>
      <c r="E6" s="286"/>
      <c r="F6" s="286"/>
      <c r="H6" s="706" t="e">
        <f>'1.2.sz.mell. '!C6+'1.3.sz.mell.'!C6+#REF!</f>
        <v>#REF!</v>
      </c>
      <c r="I6" s="707" t="e">
        <f t="shared" si="0"/>
        <v>#REF!</v>
      </c>
    </row>
    <row r="7" spans="1:9" s="247" customFormat="1" ht="12" customHeight="1">
      <c r="A7" s="13" t="s">
        <v>117</v>
      </c>
      <c r="B7" s="249" t="s">
        <v>226</v>
      </c>
      <c r="C7" s="383">
        <f>SUM(D7:F7)+10461768-4721982-4278000</f>
        <v>219569080</v>
      </c>
      <c r="D7" s="318">
        <v>218107294</v>
      </c>
      <c r="E7" s="166"/>
      <c r="F7" s="166"/>
      <c r="H7" s="706" t="e">
        <f>'1.2.sz.mell. '!C7+'1.3.sz.mell.'!C7+#REF!</f>
        <v>#REF!</v>
      </c>
      <c r="I7" s="707" t="e">
        <f t="shared" si="0"/>
        <v>#REF!</v>
      </c>
    </row>
    <row r="8" spans="1:9" s="247" customFormat="1" ht="12" customHeight="1">
      <c r="A8" s="13" t="s">
        <v>118</v>
      </c>
      <c r="B8" s="249" t="s">
        <v>609</v>
      </c>
      <c r="C8" s="383">
        <f>SUM(D8:F8)-35761000-1921230</f>
        <v>503231835</v>
      </c>
      <c r="D8" s="318">
        <f>121200000+67844165+118423160+15562200+177597260+4526280+11511000+24250000</f>
        <v>540914065</v>
      </c>
      <c r="E8" s="166"/>
      <c r="F8" s="166"/>
      <c r="H8" s="706" t="e">
        <f>'1.2.sz.mell. '!C8+'1.3.sz.mell.'!C8+#REF!</f>
        <v>#REF!</v>
      </c>
      <c r="I8" s="707" t="e">
        <f t="shared" si="0"/>
        <v>#REF!</v>
      </c>
    </row>
    <row r="9" spans="1:9" s="247" customFormat="1" ht="12" customHeight="1">
      <c r="A9" s="13" t="s">
        <v>119</v>
      </c>
      <c r="B9" s="249" t="s">
        <v>228</v>
      </c>
      <c r="C9" s="383">
        <f>SUM(D9:F9)-4412740+4412740+1038248</f>
        <v>31342308</v>
      </c>
      <c r="D9" s="318">
        <f>4412740+15262320+10629000</f>
        <v>30304060</v>
      </c>
      <c r="E9" s="166"/>
      <c r="F9" s="166"/>
      <c r="H9" s="706" t="e">
        <f>'1.2.sz.mell. '!C9+'1.3.sz.mell.'!C9+#REF!</f>
        <v>#REF!</v>
      </c>
      <c r="I9" s="707" t="e">
        <f t="shared" si="0"/>
        <v>#REF!</v>
      </c>
    </row>
    <row r="10" spans="1:9" s="247" customFormat="1" ht="12" customHeight="1">
      <c r="A10" s="13" t="s">
        <v>159</v>
      </c>
      <c r="B10" s="158" t="s">
        <v>494</v>
      </c>
      <c r="C10" s="383">
        <f>SUM(D10:F10)+23885805+49094027+4501192-4412740-15000000+306000</f>
        <v>231879726</v>
      </c>
      <c r="D10" s="318">
        <f>3551000+1060845+168707597+58000+128000</f>
        <v>173505442</v>
      </c>
      <c r="E10" s="166"/>
      <c r="F10" s="166"/>
      <c r="H10" s="706" t="e">
        <f>'1.2.sz.mell. '!C10+'1.3.sz.mell.'!C10+#REF!</f>
        <v>#REF!</v>
      </c>
      <c r="I10" s="707" t="e">
        <f t="shared" si="0"/>
        <v>#REF!</v>
      </c>
    </row>
    <row r="11" spans="1:9" s="247" customFormat="1" ht="12" customHeight="1" thickBot="1">
      <c r="A11" s="15" t="s">
        <v>120</v>
      </c>
      <c r="B11" s="159" t="s">
        <v>495</v>
      </c>
      <c r="C11" s="384">
        <f>SUM(D11:F11)</f>
        <v>0</v>
      </c>
      <c r="D11" s="149"/>
      <c r="E11" s="163"/>
      <c r="F11" s="163"/>
      <c r="H11" s="706" t="e">
        <f>'1.2.sz.mell. '!C11+'1.3.sz.mell.'!C11+#REF!</f>
        <v>#REF!</v>
      </c>
      <c r="I11" s="707" t="e">
        <f t="shared" si="0"/>
        <v>#REF!</v>
      </c>
    </row>
    <row r="12" spans="1:9" s="247" customFormat="1" ht="12" customHeight="1" thickBot="1">
      <c r="A12" s="19" t="s">
        <v>41</v>
      </c>
      <c r="B12" s="157" t="s">
        <v>229</v>
      </c>
      <c r="C12" s="162">
        <f>SUM(C13:C17)</f>
        <v>332366323</v>
      </c>
      <c r="D12" s="342">
        <f>+D13+D14+D15+D16+D17</f>
        <v>-145452435</v>
      </c>
      <c r="E12" s="162">
        <f>+E13+E14+E15+E16+E17</f>
        <v>0</v>
      </c>
      <c r="F12" s="162">
        <f>+F13+F14+F15+F16+F17</f>
        <v>5485000</v>
      </c>
      <c r="H12" s="706" t="e">
        <f>'1.2.sz.mell. '!C12+'1.3.sz.mell.'!C12+#REF!</f>
        <v>#REF!</v>
      </c>
      <c r="I12" s="707" t="e">
        <f t="shared" si="0"/>
        <v>#REF!</v>
      </c>
    </row>
    <row r="13" spans="1:9" s="247" customFormat="1" ht="12" customHeight="1">
      <c r="A13" s="14" t="s">
        <v>122</v>
      </c>
      <c r="B13" s="248" t="s">
        <v>230</v>
      </c>
      <c r="C13" s="243">
        <f>SUM(D13:F13)</f>
        <v>0</v>
      </c>
      <c r="D13" s="344"/>
      <c r="E13" s="164"/>
      <c r="F13" s="164"/>
      <c r="H13" s="706" t="e">
        <f>'1.2.sz.mell. '!C13+'1.3.sz.mell.'!C13+#REF!</f>
        <v>#REF!</v>
      </c>
      <c r="I13" s="707" t="e">
        <f t="shared" si="0"/>
        <v>#REF!</v>
      </c>
    </row>
    <row r="14" spans="1:9" s="247" customFormat="1" ht="12" customHeight="1">
      <c r="A14" s="13" t="s">
        <v>123</v>
      </c>
      <c r="B14" s="249" t="s">
        <v>231</v>
      </c>
      <c r="C14" s="407">
        <f>SUM(D14:F14)</f>
        <v>0</v>
      </c>
      <c r="D14" s="149"/>
      <c r="E14" s="163"/>
      <c r="F14" s="163"/>
      <c r="H14" s="706" t="e">
        <f>'1.2.sz.mell. '!C14+'1.3.sz.mell.'!C14+#REF!</f>
        <v>#REF!</v>
      </c>
      <c r="I14" s="707" t="e">
        <f t="shared" si="0"/>
        <v>#REF!</v>
      </c>
    </row>
    <row r="15" spans="1:9" s="247" customFormat="1" ht="12" customHeight="1">
      <c r="A15" s="13" t="s">
        <v>124</v>
      </c>
      <c r="B15" s="249" t="s">
        <v>400</v>
      </c>
      <c r="C15" s="383">
        <f>SUM(D15:F15)</f>
        <v>0</v>
      </c>
      <c r="D15" s="149"/>
      <c r="E15" s="163"/>
      <c r="F15" s="163"/>
      <c r="H15" s="706" t="e">
        <f>'1.2.sz.mell. '!C15+'1.3.sz.mell.'!C15+#REF!</f>
        <v>#REF!</v>
      </c>
      <c r="I15" s="707" t="e">
        <f t="shared" si="0"/>
        <v>#REF!</v>
      </c>
    </row>
    <row r="16" spans="1:9" s="247" customFormat="1" ht="12" customHeight="1">
      <c r="A16" s="13" t="s">
        <v>125</v>
      </c>
      <c r="B16" s="249" t="s">
        <v>401</v>
      </c>
      <c r="C16" s="383">
        <f>SUM(D16:F16)</f>
        <v>0</v>
      </c>
      <c r="D16" s="149"/>
      <c r="E16" s="163"/>
      <c r="F16" s="163"/>
      <c r="H16" s="706" t="e">
        <f>'1.2.sz.mell. '!C16+'1.3.sz.mell.'!C16+#REF!</f>
        <v>#REF!</v>
      </c>
      <c r="I16" s="707" t="e">
        <f t="shared" si="0"/>
        <v>#REF!</v>
      </c>
    </row>
    <row r="17" spans="1:9" s="247" customFormat="1" ht="12" customHeight="1">
      <c r="A17" s="13" t="s">
        <v>126</v>
      </c>
      <c r="B17" s="249" t="s">
        <v>232</v>
      </c>
      <c r="C17" s="585">
        <f>SUM(D17:F17)+326152588+94906504+10325405+7215044+33734217</f>
        <v>332366323</v>
      </c>
      <c r="D17" s="324">
        <f>2285000+210000+110446000+65342000-323735435</f>
        <v>-145452435</v>
      </c>
      <c r="E17" s="320"/>
      <c r="F17" s="166">
        <v>5485000</v>
      </c>
      <c r="H17" s="706" t="e">
        <f>'1.2.sz.mell. '!C17+'1.3.sz.mell.'!C17+#REF!</f>
        <v>#REF!</v>
      </c>
      <c r="I17" s="707" t="e">
        <f t="shared" si="0"/>
        <v>#REF!</v>
      </c>
    </row>
    <row r="18" spans="1:9" s="247" customFormat="1" ht="12" customHeight="1" thickBot="1">
      <c r="A18" s="15" t="s">
        <v>135</v>
      </c>
      <c r="B18" s="159" t="s">
        <v>233</v>
      </c>
      <c r="C18" s="384">
        <f>374405+16502729</f>
        <v>16877134</v>
      </c>
      <c r="D18" s="323"/>
      <c r="E18" s="237"/>
      <c r="F18" s="237"/>
      <c r="H18" s="706" t="e">
        <f>'1.2.sz.mell. '!C18+'1.3.sz.mell.'!C18+#REF!</f>
        <v>#REF!</v>
      </c>
      <c r="I18" s="707" t="e">
        <f t="shared" si="0"/>
        <v>#REF!</v>
      </c>
    </row>
    <row r="19" spans="1:9" s="247" customFormat="1" ht="12" customHeight="1" thickBot="1">
      <c r="A19" s="19" t="s">
        <v>42</v>
      </c>
      <c r="B19" s="20" t="s">
        <v>234</v>
      </c>
      <c r="C19" s="162">
        <f>SUM(C20:C24)</f>
        <v>532260298</v>
      </c>
      <c r="D19" s="342">
        <f>+D20+D21+D22+D23+D24</f>
        <v>-11381976</v>
      </c>
      <c r="E19" s="162">
        <f>+E20+E21+E22+E23+E24</f>
        <v>0</v>
      </c>
      <c r="F19" s="162">
        <f>+F20+F21+F22+F23+F24</f>
        <v>0</v>
      </c>
      <c r="H19" s="706" t="e">
        <f>'1.2.sz.mell. '!C19+'1.3.sz.mell.'!C19+#REF!</f>
        <v>#REF!</v>
      </c>
      <c r="I19" s="707" t="e">
        <f t="shared" si="0"/>
        <v>#REF!</v>
      </c>
    </row>
    <row r="20" spans="1:9" s="247" customFormat="1" ht="12" customHeight="1">
      <c r="A20" s="14" t="s">
        <v>105</v>
      </c>
      <c r="B20" s="248" t="s">
        <v>235</v>
      </c>
      <c r="C20" s="586">
        <f>SUM(D20:F20)+15690532</f>
        <v>15690532</v>
      </c>
      <c r="D20" s="371"/>
      <c r="E20" s="316"/>
      <c r="F20" s="316"/>
      <c r="H20" s="706" t="e">
        <f>'1.2.sz.mell. '!C20+'1.3.sz.mell.'!C20+#REF!</f>
        <v>#REF!</v>
      </c>
      <c r="I20" s="707" t="e">
        <f t="shared" si="0"/>
        <v>#REF!</v>
      </c>
    </row>
    <row r="21" spans="1:9" s="247" customFormat="1" ht="12" customHeight="1">
      <c r="A21" s="13" t="s">
        <v>106</v>
      </c>
      <c r="B21" s="249" t="s">
        <v>236</v>
      </c>
      <c r="C21" s="407">
        <f>SUM(D21:F21)</f>
        <v>0</v>
      </c>
      <c r="D21" s="318"/>
      <c r="E21" s="166"/>
      <c r="F21" s="166"/>
      <c r="H21" s="706" t="e">
        <f>'1.2.sz.mell. '!C21+'1.3.sz.mell.'!C21+#REF!</f>
        <v>#REF!</v>
      </c>
      <c r="I21" s="707" t="e">
        <f t="shared" si="0"/>
        <v>#REF!</v>
      </c>
    </row>
    <row r="22" spans="1:9" s="247" customFormat="1" ht="12" customHeight="1">
      <c r="A22" s="13" t="s">
        <v>107</v>
      </c>
      <c r="B22" s="249" t="s">
        <v>402</v>
      </c>
      <c r="C22" s="407">
        <f>SUM(D22:F22)</f>
        <v>0</v>
      </c>
      <c r="D22" s="318"/>
      <c r="E22" s="166"/>
      <c r="F22" s="166"/>
      <c r="H22" s="706" t="e">
        <f>'1.2.sz.mell. '!C22+'1.3.sz.mell.'!C22+#REF!</f>
        <v>#REF!</v>
      </c>
      <c r="I22" s="707" t="e">
        <f t="shared" si="0"/>
        <v>#REF!</v>
      </c>
    </row>
    <row r="23" spans="1:9" s="247" customFormat="1" ht="12" customHeight="1">
      <c r="A23" s="13" t="s">
        <v>108</v>
      </c>
      <c r="B23" s="249" t="s">
        <v>403</v>
      </c>
      <c r="C23" s="383">
        <f>SUM(D23:F23)</f>
        <v>0</v>
      </c>
      <c r="D23" s="318"/>
      <c r="E23" s="166"/>
      <c r="F23" s="166"/>
      <c r="H23" s="706" t="e">
        <f>'1.2.sz.mell. '!C23+'1.3.sz.mell.'!C23+#REF!</f>
        <v>#REF!</v>
      </c>
      <c r="I23" s="707" t="e">
        <f t="shared" si="0"/>
        <v>#REF!</v>
      </c>
    </row>
    <row r="24" spans="1:9" s="247" customFormat="1" ht="12" customHeight="1">
      <c r="A24" s="13" t="s">
        <v>171</v>
      </c>
      <c r="B24" s="249" t="s">
        <v>237</v>
      </c>
      <c r="C24" s="585">
        <f>SUM(D24:F24)+15179276+93705029+216916507+202150930</f>
        <v>516569766</v>
      </c>
      <c r="D24" s="318">
        <f>3797300-15179276</f>
        <v>-11381976</v>
      </c>
      <c r="E24" s="166"/>
      <c r="F24" s="166"/>
      <c r="H24" s="706" t="e">
        <f>'1.2.sz.mell. '!C24+'1.3.sz.mell.'!C24+#REF!</f>
        <v>#REF!</v>
      </c>
      <c r="I24" s="707" t="e">
        <f t="shared" si="0"/>
        <v>#REF!</v>
      </c>
    </row>
    <row r="25" spans="1:9" s="247" customFormat="1" ht="12" customHeight="1" thickBot="1">
      <c r="A25" s="15" t="s">
        <v>172</v>
      </c>
      <c r="B25" s="250" t="s">
        <v>238</v>
      </c>
      <c r="C25" s="384">
        <f>SUM(D25:F25)+91545029+214128350+202150930</f>
        <v>511621609</v>
      </c>
      <c r="D25" s="323">
        <v>3797300</v>
      </c>
      <c r="E25" s="237"/>
      <c r="F25" s="237"/>
      <c r="H25" s="706" t="e">
        <f>'1.2.sz.mell. '!C25+'1.3.sz.mell.'!C25+#REF!</f>
        <v>#REF!</v>
      </c>
      <c r="I25" s="707" t="e">
        <f t="shared" si="0"/>
        <v>#REF!</v>
      </c>
    </row>
    <row r="26" spans="1:9" s="247" customFormat="1" ht="12" customHeight="1" thickBot="1">
      <c r="A26" s="19" t="s">
        <v>173</v>
      </c>
      <c r="B26" s="20" t="s">
        <v>239</v>
      </c>
      <c r="C26" s="162">
        <f>SUM(C27)+SUM(C30:C33)</f>
        <v>356490000</v>
      </c>
      <c r="D26" s="346">
        <f>+D27+D31+D32+D33</f>
        <v>319390000</v>
      </c>
      <c r="E26" s="167">
        <f>+E27+E31+E32+E33</f>
        <v>0</v>
      </c>
      <c r="F26" s="167">
        <f>+F27+F31+F32+F33</f>
        <v>0</v>
      </c>
      <c r="H26" s="706" t="e">
        <f>'1.2.sz.mell. '!C26+'1.3.sz.mell.'!C26+#REF!</f>
        <v>#REF!</v>
      </c>
      <c r="I26" s="707" t="e">
        <f t="shared" si="0"/>
        <v>#REF!</v>
      </c>
    </row>
    <row r="27" spans="1:9" s="247" customFormat="1" ht="12" customHeight="1">
      <c r="A27" s="14" t="s">
        <v>240</v>
      </c>
      <c r="B27" s="248" t="s">
        <v>496</v>
      </c>
      <c r="C27" s="243">
        <f>SUM(C28:C29)</f>
        <v>317830000</v>
      </c>
      <c r="D27" s="372">
        <f>SUM(D28:D30)</f>
        <v>282830000</v>
      </c>
      <c r="E27" s="243"/>
      <c r="F27" s="243"/>
      <c r="H27" s="706" t="e">
        <f>'1.2.sz.mell. '!C27+'1.3.sz.mell.'!C27+#REF!</f>
        <v>#REF!</v>
      </c>
      <c r="I27" s="707" t="e">
        <f t="shared" si="0"/>
        <v>#REF!</v>
      </c>
    </row>
    <row r="28" spans="1:9" s="247" customFormat="1" ht="12" customHeight="1">
      <c r="A28" s="13" t="s">
        <v>241</v>
      </c>
      <c r="B28" s="249" t="s">
        <v>246</v>
      </c>
      <c r="C28" s="407">
        <f>SUM(D28:F28)</f>
        <v>78990000</v>
      </c>
      <c r="D28" s="149">
        <f>8990000+70000000</f>
        <v>78990000</v>
      </c>
      <c r="E28" s="163"/>
      <c r="F28" s="163"/>
      <c r="H28" s="706" t="e">
        <f>'1.2.sz.mell. '!C28+'1.3.sz.mell.'!C28+#REF!</f>
        <v>#REF!</v>
      </c>
      <c r="I28" s="707" t="e">
        <f t="shared" si="0"/>
        <v>#REF!</v>
      </c>
    </row>
    <row r="29" spans="1:9" s="247" customFormat="1" ht="12" customHeight="1">
      <c r="A29" s="13" t="s">
        <v>242</v>
      </c>
      <c r="B29" s="249" t="s">
        <v>591</v>
      </c>
      <c r="C29" s="383">
        <f>SUM(D29:F29)+35000000</f>
        <v>238840000</v>
      </c>
      <c r="D29" s="149">
        <v>203840000</v>
      </c>
      <c r="E29" s="163"/>
      <c r="F29" s="163"/>
      <c r="H29" s="706" t="e">
        <f>'1.2.sz.mell. '!C29+'1.3.sz.mell.'!C29+#REF!</f>
        <v>#REF!</v>
      </c>
      <c r="I29" s="707" t="e">
        <f t="shared" si="0"/>
        <v>#REF!</v>
      </c>
    </row>
    <row r="30" spans="1:9" s="247" customFormat="1" ht="12" customHeight="1">
      <c r="A30" s="13" t="s">
        <v>243</v>
      </c>
      <c r="B30" s="249" t="s">
        <v>592</v>
      </c>
      <c r="C30" s="407">
        <f>SUM(D30:F30)</f>
        <v>0</v>
      </c>
      <c r="D30" s="318"/>
      <c r="E30" s="166"/>
      <c r="F30" s="166"/>
      <c r="H30" s="706" t="e">
        <f>'1.2.sz.mell. '!C30+'1.3.sz.mell.'!C30+#REF!</f>
        <v>#REF!</v>
      </c>
      <c r="I30" s="707" t="e">
        <f t="shared" si="0"/>
        <v>#REF!</v>
      </c>
    </row>
    <row r="31" spans="1:9" s="247" customFormat="1" ht="12" customHeight="1">
      <c r="A31" s="13" t="s">
        <v>593</v>
      </c>
      <c r="B31" s="249" t="s">
        <v>248</v>
      </c>
      <c r="C31" s="407">
        <f>SUM(D31:F31)</f>
        <v>27000000</v>
      </c>
      <c r="D31" s="149">
        <f>27000000</f>
        <v>27000000</v>
      </c>
      <c r="E31" s="163"/>
      <c r="F31" s="163"/>
      <c r="H31" s="706" t="e">
        <f>'1.2.sz.mell. '!C31+'1.3.sz.mell.'!C31+#REF!</f>
        <v>#REF!</v>
      </c>
      <c r="I31" s="707" t="e">
        <f t="shared" si="0"/>
        <v>#REF!</v>
      </c>
    </row>
    <row r="32" spans="1:9" s="247" customFormat="1" ht="12" customHeight="1">
      <c r="A32" s="13" t="s">
        <v>245</v>
      </c>
      <c r="B32" s="249" t="s">
        <v>249</v>
      </c>
      <c r="C32" s="407">
        <f>SUM(D32:F32)-4000000</f>
        <v>60000</v>
      </c>
      <c r="D32" s="149">
        <v>4060000</v>
      </c>
      <c r="E32" s="163"/>
      <c r="F32" s="163"/>
      <c r="H32" s="706" t="e">
        <f>'1.2.sz.mell. '!C32+'1.3.sz.mell.'!C32+#REF!</f>
        <v>#REF!</v>
      </c>
      <c r="I32" s="707" t="e">
        <f t="shared" si="0"/>
        <v>#REF!</v>
      </c>
    </row>
    <row r="33" spans="1:9" s="247" customFormat="1" ht="12" customHeight="1" thickBot="1">
      <c r="A33" s="15" t="s">
        <v>594</v>
      </c>
      <c r="B33" s="250" t="s">
        <v>250</v>
      </c>
      <c r="C33" s="384">
        <f>SUM(D33:F33)+4000000+2100000</f>
        <v>11600000</v>
      </c>
      <c r="D33" s="323">
        <v>5500000</v>
      </c>
      <c r="E33" s="237"/>
      <c r="F33" s="237"/>
      <c r="H33" s="706" t="e">
        <f>'1.2.sz.mell. '!C33+'1.3.sz.mell.'!C33+#REF!</f>
        <v>#REF!</v>
      </c>
      <c r="I33" s="707" t="e">
        <f t="shared" si="0"/>
        <v>#REF!</v>
      </c>
    </row>
    <row r="34" spans="1:9" s="247" customFormat="1" ht="12" customHeight="1" thickBot="1">
      <c r="A34" s="19" t="s">
        <v>44</v>
      </c>
      <c r="B34" s="20" t="s">
        <v>499</v>
      </c>
      <c r="C34" s="162">
        <f>SUM(C35:C45)</f>
        <v>464171041</v>
      </c>
      <c r="D34" s="342">
        <f>SUM(D35:D45)</f>
        <v>54395907</v>
      </c>
      <c r="E34" s="162">
        <f>SUM(E35:E45)</f>
        <v>9416500</v>
      </c>
      <c r="F34" s="162">
        <f>SUM(F35:F45)</f>
        <v>389838178</v>
      </c>
      <c r="H34" s="706" t="e">
        <f>'1.2.sz.mell. '!C34+'1.3.sz.mell.'!C34+#REF!</f>
        <v>#REF!</v>
      </c>
      <c r="I34" s="707" t="e">
        <f t="shared" si="0"/>
        <v>#REF!</v>
      </c>
    </row>
    <row r="35" spans="1:9" s="247" customFormat="1" ht="12" customHeight="1">
      <c r="A35" s="14" t="s">
        <v>109</v>
      </c>
      <c r="B35" s="248" t="s">
        <v>253</v>
      </c>
      <c r="C35" s="586">
        <f>SUM(D35:F35)+5500000+275371-130000</f>
        <v>15790849</v>
      </c>
      <c r="D35" s="349">
        <f>3937000+4000000+5000000-2941522</f>
        <v>9995478</v>
      </c>
      <c r="E35" s="286"/>
      <c r="F35" s="286">
        <v>150000</v>
      </c>
      <c r="H35" s="706" t="e">
        <f>'1.2.sz.mell. '!C35+'1.3.sz.mell.'!C35+#REF!</f>
        <v>#REF!</v>
      </c>
      <c r="I35" s="707" t="e">
        <f t="shared" si="0"/>
        <v>#REF!</v>
      </c>
    </row>
    <row r="36" spans="1:9" s="247" customFormat="1" ht="12" customHeight="1">
      <c r="A36" s="13" t="s">
        <v>110</v>
      </c>
      <c r="B36" s="249" t="s">
        <v>254</v>
      </c>
      <c r="C36" s="585">
        <f>SUM(D36:F36)+1813568-195228+4055000-5885856</f>
        <v>94907686</v>
      </c>
      <c r="D36" s="318">
        <f>100000+12004000+160000+7128864</f>
        <v>19392864</v>
      </c>
      <c r="E36" s="166">
        <v>7533500</v>
      </c>
      <c r="F36" s="286">
        <v>68193838</v>
      </c>
      <c r="H36" s="706" t="e">
        <f>'1.2.sz.mell. '!C36+'1.3.sz.mell.'!C36+#REF!</f>
        <v>#REF!</v>
      </c>
      <c r="I36" s="707" t="e">
        <f t="shared" si="0"/>
        <v>#REF!</v>
      </c>
    </row>
    <row r="37" spans="1:9" s="247" customFormat="1" ht="12" customHeight="1">
      <c r="A37" s="13" t="s">
        <v>111</v>
      </c>
      <c r="B37" s="249" t="s">
        <v>255</v>
      </c>
      <c r="C37" s="383">
        <f>SUM(D37:F37)+1061599-195228+364027-3376000-189000-42520</f>
        <v>93246218</v>
      </c>
      <c r="D37" s="318">
        <f>8458000+947000</f>
        <v>9405000</v>
      </c>
      <c r="E37" s="166">
        <v>500000</v>
      </c>
      <c r="F37" s="286">
        <v>85718340</v>
      </c>
      <c r="H37" s="706" t="e">
        <f>'1.2.sz.mell. '!C37+'1.3.sz.mell.'!C37+#REF!</f>
        <v>#REF!</v>
      </c>
      <c r="I37" s="707" t="e">
        <f t="shared" si="0"/>
        <v>#REF!</v>
      </c>
    </row>
    <row r="38" spans="1:9" s="247" customFormat="1" ht="12" customHeight="1">
      <c r="A38" s="13" t="s">
        <v>175</v>
      </c>
      <c r="B38" s="249" t="s">
        <v>256</v>
      </c>
      <c r="C38" s="383">
        <f>SUM(D38:F38)</f>
        <v>430000</v>
      </c>
      <c r="D38" s="318">
        <f>430000</f>
        <v>430000</v>
      </c>
      <c r="E38" s="166"/>
      <c r="F38" s="286"/>
      <c r="H38" s="706" t="e">
        <f>'1.2.sz.mell. '!C38+'1.3.sz.mell.'!C38+#REF!</f>
        <v>#REF!</v>
      </c>
      <c r="I38" s="707" t="e">
        <f t="shared" si="0"/>
        <v>#REF!</v>
      </c>
    </row>
    <row r="39" spans="1:9" s="247" customFormat="1" ht="12" customHeight="1">
      <c r="A39" s="13" t="s">
        <v>176</v>
      </c>
      <c r="B39" s="249" t="s">
        <v>257</v>
      </c>
      <c r="C39" s="383">
        <f>SUM(D39:F39)</f>
        <v>182811402</v>
      </c>
      <c r="D39" s="318"/>
      <c r="E39" s="166"/>
      <c r="F39" s="286">
        <v>182811402</v>
      </c>
      <c r="H39" s="706" t="e">
        <f>'1.2.sz.mell. '!C39+'1.3.sz.mell.'!C39+#REF!</f>
        <v>#REF!</v>
      </c>
      <c r="I39" s="707" t="e">
        <f t="shared" si="0"/>
        <v>#REF!</v>
      </c>
    </row>
    <row r="40" spans="1:9" s="247" customFormat="1" ht="12" customHeight="1">
      <c r="A40" s="13" t="s">
        <v>177</v>
      </c>
      <c r="B40" s="249" t="s">
        <v>258</v>
      </c>
      <c r="C40" s="585">
        <f>SUM(D40:F40)+270000+1485000+976640+195228+195228+246410+2609072+189000+42520</f>
        <v>53351261</v>
      </c>
      <c r="D40" s="318">
        <f>1063000+3242000+5853000+44000+378000+600000+1350000+1408565</f>
        <v>13938565</v>
      </c>
      <c r="E40" s="166">
        <v>1283000</v>
      </c>
      <c r="F40" s="286">
        <v>31920598</v>
      </c>
      <c r="H40" s="706" t="e">
        <f>'1.2.sz.mell. '!C40+'1.3.sz.mell.'!C40+#REF!</f>
        <v>#REF!</v>
      </c>
      <c r="I40" s="707" t="e">
        <f t="shared" si="0"/>
        <v>#REF!</v>
      </c>
    </row>
    <row r="41" spans="1:9" s="247" customFormat="1" ht="12" customHeight="1">
      <c r="A41" s="13" t="s">
        <v>178</v>
      </c>
      <c r="B41" s="249" t="s">
        <v>259</v>
      </c>
      <c r="C41" s="585">
        <f>SUM(D41:F41)-1286000+1924793</f>
        <v>21672793</v>
      </c>
      <c r="D41" s="318"/>
      <c r="E41" s="166"/>
      <c r="F41" s="286">
        <v>21034000</v>
      </c>
      <c r="H41" s="706" t="e">
        <f>'1.2.sz.mell. '!C41+'1.3.sz.mell.'!C41+#REF!</f>
        <v>#REF!</v>
      </c>
      <c r="I41" s="707" t="e">
        <f t="shared" si="0"/>
        <v>#REF!</v>
      </c>
    </row>
    <row r="42" spans="1:9" s="247" customFormat="1" ht="12" customHeight="1">
      <c r="A42" s="13" t="s">
        <v>179</v>
      </c>
      <c r="B42" s="249" t="s">
        <v>606</v>
      </c>
      <c r="C42" s="383">
        <f>SUM(D42:F42)</f>
        <v>40000</v>
      </c>
      <c r="D42" s="318">
        <v>30000</v>
      </c>
      <c r="E42" s="166"/>
      <c r="F42" s="286">
        <v>10000</v>
      </c>
      <c r="H42" s="706" t="e">
        <f>'1.2.sz.mell. '!C42+'1.3.sz.mell.'!C42+#REF!</f>
        <v>#REF!</v>
      </c>
      <c r="I42" s="707" t="e">
        <f t="shared" si="0"/>
        <v>#REF!</v>
      </c>
    </row>
    <row r="43" spans="1:9" s="247" customFormat="1" ht="12" customHeight="1">
      <c r="A43" s="13" t="s">
        <v>251</v>
      </c>
      <c r="B43" s="249" t="s">
        <v>261</v>
      </c>
      <c r="C43" s="383">
        <f>SUM(D43:F43)</f>
        <v>0</v>
      </c>
      <c r="D43" s="318"/>
      <c r="E43" s="166"/>
      <c r="F43" s="286"/>
      <c r="H43" s="706" t="e">
        <f>'1.2.sz.mell. '!C43+'1.3.sz.mell.'!C43+#REF!</f>
        <v>#REF!</v>
      </c>
      <c r="I43" s="707" t="e">
        <f t="shared" si="0"/>
        <v>#REF!</v>
      </c>
    </row>
    <row r="44" spans="1:9" s="247" customFormat="1" ht="12" customHeight="1">
      <c r="A44" s="15" t="s">
        <v>252</v>
      </c>
      <c r="B44" s="250" t="s">
        <v>500</v>
      </c>
      <c r="C44" s="383">
        <f>SUM(D44:F44)</f>
        <v>500000</v>
      </c>
      <c r="D44" s="323">
        <f>500000</f>
        <v>500000</v>
      </c>
      <c r="E44" s="237"/>
      <c r="F44" s="286"/>
      <c r="H44" s="706" t="e">
        <f>'1.2.sz.mell. '!C44+'1.3.sz.mell.'!C44+#REF!</f>
        <v>#REF!</v>
      </c>
      <c r="I44" s="707" t="e">
        <f t="shared" si="0"/>
        <v>#REF!</v>
      </c>
    </row>
    <row r="45" spans="1:9" s="247" customFormat="1" ht="12" customHeight="1" thickBot="1">
      <c r="A45" s="15" t="s">
        <v>501</v>
      </c>
      <c r="B45" s="159" t="s">
        <v>262</v>
      </c>
      <c r="C45" s="384">
        <f>SUM(D45:F45)+200318+416514</f>
        <v>1420832</v>
      </c>
      <c r="D45" s="323">
        <f>704000</f>
        <v>704000</v>
      </c>
      <c r="E45" s="237">
        <v>100000</v>
      </c>
      <c r="F45" s="286"/>
      <c r="H45" s="706" t="e">
        <f>'1.2.sz.mell. '!C45+'1.3.sz.mell.'!C45+#REF!</f>
        <v>#REF!</v>
      </c>
      <c r="I45" s="707" t="e">
        <f t="shared" si="0"/>
        <v>#REF!</v>
      </c>
    </row>
    <row r="46" spans="1:9" s="247" customFormat="1" ht="12" customHeight="1" thickBot="1">
      <c r="A46" s="19" t="s">
        <v>45</v>
      </c>
      <c r="B46" s="20" t="s">
        <v>263</v>
      </c>
      <c r="C46" s="162">
        <f>SUM(C47:C51)</f>
        <v>47429000</v>
      </c>
      <c r="D46" s="342">
        <f>SUM(D47:D51)</f>
        <v>25179000</v>
      </c>
      <c r="E46" s="162">
        <f>SUM(E47:E51)</f>
        <v>0</v>
      </c>
      <c r="F46" s="162">
        <f>SUM(F47:F51)</f>
        <v>0</v>
      </c>
      <c r="H46" s="706" t="e">
        <f>'1.2.sz.mell. '!C46+'1.3.sz.mell.'!C46+#REF!</f>
        <v>#REF!</v>
      </c>
      <c r="I46" s="707" t="e">
        <f t="shared" si="0"/>
        <v>#REF!</v>
      </c>
    </row>
    <row r="47" spans="1:9" s="247" customFormat="1" ht="12" customHeight="1">
      <c r="A47" s="14" t="s">
        <v>112</v>
      </c>
      <c r="B47" s="248" t="s">
        <v>267</v>
      </c>
      <c r="C47" s="243">
        <f>SUM(D47:F47)</f>
        <v>0</v>
      </c>
      <c r="D47" s="349"/>
      <c r="E47" s="286"/>
      <c r="F47" s="286"/>
      <c r="H47" s="706" t="e">
        <f>'1.2.sz.mell. '!C47+'1.3.sz.mell.'!C47+#REF!</f>
        <v>#REF!</v>
      </c>
      <c r="I47" s="707" t="e">
        <f t="shared" si="0"/>
        <v>#REF!</v>
      </c>
    </row>
    <row r="48" spans="1:9" s="247" customFormat="1" ht="12" customHeight="1">
      <c r="A48" s="13" t="s">
        <v>113</v>
      </c>
      <c r="B48" s="249" t="s">
        <v>268</v>
      </c>
      <c r="C48" s="407">
        <f>SUM(D48:F48)+22000000</f>
        <v>47179000</v>
      </c>
      <c r="D48" s="318">
        <f>25179000</f>
        <v>25179000</v>
      </c>
      <c r="E48" s="166"/>
      <c r="F48" s="166"/>
      <c r="H48" s="706" t="e">
        <f>'1.2.sz.mell. '!C48+'1.3.sz.mell.'!C48+#REF!</f>
        <v>#REF!</v>
      </c>
      <c r="I48" s="707" t="e">
        <f t="shared" si="0"/>
        <v>#REF!</v>
      </c>
    </row>
    <row r="49" spans="1:9" s="247" customFormat="1" ht="12" customHeight="1">
      <c r="A49" s="13" t="s">
        <v>264</v>
      </c>
      <c r="B49" s="249" t="s">
        <v>269</v>
      </c>
      <c r="C49" s="407">
        <v>250000</v>
      </c>
      <c r="D49" s="318"/>
      <c r="E49" s="166"/>
      <c r="F49" s="166"/>
      <c r="H49" s="706" t="e">
        <f>'1.2.sz.mell. '!C49+'1.3.sz.mell.'!C49+#REF!</f>
        <v>#REF!</v>
      </c>
      <c r="I49" s="707" t="e">
        <f t="shared" si="0"/>
        <v>#REF!</v>
      </c>
    </row>
    <row r="50" spans="1:9" s="247" customFormat="1" ht="12" customHeight="1">
      <c r="A50" s="13" t="s">
        <v>265</v>
      </c>
      <c r="B50" s="249" t="s">
        <v>270</v>
      </c>
      <c r="C50" s="407">
        <f>SUM(D50:F50)</f>
        <v>0</v>
      </c>
      <c r="D50" s="318"/>
      <c r="E50" s="166"/>
      <c r="F50" s="166"/>
      <c r="H50" s="706" t="e">
        <f>'1.2.sz.mell. '!C50+'1.3.sz.mell.'!C50+#REF!</f>
        <v>#REF!</v>
      </c>
      <c r="I50" s="707" t="e">
        <f t="shared" si="0"/>
        <v>#REF!</v>
      </c>
    </row>
    <row r="51" spans="1:9" s="247" customFormat="1" ht="12" customHeight="1" thickBot="1">
      <c r="A51" s="15" t="s">
        <v>266</v>
      </c>
      <c r="B51" s="159" t="s">
        <v>271</v>
      </c>
      <c r="C51" s="408">
        <f>SUM(D51:F51)</f>
        <v>0</v>
      </c>
      <c r="D51" s="323"/>
      <c r="E51" s="237"/>
      <c r="F51" s="237"/>
      <c r="H51" s="706" t="e">
        <f>'1.2.sz.mell. '!C51+'1.3.sz.mell.'!C51+#REF!</f>
        <v>#REF!</v>
      </c>
      <c r="I51" s="707" t="e">
        <f t="shared" si="0"/>
        <v>#REF!</v>
      </c>
    </row>
    <row r="52" spans="1:9" s="247" customFormat="1" ht="12" customHeight="1" thickBot="1">
      <c r="A52" s="19" t="s">
        <v>180</v>
      </c>
      <c r="B52" s="20" t="s">
        <v>272</v>
      </c>
      <c r="C52" s="162">
        <f>SUM(C53:C55)</f>
        <v>6244433</v>
      </c>
      <c r="D52" s="342">
        <f>SUM(D53:D55)</f>
        <v>6164433</v>
      </c>
      <c r="E52" s="162">
        <f>SUM(E53:E55)</f>
        <v>0</v>
      </c>
      <c r="F52" s="162">
        <f>SUM(F53:F55)</f>
        <v>0</v>
      </c>
      <c r="H52" s="706" t="e">
        <f>'1.2.sz.mell. '!C52+'1.3.sz.mell.'!C52+#REF!</f>
        <v>#REF!</v>
      </c>
      <c r="I52" s="707" t="e">
        <f t="shared" si="0"/>
        <v>#REF!</v>
      </c>
    </row>
    <row r="53" spans="1:9" s="247" customFormat="1" ht="12" customHeight="1">
      <c r="A53" s="14" t="s">
        <v>114</v>
      </c>
      <c r="B53" s="248" t="s">
        <v>273</v>
      </c>
      <c r="C53" s="243">
        <f>SUM(D53:F53)</f>
        <v>0</v>
      </c>
      <c r="D53" s="344"/>
      <c r="E53" s="164"/>
      <c r="F53" s="164"/>
      <c r="H53" s="706" t="e">
        <f>'1.2.sz.mell. '!C53+'1.3.sz.mell.'!C53+#REF!</f>
        <v>#REF!</v>
      </c>
      <c r="I53" s="707" t="e">
        <f t="shared" si="0"/>
        <v>#REF!</v>
      </c>
    </row>
    <row r="54" spans="1:9" s="247" customFormat="1" ht="12" customHeight="1">
      <c r="A54" s="13" t="s">
        <v>115</v>
      </c>
      <c r="B54" s="249" t="s">
        <v>404</v>
      </c>
      <c r="C54" s="407">
        <f>SUM(D54:F54)</f>
        <v>1949000</v>
      </c>
      <c r="D54" s="318">
        <f>383000+1566000</f>
        <v>1949000</v>
      </c>
      <c r="E54" s="166"/>
      <c r="F54" s="166"/>
      <c r="H54" s="706" t="e">
        <f>'1.2.sz.mell. '!C54+'1.3.sz.mell.'!C54+#REF!</f>
        <v>#REF!</v>
      </c>
      <c r="I54" s="707" t="e">
        <f t="shared" si="0"/>
        <v>#REF!</v>
      </c>
    </row>
    <row r="55" spans="1:9" s="247" customFormat="1" ht="12" customHeight="1">
      <c r="A55" s="13" t="s">
        <v>276</v>
      </c>
      <c r="B55" s="249" t="s">
        <v>274</v>
      </c>
      <c r="C55" s="585">
        <f>SUM(D55:F55)+80000</f>
        <v>4295433</v>
      </c>
      <c r="D55" s="318">
        <f>4075000+140433</f>
        <v>4215433</v>
      </c>
      <c r="E55" s="166"/>
      <c r="F55" s="166"/>
      <c r="H55" s="706" t="e">
        <f>'1.2.sz.mell. '!C55+'1.3.sz.mell.'!C55+#REF!</f>
        <v>#REF!</v>
      </c>
      <c r="I55" s="707" t="e">
        <f t="shared" si="0"/>
        <v>#REF!</v>
      </c>
    </row>
    <row r="56" spans="1:9" s="247" customFormat="1" ht="12" customHeight="1" thickBot="1">
      <c r="A56" s="15" t="s">
        <v>277</v>
      </c>
      <c r="B56" s="159" t="s">
        <v>275</v>
      </c>
      <c r="C56" s="408">
        <f>SUM(D56:F56)</f>
        <v>0</v>
      </c>
      <c r="D56" s="150"/>
      <c r="E56" s="165"/>
      <c r="F56" s="165"/>
      <c r="H56" s="706" t="e">
        <f>'1.2.sz.mell. '!C56+'1.3.sz.mell.'!C56+#REF!</f>
        <v>#REF!</v>
      </c>
      <c r="I56" s="707" t="e">
        <f t="shared" si="0"/>
        <v>#REF!</v>
      </c>
    </row>
    <row r="57" spans="1:9" s="247" customFormat="1" ht="12" customHeight="1" thickBot="1">
      <c r="A57" s="19" t="s">
        <v>47</v>
      </c>
      <c r="B57" s="157" t="s">
        <v>278</v>
      </c>
      <c r="C57" s="162">
        <f>SUM(C58:C60)</f>
        <v>1200000</v>
      </c>
      <c r="D57" s="342">
        <f>SUM(D58:D60)</f>
        <v>0</v>
      </c>
      <c r="E57" s="162">
        <f>SUM(E58:E60)</f>
        <v>0</v>
      </c>
      <c r="F57" s="162">
        <f>SUM(F58:F60)</f>
        <v>0</v>
      </c>
      <c r="H57" s="706" t="e">
        <f>'1.2.sz.mell. '!C57+'1.3.sz.mell.'!C57+#REF!</f>
        <v>#REF!</v>
      </c>
      <c r="I57" s="707" t="e">
        <f t="shared" si="0"/>
        <v>#REF!</v>
      </c>
    </row>
    <row r="58" spans="1:9" s="247" customFormat="1" ht="12" customHeight="1">
      <c r="A58" s="14" t="s">
        <v>181</v>
      </c>
      <c r="B58" s="248" t="s">
        <v>280</v>
      </c>
      <c r="C58" s="243">
        <f>SUM(D58:F58)</f>
        <v>0</v>
      </c>
      <c r="D58" s="318"/>
      <c r="E58" s="166"/>
      <c r="F58" s="166"/>
      <c r="H58" s="706" t="e">
        <f>'1.2.sz.mell. '!C58+'1.3.sz.mell.'!C58+#REF!</f>
        <v>#REF!</v>
      </c>
      <c r="I58" s="707" t="e">
        <f t="shared" si="0"/>
        <v>#REF!</v>
      </c>
    </row>
    <row r="59" spans="1:9" s="247" customFormat="1" ht="12" customHeight="1">
      <c r="A59" s="13" t="s">
        <v>182</v>
      </c>
      <c r="B59" s="249" t="s">
        <v>405</v>
      </c>
      <c r="C59" s="407">
        <f>SUM(D59:F59)</f>
        <v>0</v>
      </c>
      <c r="D59" s="318"/>
      <c r="E59" s="166"/>
      <c r="F59" s="166"/>
      <c r="H59" s="706" t="e">
        <f>'1.2.sz.mell. '!C59+'1.3.sz.mell.'!C59+#REF!</f>
        <v>#REF!</v>
      </c>
      <c r="I59" s="707" t="e">
        <f t="shared" si="0"/>
        <v>#REF!</v>
      </c>
    </row>
    <row r="60" spans="1:9" s="247" customFormat="1" ht="12" customHeight="1">
      <c r="A60" s="13" t="s">
        <v>204</v>
      </c>
      <c r="B60" s="249" t="s">
        <v>281</v>
      </c>
      <c r="C60" s="585">
        <v>1200000</v>
      </c>
      <c r="D60" s="318"/>
      <c r="E60" s="166"/>
      <c r="F60" s="166"/>
      <c r="H60" s="706" t="e">
        <f>'1.2.sz.mell. '!C60+'1.3.sz.mell.'!C60+#REF!</f>
        <v>#REF!</v>
      </c>
      <c r="I60" s="707" t="e">
        <f t="shared" si="0"/>
        <v>#REF!</v>
      </c>
    </row>
    <row r="61" spans="1:9" s="247" customFormat="1" ht="12" customHeight="1" thickBot="1">
      <c r="A61" s="15" t="s">
        <v>279</v>
      </c>
      <c r="B61" s="159" t="s">
        <v>282</v>
      </c>
      <c r="C61" s="408">
        <f>SUM(D61:F61)</f>
        <v>0</v>
      </c>
      <c r="D61" s="318"/>
      <c r="E61" s="166"/>
      <c r="F61" s="166"/>
      <c r="H61" s="706" t="e">
        <f>'1.2.sz.mell. '!C61+'1.3.sz.mell.'!C61+#REF!</f>
        <v>#REF!</v>
      </c>
      <c r="I61" s="707" t="e">
        <f t="shared" si="0"/>
        <v>#REF!</v>
      </c>
    </row>
    <row r="62" spans="1:9" s="247" customFormat="1" ht="12" customHeight="1" thickBot="1">
      <c r="A62" s="302" t="s">
        <v>502</v>
      </c>
      <c r="B62" s="20" t="s">
        <v>283</v>
      </c>
      <c r="C62" s="162">
        <f>C57+C52+C46+C34+C26+C19+C12+C5</f>
        <v>2954602326</v>
      </c>
      <c r="D62" s="346">
        <f>+D5+D12+D19+D26+D34+D46+D52+D57</f>
        <v>1438638329</v>
      </c>
      <c r="E62" s="167">
        <f>+E5+E12+E19+E26+E34+E46+E52+E57</f>
        <v>9416500</v>
      </c>
      <c r="F62" s="167">
        <f>+F5+F12+F19+F26+F34+F46+F52+F57</f>
        <v>395323178</v>
      </c>
      <c r="H62" s="706" t="e">
        <f>'1.2.sz.mell. '!C62+'1.3.sz.mell.'!C62+#REF!</f>
        <v>#REF!</v>
      </c>
      <c r="I62" s="707" t="e">
        <f t="shared" si="0"/>
        <v>#REF!</v>
      </c>
    </row>
    <row r="63" spans="1:9" s="247" customFormat="1" ht="12" customHeight="1" thickBot="1">
      <c r="A63" s="303" t="s">
        <v>284</v>
      </c>
      <c r="B63" s="157" t="s">
        <v>285</v>
      </c>
      <c r="C63" s="309">
        <f>SUM(C64:C66)</f>
        <v>187500000</v>
      </c>
      <c r="D63" s="342">
        <f>SUM(D64:D66)</f>
        <v>144100000</v>
      </c>
      <c r="E63" s="162">
        <f>SUM(E64:E66)</f>
        <v>0</v>
      </c>
      <c r="F63" s="162">
        <f>SUM(F64:F66)</f>
        <v>0</v>
      </c>
      <c r="H63" s="706" t="e">
        <f>'1.2.sz.mell. '!C63+'1.3.sz.mell.'!C63+#REF!</f>
        <v>#REF!</v>
      </c>
      <c r="I63" s="707" t="e">
        <f t="shared" si="0"/>
        <v>#REF!</v>
      </c>
    </row>
    <row r="64" spans="1:9" s="247" customFormat="1" ht="12" customHeight="1">
      <c r="A64" s="14" t="s">
        <v>316</v>
      </c>
      <c r="B64" s="248" t="s">
        <v>286</v>
      </c>
      <c r="C64" s="586">
        <f>SUM(D64:F64)+37900000+5500000</f>
        <v>87500000</v>
      </c>
      <c r="D64" s="318">
        <v>44100000</v>
      </c>
      <c r="E64" s="166"/>
      <c r="F64" s="166"/>
      <c r="H64" s="706" t="e">
        <f>'1.2.sz.mell. '!C64+'1.3.sz.mell.'!C64+#REF!</f>
        <v>#REF!</v>
      </c>
      <c r="I64" s="707" t="e">
        <f t="shared" si="0"/>
        <v>#REF!</v>
      </c>
    </row>
    <row r="65" spans="1:9" s="247" customFormat="1" ht="12" customHeight="1">
      <c r="A65" s="13" t="s">
        <v>325</v>
      </c>
      <c r="B65" s="249" t="s">
        <v>287</v>
      </c>
      <c r="C65" s="383">
        <f>SUM(D65:F65)</f>
        <v>100000000</v>
      </c>
      <c r="D65" s="318">
        <v>100000000</v>
      </c>
      <c r="E65" s="166"/>
      <c r="F65" s="166"/>
      <c r="H65" s="706" t="e">
        <f>'1.2.sz.mell. '!C65+'1.3.sz.mell.'!C65+#REF!</f>
        <v>#REF!</v>
      </c>
      <c r="I65" s="707" t="e">
        <f t="shared" si="0"/>
        <v>#REF!</v>
      </c>
    </row>
    <row r="66" spans="1:9" s="247" customFormat="1" ht="12" customHeight="1" thickBot="1">
      <c r="A66" s="15" t="s">
        <v>326</v>
      </c>
      <c r="B66" s="304" t="s">
        <v>503</v>
      </c>
      <c r="C66" s="408">
        <f>SUM(D66:F66)</f>
        <v>0</v>
      </c>
      <c r="D66" s="318"/>
      <c r="E66" s="166"/>
      <c r="F66" s="166"/>
      <c r="H66" s="706" t="e">
        <f>'1.2.sz.mell. '!C66+'1.3.sz.mell.'!C66+#REF!</f>
        <v>#REF!</v>
      </c>
      <c r="I66" s="707" t="e">
        <f t="shared" si="0"/>
        <v>#REF!</v>
      </c>
    </row>
    <row r="67" spans="1:9" s="247" customFormat="1" ht="12" customHeight="1" thickBot="1">
      <c r="A67" s="303" t="s">
        <v>289</v>
      </c>
      <c r="B67" s="157" t="s">
        <v>290</v>
      </c>
      <c r="C67" s="409">
        <f>SUM(C68:C71)</f>
        <v>0</v>
      </c>
      <c r="D67" s="342">
        <f>SUM(D68:D71)</f>
        <v>0</v>
      </c>
      <c r="E67" s="162">
        <f>SUM(E68:E71)</f>
        <v>0</v>
      </c>
      <c r="F67" s="162">
        <f>SUM(F68:F71)</f>
        <v>0</v>
      </c>
      <c r="H67" s="706" t="e">
        <f>'1.2.sz.mell. '!C67+'1.3.sz.mell.'!C67+#REF!</f>
        <v>#REF!</v>
      </c>
      <c r="I67" s="707" t="e">
        <f t="shared" si="0"/>
        <v>#REF!</v>
      </c>
    </row>
    <row r="68" spans="1:9" s="247" customFormat="1" ht="12" customHeight="1">
      <c r="A68" s="14" t="s">
        <v>160</v>
      </c>
      <c r="B68" s="248" t="s">
        <v>291</v>
      </c>
      <c r="C68" s="243">
        <f>SUM(D68:F68)</f>
        <v>0</v>
      </c>
      <c r="D68" s="318"/>
      <c r="E68" s="166"/>
      <c r="F68" s="166"/>
      <c r="H68" s="706" t="e">
        <f>'1.2.sz.mell. '!C68+'1.3.sz.mell.'!C68+#REF!</f>
        <v>#REF!</v>
      </c>
      <c r="I68" s="707" t="e">
        <f t="shared" si="0"/>
        <v>#REF!</v>
      </c>
    </row>
    <row r="69" spans="1:9" s="247" customFormat="1" ht="12" customHeight="1">
      <c r="A69" s="13" t="s">
        <v>161</v>
      </c>
      <c r="B69" s="249" t="s">
        <v>292</v>
      </c>
      <c r="C69" s="407">
        <f>SUM(D69:F69)</f>
        <v>0</v>
      </c>
      <c r="D69" s="318"/>
      <c r="E69" s="166"/>
      <c r="F69" s="166"/>
      <c r="H69" s="706" t="e">
        <f>'1.2.sz.mell. '!C69+'1.3.sz.mell.'!C69+#REF!</f>
        <v>#REF!</v>
      </c>
      <c r="I69" s="707" t="e">
        <f aca="true" t="shared" si="1" ref="I69:I92">C69-H69</f>
        <v>#REF!</v>
      </c>
    </row>
    <row r="70" spans="1:9" s="247" customFormat="1" ht="12" customHeight="1">
      <c r="A70" s="13" t="s">
        <v>317</v>
      </c>
      <c r="B70" s="249" t="s">
        <v>293</v>
      </c>
      <c r="C70" s="407">
        <f>SUM(D70:F70)</f>
        <v>0</v>
      </c>
      <c r="D70" s="318"/>
      <c r="E70" s="166"/>
      <c r="F70" s="166"/>
      <c r="H70" s="706" t="e">
        <f>'1.2.sz.mell. '!C70+'1.3.sz.mell.'!C70+#REF!</f>
        <v>#REF!</v>
      </c>
      <c r="I70" s="707" t="e">
        <f t="shared" si="1"/>
        <v>#REF!</v>
      </c>
    </row>
    <row r="71" spans="1:9" s="247" customFormat="1" ht="12" customHeight="1" thickBot="1">
      <c r="A71" s="15" t="s">
        <v>318</v>
      </c>
      <c r="B71" s="159" t="s">
        <v>294</v>
      </c>
      <c r="C71" s="408">
        <f>SUM(D71:F71)</f>
        <v>0</v>
      </c>
      <c r="D71" s="318"/>
      <c r="E71" s="166"/>
      <c r="F71" s="166"/>
      <c r="H71" s="706" t="e">
        <f>'1.2.sz.mell. '!C71+'1.3.sz.mell.'!C71+#REF!</f>
        <v>#REF!</v>
      </c>
      <c r="I71" s="707" t="e">
        <f t="shared" si="1"/>
        <v>#REF!</v>
      </c>
    </row>
    <row r="72" spans="1:9" s="247" customFormat="1" ht="12" customHeight="1" thickBot="1">
      <c r="A72" s="303" t="s">
        <v>295</v>
      </c>
      <c r="B72" s="157" t="s">
        <v>296</v>
      </c>
      <c r="C72" s="162">
        <f>SUM(C73:C74)</f>
        <v>292999415</v>
      </c>
      <c r="D72" s="342">
        <f>SUM(D73:D74)</f>
        <v>289331423</v>
      </c>
      <c r="E72" s="162">
        <f>SUM(E73:E74)</f>
        <v>447404</v>
      </c>
      <c r="F72" s="162">
        <f>SUM(F73:F74)</f>
        <v>3220588</v>
      </c>
      <c r="H72" s="706" t="e">
        <f>'1.2.sz.mell. '!C72+'1.3.sz.mell.'!C72+#REF!</f>
        <v>#REF!</v>
      </c>
      <c r="I72" s="707" t="e">
        <f t="shared" si="1"/>
        <v>#REF!</v>
      </c>
    </row>
    <row r="73" spans="1:9" s="247" customFormat="1" ht="12" customHeight="1">
      <c r="A73" s="14" t="s">
        <v>319</v>
      </c>
      <c r="B73" s="248" t="s">
        <v>297</v>
      </c>
      <c r="C73" s="243">
        <f>SUM(D73:F73)</f>
        <v>292999415</v>
      </c>
      <c r="D73" s="318">
        <v>289331423</v>
      </c>
      <c r="E73" s="166">
        <v>447404</v>
      </c>
      <c r="F73" s="166">
        <v>3220588</v>
      </c>
      <c r="H73" s="706" t="e">
        <f>'1.2.sz.mell. '!C73+'1.3.sz.mell.'!C73+#REF!</f>
        <v>#REF!</v>
      </c>
      <c r="I73" s="707" t="e">
        <f t="shared" si="1"/>
        <v>#REF!</v>
      </c>
    </row>
    <row r="74" spans="1:9" s="247" customFormat="1" ht="12" customHeight="1" thickBot="1">
      <c r="A74" s="15" t="s">
        <v>320</v>
      </c>
      <c r="B74" s="159" t="s">
        <v>298</v>
      </c>
      <c r="C74" s="408">
        <f>SUM(D74:F74)</f>
        <v>0</v>
      </c>
      <c r="D74" s="318"/>
      <c r="E74" s="166"/>
      <c r="F74" s="166"/>
      <c r="H74" s="706" t="e">
        <f>'1.2.sz.mell. '!C74+'1.3.sz.mell.'!C74+#REF!</f>
        <v>#REF!</v>
      </c>
      <c r="I74" s="707" t="e">
        <f t="shared" si="1"/>
        <v>#REF!</v>
      </c>
    </row>
    <row r="75" spans="1:9" s="247" customFormat="1" ht="12" customHeight="1" thickBot="1">
      <c r="A75" s="303" t="s">
        <v>299</v>
      </c>
      <c r="B75" s="157" t="s">
        <v>300</v>
      </c>
      <c r="C75" s="409">
        <f>SUM(C76:C78)</f>
        <v>0</v>
      </c>
      <c r="D75" s="342">
        <f>SUM(D76:D78)</f>
        <v>0</v>
      </c>
      <c r="E75" s="162">
        <f>SUM(E76:E78)</f>
        <v>0</v>
      </c>
      <c r="F75" s="162">
        <f>SUM(F76:F78)</f>
        <v>0</v>
      </c>
      <c r="H75" s="706" t="e">
        <f>'1.2.sz.mell. '!C75+'1.3.sz.mell.'!C75+#REF!</f>
        <v>#REF!</v>
      </c>
      <c r="I75" s="707" t="e">
        <f t="shared" si="1"/>
        <v>#REF!</v>
      </c>
    </row>
    <row r="76" spans="1:9" s="247" customFormat="1" ht="12" customHeight="1">
      <c r="A76" s="14" t="s">
        <v>321</v>
      </c>
      <c r="B76" s="248" t="s">
        <v>301</v>
      </c>
      <c r="C76" s="243">
        <f>SUM(D76:F76)</f>
        <v>0</v>
      </c>
      <c r="D76" s="318"/>
      <c r="E76" s="166"/>
      <c r="F76" s="166"/>
      <c r="H76" s="706" t="e">
        <f>'1.2.sz.mell. '!C76+'1.3.sz.mell.'!C76+#REF!</f>
        <v>#REF!</v>
      </c>
      <c r="I76" s="707" t="e">
        <f t="shared" si="1"/>
        <v>#REF!</v>
      </c>
    </row>
    <row r="77" spans="1:9" s="247" customFormat="1" ht="12" customHeight="1">
      <c r="A77" s="13" t="s">
        <v>322</v>
      </c>
      <c r="B77" s="249" t="s">
        <v>302</v>
      </c>
      <c r="C77" s="407">
        <f>SUM(D77:F77)</f>
        <v>0</v>
      </c>
      <c r="D77" s="318"/>
      <c r="E77" s="166"/>
      <c r="F77" s="166"/>
      <c r="H77" s="706" t="e">
        <f>'1.2.sz.mell. '!C77+'1.3.sz.mell.'!C77+#REF!</f>
        <v>#REF!</v>
      </c>
      <c r="I77" s="707" t="e">
        <f t="shared" si="1"/>
        <v>#REF!</v>
      </c>
    </row>
    <row r="78" spans="1:9" s="247" customFormat="1" ht="12" customHeight="1" thickBot="1">
      <c r="A78" s="15" t="s">
        <v>323</v>
      </c>
      <c r="B78" s="159" t="s">
        <v>303</v>
      </c>
      <c r="C78" s="408">
        <f>SUM(D78:F78)</f>
        <v>0</v>
      </c>
      <c r="D78" s="318"/>
      <c r="E78" s="166"/>
      <c r="F78" s="166"/>
      <c r="H78" s="706" t="e">
        <f>'1.2.sz.mell. '!C78+'1.3.sz.mell.'!C78+#REF!</f>
        <v>#REF!</v>
      </c>
      <c r="I78" s="707" t="e">
        <f t="shared" si="1"/>
        <v>#REF!</v>
      </c>
    </row>
    <row r="79" spans="1:9" s="247" customFormat="1" ht="12" customHeight="1" thickBot="1">
      <c r="A79" s="303" t="s">
        <v>304</v>
      </c>
      <c r="B79" s="157" t="s">
        <v>324</v>
      </c>
      <c r="C79" s="409">
        <f>SUM(C80:C83)</f>
        <v>0</v>
      </c>
      <c r="D79" s="342">
        <f>SUM(D80:D83)</f>
        <v>0</v>
      </c>
      <c r="E79" s="162">
        <f>SUM(E80:E83)</f>
        <v>0</v>
      </c>
      <c r="F79" s="162">
        <f>SUM(F80:F83)</f>
        <v>0</v>
      </c>
      <c r="H79" s="706" t="e">
        <f>'1.2.sz.mell. '!C79+'1.3.sz.mell.'!C79+#REF!</f>
        <v>#REF!</v>
      </c>
      <c r="I79" s="707" t="e">
        <f t="shared" si="1"/>
        <v>#REF!</v>
      </c>
    </row>
    <row r="80" spans="1:9" s="247" customFormat="1" ht="12" customHeight="1">
      <c r="A80" s="252" t="s">
        <v>305</v>
      </c>
      <c r="B80" s="248" t="s">
        <v>306</v>
      </c>
      <c r="C80" s="243">
        <f aca="true" t="shared" si="2" ref="C80:C85">SUM(D80:F80)</f>
        <v>0</v>
      </c>
      <c r="D80" s="318"/>
      <c r="E80" s="166"/>
      <c r="F80" s="166"/>
      <c r="H80" s="706" t="e">
        <f>'1.2.sz.mell. '!C80+'1.3.sz.mell.'!C80+#REF!</f>
        <v>#REF!</v>
      </c>
      <c r="I80" s="707" t="e">
        <f t="shared" si="1"/>
        <v>#REF!</v>
      </c>
    </row>
    <row r="81" spans="1:9" s="247" customFormat="1" ht="12" customHeight="1">
      <c r="A81" s="253" t="s">
        <v>307</v>
      </c>
      <c r="B81" s="249" t="s">
        <v>308</v>
      </c>
      <c r="C81" s="407">
        <f t="shared" si="2"/>
        <v>0</v>
      </c>
      <c r="D81" s="318"/>
      <c r="E81" s="166"/>
      <c r="F81" s="166"/>
      <c r="H81" s="706" t="e">
        <f>'1.2.sz.mell. '!C81+'1.3.sz.mell.'!C81+#REF!</f>
        <v>#REF!</v>
      </c>
      <c r="I81" s="707" t="e">
        <f t="shared" si="1"/>
        <v>#REF!</v>
      </c>
    </row>
    <row r="82" spans="1:9" s="247" customFormat="1" ht="12" customHeight="1">
      <c r="A82" s="253" t="s">
        <v>309</v>
      </c>
      <c r="B82" s="249" t="s">
        <v>310</v>
      </c>
      <c r="C82" s="407">
        <f t="shared" si="2"/>
        <v>0</v>
      </c>
      <c r="D82" s="318"/>
      <c r="E82" s="166"/>
      <c r="F82" s="166"/>
      <c r="H82" s="706" t="e">
        <f>'1.2.sz.mell. '!C82+'1.3.sz.mell.'!C82+#REF!</f>
        <v>#REF!</v>
      </c>
      <c r="I82" s="707" t="e">
        <f t="shared" si="1"/>
        <v>#REF!</v>
      </c>
    </row>
    <row r="83" spans="1:9" s="247" customFormat="1" ht="12" customHeight="1" thickBot="1">
      <c r="A83" s="254" t="s">
        <v>311</v>
      </c>
      <c r="B83" s="159" t="s">
        <v>312</v>
      </c>
      <c r="C83" s="408">
        <f t="shared" si="2"/>
        <v>0</v>
      </c>
      <c r="D83" s="318"/>
      <c r="E83" s="166"/>
      <c r="F83" s="166"/>
      <c r="H83" s="706" t="e">
        <f>'1.2.sz.mell. '!C83+'1.3.sz.mell.'!C83+#REF!</f>
        <v>#REF!</v>
      </c>
      <c r="I83" s="707" t="e">
        <f t="shared" si="1"/>
        <v>#REF!</v>
      </c>
    </row>
    <row r="84" spans="1:9" s="247" customFormat="1" ht="12" customHeight="1" thickBot="1">
      <c r="A84" s="303" t="s">
        <v>313</v>
      </c>
      <c r="B84" s="157" t="s">
        <v>504</v>
      </c>
      <c r="C84" s="161">
        <f t="shared" si="2"/>
        <v>0</v>
      </c>
      <c r="D84" s="350"/>
      <c r="E84" s="287"/>
      <c r="F84" s="287"/>
      <c r="H84" s="706" t="e">
        <f>'1.2.sz.mell. '!C84+'1.3.sz.mell.'!C84+#REF!</f>
        <v>#REF!</v>
      </c>
      <c r="I84" s="707" t="e">
        <f t="shared" si="1"/>
        <v>#REF!</v>
      </c>
    </row>
    <row r="85" spans="1:9" s="247" customFormat="1" ht="13.5" customHeight="1" thickBot="1">
      <c r="A85" s="303" t="s">
        <v>315</v>
      </c>
      <c r="B85" s="157" t="s">
        <v>314</v>
      </c>
      <c r="C85" s="162">
        <f t="shared" si="2"/>
        <v>0</v>
      </c>
      <c r="D85" s="350"/>
      <c r="E85" s="287"/>
      <c r="F85" s="287"/>
      <c r="H85" s="706" t="e">
        <f>'1.2.sz.mell. '!C85+'1.3.sz.mell.'!C85+#REF!</f>
        <v>#REF!</v>
      </c>
      <c r="I85" s="707" t="e">
        <f t="shared" si="1"/>
        <v>#REF!</v>
      </c>
    </row>
    <row r="86" spans="1:9" s="247" customFormat="1" ht="15.75" customHeight="1" thickBot="1">
      <c r="A86" s="303" t="s">
        <v>327</v>
      </c>
      <c r="B86" s="255" t="s">
        <v>505</v>
      </c>
      <c r="C86" s="162">
        <f>C85+C84+C79+C75+C72+C67+C63</f>
        <v>480499415</v>
      </c>
      <c r="D86" s="346">
        <f>+D63+D67+D72+D75+D79+D85+D84</f>
        <v>433431423</v>
      </c>
      <c r="E86" s="167">
        <f>+E63+E67+E72+E75+E79+E85+E84</f>
        <v>447404</v>
      </c>
      <c r="F86" s="167">
        <f>+F63+F67+F72+F75+F79+F85+F84</f>
        <v>3220588</v>
      </c>
      <c r="H86" s="706" t="e">
        <f>'1.2.sz.mell. '!C86+'1.3.sz.mell.'!C86+#REF!</f>
        <v>#REF!</v>
      </c>
      <c r="I86" s="707" t="e">
        <f t="shared" si="1"/>
        <v>#REF!</v>
      </c>
    </row>
    <row r="87" spans="1:9" s="247" customFormat="1" ht="16.5" customHeight="1" thickBot="1">
      <c r="A87" s="305" t="s">
        <v>506</v>
      </c>
      <c r="B87" s="256" t="s">
        <v>507</v>
      </c>
      <c r="C87" s="162">
        <f>C62+C86</f>
        <v>3435101741</v>
      </c>
      <c r="D87" s="346">
        <f>+D62+D86</f>
        <v>1872069752</v>
      </c>
      <c r="E87" s="167">
        <f>+E62+E86</f>
        <v>9863904</v>
      </c>
      <c r="F87" s="167">
        <f>+F62+F86</f>
        <v>398543766</v>
      </c>
      <c r="H87" s="706" t="e">
        <f>'1.2.sz.mell. '!C87+'1.3.sz.mell.'!C87+#REF!</f>
        <v>#REF!</v>
      </c>
      <c r="I87" s="707" t="e">
        <f t="shared" si="1"/>
        <v>#REF!</v>
      </c>
    </row>
    <row r="88" spans="1:9" s="247" customFormat="1" ht="83.25" customHeight="1">
      <c r="A88" s="4"/>
      <c r="B88" s="5"/>
      <c r="C88" s="168"/>
      <c r="H88" s="706" t="e">
        <f>'1.2.sz.mell. '!C88+'1.3.sz.mell.'!C88+#REF!</f>
        <v>#REF!</v>
      </c>
      <c r="I88" s="707" t="e">
        <f t="shared" si="1"/>
        <v>#REF!</v>
      </c>
    </row>
    <row r="89" spans="1:9" ht="16.5" customHeight="1">
      <c r="A89" s="841" t="s">
        <v>69</v>
      </c>
      <c r="B89" s="841"/>
      <c r="C89" s="841"/>
      <c r="H89" s="706" t="e">
        <f>'1.2.sz.mell. '!C89+'1.3.sz.mell.'!C89+#REF!</f>
        <v>#REF!</v>
      </c>
      <c r="I89" s="707" t="e">
        <f t="shared" si="1"/>
        <v>#REF!</v>
      </c>
    </row>
    <row r="90" spans="1:9" s="257" customFormat="1" ht="16.5" customHeight="1" thickBot="1">
      <c r="A90" s="843" t="s">
        <v>163</v>
      </c>
      <c r="B90" s="843"/>
      <c r="C90" s="89" t="s">
        <v>632</v>
      </c>
      <c r="H90" s="706" t="e">
        <f>'1.2.sz.mell. '!C90+'1.3.sz.mell.'!C90+#REF!</f>
        <v>#VALUE!</v>
      </c>
      <c r="I90" s="707" t="e">
        <f t="shared" si="1"/>
        <v>#VALUE!</v>
      </c>
    </row>
    <row r="91" spans="1:9" ht="37.5" customHeight="1" thickBot="1">
      <c r="A91" s="22" t="s">
        <v>91</v>
      </c>
      <c r="B91" s="23" t="s">
        <v>70</v>
      </c>
      <c r="C91" s="35" t="str">
        <f>+C3</f>
        <v>2017. évi előirányzat</v>
      </c>
      <c r="H91" s="706" t="e">
        <f>'1.2.sz.mell. '!C91+'1.3.sz.mell.'!C91+#REF!</f>
        <v>#VALUE!</v>
      </c>
      <c r="I91" s="707" t="e">
        <f t="shared" si="1"/>
        <v>#VALUE!</v>
      </c>
    </row>
    <row r="92" spans="1:9" s="246" customFormat="1" ht="12" customHeight="1" thickBot="1">
      <c r="A92" s="31" t="s">
        <v>491</v>
      </c>
      <c r="B92" s="32" t="s">
        <v>492</v>
      </c>
      <c r="C92" s="242" t="s">
        <v>493</v>
      </c>
      <c r="H92" s="706" t="e">
        <f>'1.2.sz.mell. '!C92+'1.3.sz.mell.'!C92+#REF!</f>
        <v>#VALUE!</v>
      </c>
      <c r="I92" s="707" t="e">
        <f t="shared" si="1"/>
        <v>#VALUE!</v>
      </c>
    </row>
    <row r="93" spans="1:9" ht="12" customHeight="1" thickBot="1">
      <c r="A93" s="21" t="s">
        <v>40</v>
      </c>
      <c r="B93" s="25" t="s">
        <v>545</v>
      </c>
      <c r="C93" s="410">
        <f>SUM(C94:C98)+SUM(C111)</f>
        <v>2543800136</v>
      </c>
      <c r="D93" s="354">
        <f>+D94+D95+D96+D97+D98+D111</f>
        <v>370628367</v>
      </c>
      <c r="E93" s="161">
        <f>+E94+E95+E96+E97+E98+E111</f>
        <v>223822850</v>
      </c>
      <c r="F93" s="370">
        <f>F94+F95+F96+F97+F98+F111</f>
        <v>1388014694</v>
      </c>
      <c r="H93" s="706" t="e">
        <f>'1.2.sz.mell. '!C93+'1.3.sz.mell.'!C93+#REF!</f>
        <v>#REF!</v>
      </c>
      <c r="I93" s="707" t="e">
        <f>C93-H93</f>
        <v>#REF!</v>
      </c>
    </row>
    <row r="94" spans="1:9" ht="12" customHeight="1">
      <c r="A94" s="16" t="s">
        <v>116</v>
      </c>
      <c r="B94" s="9" t="s">
        <v>71</v>
      </c>
      <c r="C94" s="587">
        <f>SUM(D94:F94)+252096521+85501355+27232396-1393308+7410662+5711096+12960546</f>
        <v>1093796255</v>
      </c>
      <c r="D94" s="373">
        <f>25364000+485000+6010000+3749000+165142000+48000+105000-275033584</f>
        <v>-74130584</v>
      </c>
      <c r="E94" s="328">
        <v>119212000</v>
      </c>
      <c r="F94" s="334">
        <v>659195571</v>
      </c>
      <c r="H94" s="706" t="e">
        <f>'1.2.sz.mell. '!C94+'1.3.sz.mell.'!C94+#REF!</f>
        <v>#REF!</v>
      </c>
      <c r="I94" s="707" t="e">
        <f aca="true" t="shared" si="3" ref="I94:I153">C94-H94</f>
        <v>#REF!</v>
      </c>
    </row>
    <row r="95" spans="1:9" ht="12" customHeight="1">
      <c r="A95" s="13" t="s">
        <v>117</v>
      </c>
      <c r="B95" s="7" t="s">
        <v>183</v>
      </c>
      <c r="C95" s="588">
        <f>SUM(D95:F95)+28812821+9405149+5800271-280382+2089507-570939+1438961+3013037</f>
        <v>231995394</v>
      </c>
      <c r="D95" s="318">
        <f>5239000+143000+1233000+14000+1652000+19299000+10000+23000-28480392</f>
        <v>-867392</v>
      </c>
      <c r="E95" s="166">
        <v>28323500</v>
      </c>
      <c r="F95" s="320">
        <v>154830861</v>
      </c>
      <c r="H95" s="706" t="e">
        <f>'1.2.sz.mell. '!C95+'1.3.sz.mell.'!C95+#REF!</f>
        <v>#REF!</v>
      </c>
      <c r="I95" s="707" t="e">
        <f t="shared" si="3"/>
        <v>#REF!</v>
      </c>
    </row>
    <row r="96" spans="1:9" ht="12" customHeight="1">
      <c r="A96" s="13" t="s">
        <v>118</v>
      </c>
      <c r="B96" s="7" t="s">
        <v>152</v>
      </c>
      <c r="C96" s="588">
        <f>SUM(D96:F96)+41579904+1600000+22320920+28158088+9295882+11813400+570939+10565807+4029458</f>
        <v>962611545</v>
      </c>
      <c r="D96" s="323">
        <f>11475000+835000+4801000+2722822+944166+8715000+1817000+17736000+735000+300000+8485000+34925000+628800+40773000+3429000+11212000+576000+3351000+1682000+16980000+46750042+1200000+4573000+1350000+376000-19720295</f>
        <v>206651535</v>
      </c>
      <c r="E96" s="237">
        <v>52037350</v>
      </c>
      <c r="F96" s="320">
        <v>573988262</v>
      </c>
      <c r="H96" s="706" t="e">
        <f>'1.2.sz.mell. '!C96+'1.3.sz.mell.'!C96+#REF!</f>
        <v>#REF!</v>
      </c>
      <c r="I96" s="707" t="e">
        <f t="shared" si="3"/>
        <v>#REF!</v>
      </c>
    </row>
    <row r="97" spans="1:9" ht="12" customHeight="1">
      <c r="A97" s="13" t="s">
        <v>119</v>
      </c>
      <c r="B97" s="7" t="s">
        <v>184</v>
      </c>
      <c r="C97" s="588">
        <f>SUM(D97:F97)-6901260</f>
        <v>83248740</v>
      </c>
      <c r="D97" s="323">
        <f>70980000-5080000</f>
        <v>65900000</v>
      </c>
      <c r="E97" s="237">
        <v>24250000</v>
      </c>
      <c r="F97" s="333"/>
      <c r="H97" s="706" t="e">
        <f>'1.2.sz.mell. '!C97+'1.3.sz.mell.'!C97+#REF!</f>
        <v>#REF!</v>
      </c>
      <c r="I97" s="707" t="e">
        <f t="shared" si="3"/>
        <v>#REF!</v>
      </c>
    </row>
    <row r="98" spans="1:9" ht="12" customHeight="1">
      <c r="A98" s="13" t="s">
        <v>130</v>
      </c>
      <c r="B98" s="6" t="s">
        <v>185</v>
      </c>
      <c r="C98" s="588">
        <f>SUM(C99:C110)</f>
        <v>85130011</v>
      </c>
      <c r="D98" s="323">
        <f>SUM(D99:D110)</f>
        <v>43566000</v>
      </c>
      <c r="E98" s="237">
        <f>SUM(E99:E110)</f>
        <v>0</v>
      </c>
      <c r="F98" s="333"/>
      <c r="H98" s="706" t="e">
        <f>'1.2.sz.mell. '!C98+'1.3.sz.mell.'!C98+#REF!</f>
        <v>#REF!</v>
      </c>
      <c r="I98" s="707" t="e">
        <f t="shared" si="3"/>
        <v>#REF!</v>
      </c>
    </row>
    <row r="99" spans="1:9" ht="12" customHeight="1">
      <c r="A99" s="13" t="s">
        <v>120</v>
      </c>
      <c r="B99" s="7" t="s">
        <v>508</v>
      </c>
      <c r="C99" s="588">
        <f>SUM(D99:F99)+1500+7242044+114463+2792500+6504</f>
        <v>10157011</v>
      </c>
      <c r="D99" s="323"/>
      <c r="E99" s="237"/>
      <c r="F99" s="333"/>
      <c r="H99" s="706" t="e">
        <f>'1.2.sz.mell. '!C99+'1.3.sz.mell.'!C99+#REF!</f>
        <v>#REF!</v>
      </c>
      <c r="I99" s="707" t="e">
        <f t="shared" si="3"/>
        <v>#REF!</v>
      </c>
    </row>
    <row r="100" spans="1:9" ht="12" customHeight="1">
      <c r="A100" s="13" t="s">
        <v>121</v>
      </c>
      <c r="B100" s="93" t="s">
        <v>509</v>
      </c>
      <c r="C100" s="416">
        <f>SUM(D100:F100)</f>
        <v>0</v>
      </c>
      <c r="D100" s="323"/>
      <c r="E100" s="237"/>
      <c r="F100" s="333"/>
      <c r="H100" s="706" t="e">
        <f>'1.2.sz.mell. '!C100+'1.3.sz.mell.'!C100+#REF!</f>
        <v>#REF!</v>
      </c>
      <c r="I100" s="707" t="e">
        <f t="shared" si="3"/>
        <v>#REF!</v>
      </c>
    </row>
    <row r="101" spans="1:9" ht="12" customHeight="1">
      <c r="A101" s="13" t="s">
        <v>131</v>
      </c>
      <c r="B101" s="93" t="s">
        <v>510</v>
      </c>
      <c r="C101" s="416">
        <f>SUM(D101:F101)</f>
        <v>0</v>
      </c>
      <c r="D101" s="323"/>
      <c r="E101" s="237"/>
      <c r="F101" s="333"/>
      <c r="H101" s="706" t="e">
        <f>'1.2.sz.mell. '!C101+'1.3.sz.mell.'!C101+#REF!</f>
        <v>#REF!</v>
      </c>
      <c r="I101" s="707" t="e">
        <f t="shared" si="3"/>
        <v>#REF!</v>
      </c>
    </row>
    <row r="102" spans="1:9" ht="12" customHeight="1">
      <c r="A102" s="13" t="s">
        <v>132</v>
      </c>
      <c r="B102" s="91" t="s">
        <v>330</v>
      </c>
      <c r="C102" s="416">
        <f>SUM(D102:F102)</f>
        <v>0</v>
      </c>
      <c r="D102" s="323"/>
      <c r="E102" s="237"/>
      <c r="F102" s="333"/>
      <c r="H102" s="706" t="e">
        <f>'1.2.sz.mell. '!C102+'1.3.sz.mell.'!C102+#REF!</f>
        <v>#REF!</v>
      </c>
      <c r="I102" s="707" t="e">
        <f t="shared" si="3"/>
        <v>#REF!</v>
      </c>
    </row>
    <row r="103" spans="1:9" ht="12" customHeight="1">
      <c r="A103" s="13" t="s">
        <v>133</v>
      </c>
      <c r="B103" s="92" t="s">
        <v>331</v>
      </c>
      <c r="C103" s="416">
        <f>SUM(D103:F103)</f>
        <v>0</v>
      </c>
      <c r="D103" s="323"/>
      <c r="E103" s="237"/>
      <c r="F103" s="333"/>
      <c r="H103" s="706" t="e">
        <f>'1.2.sz.mell. '!C103+'1.3.sz.mell.'!C103+#REF!</f>
        <v>#REF!</v>
      </c>
      <c r="I103" s="707" t="e">
        <f t="shared" si="3"/>
        <v>#REF!</v>
      </c>
    </row>
    <row r="104" spans="1:9" ht="12" customHeight="1">
      <c r="A104" s="13" t="s">
        <v>134</v>
      </c>
      <c r="B104" s="92" t="s">
        <v>332</v>
      </c>
      <c r="C104" s="416">
        <f>SUM(D104:F104)</f>
        <v>0</v>
      </c>
      <c r="D104" s="323"/>
      <c r="E104" s="237"/>
      <c r="F104" s="333"/>
      <c r="H104" s="706" t="e">
        <f>'1.2.sz.mell. '!C104+'1.3.sz.mell.'!C104+#REF!</f>
        <v>#REF!</v>
      </c>
      <c r="I104" s="707" t="e">
        <f t="shared" si="3"/>
        <v>#REF!</v>
      </c>
    </row>
    <row r="105" spans="1:9" ht="12" customHeight="1">
      <c r="A105" s="13" t="s">
        <v>136</v>
      </c>
      <c r="B105" s="91" t="s">
        <v>333</v>
      </c>
      <c r="C105" s="416">
        <f>SUM(D105:F105)+60754-60754</f>
        <v>0</v>
      </c>
      <c r="D105" s="323"/>
      <c r="E105" s="237"/>
      <c r="F105" s="333"/>
      <c r="H105" s="706" t="e">
        <f>'1.2.sz.mell. '!C105+'1.3.sz.mell.'!C105+#REF!</f>
        <v>#REF!</v>
      </c>
      <c r="I105" s="707" t="e">
        <f t="shared" si="3"/>
        <v>#REF!</v>
      </c>
    </row>
    <row r="106" spans="1:9" ht="12" customHeight="1">
      <c r="A106" s="13" t="s">
        <v>186</v>
      </c>
      <c r="B106" s="91" t="s">
        <v>334</v>
      </c>
      <c r="C106" s="416">
        <f>SUM(D106:F106)</f>
        <v>0</v>
      </c>
      <c r="D106" s="323"/>
      <c r="E106" s="237"/>
      <c r="F106" s="333"/>
      <c r="H106" s="706" t="e">
        <f>'1.2.sz.mell. '!C106+'1.3.sz.mell.'!C106+#REF!</f>
        <v>#REF!</v>
      </c>
      <c r="I106" s="707" t="e">
        <f t="shared" si="3"/>
        <v>#REF!</v>
      </c>
    </row>
    <row r="107" spans="1:9" ht="12" customHeight="1">
      <c r="A107" s="13" t="s">
        <v>328</v>
      </c>
      <c r="B107" s="92" t="s">
        <v>335</v>
      </c>
      <c r="C107" s="416">
        <f>SUM(D107:F107)</f>
        <v>0</v>
      </c>
      <c r="D107" s="323"/>
      <c r="E107" s="237"/>
      <c r="F107" s="333"/>
      <c r="H107" s="706" t="e">
        <f>'1.2.sz.mell. '!C107+'1.3.sz.mell.'!C107+#REF!</f>
        <v>#REF!</v>
      </c>
      <c r="I107" s="707" t="e">
        <f t="shared" si="3"/>
        <v>#REF!</v>
      </c>
    </row>
    <row r="108" spans="1:9" ht="12" customHeight="1">
      <c r="A108" s="12" t="s">
        <v>329</v>
      </c>
      <c r="B108" s="93" t="s">
        <v>336</v>
      </c>
      <c r="C108" s="416">
        <f>SUM(D108:F108)</f>
        <v>0</v>
      </c>
      <c r="D108" s="323"/>
      <c r="E108" s="237"/>
      <c r="F108" s="333"/>
      <c r="H108" s="706" t="e">
        <f>'1.2.sz.mell. '!C108+'1.3.sz.mell.'!C108+#REF!</f>
        <v>#REF!</v>
      </c>
      <c r="I108" s="707" t="e">
        <f t="shared" si="3"/>
        <v>#REF!</v>
      </c>
    </row>
    <row r="109" spans="1:9" ht="12" customHeight="1">
      <c r="A109" s="13" t="s">
        <v>511</v>
      </c>
      <c r="B109" s="93" t="s">
        <v>337</v>
      </c>
      <c r="C109" s="416">
        <f>SUM(D109:F109)</f>
        <v>0</v>
      </c>
      <c r="D109" s="323"/>
      <c r="E109" s="237"/>
      <c r="F109" s="333"/>
      <c r="H109" s="706" t="e">
        <f>'1.2.sz.mell. '!C109+'1.3.sz.mell.'!C109+#REF!</f>
        <v>#REF!</v>
      </c>
      <c r="I109" s="707" t="e">
        <f t="shared" si="3"/>
        <v>#REF!</v>
      </c>
    </row>
    <row r="110" spans="1:9" ht="12" customHeight="1">
      <c r="A110" s="15" t="s">
        <v>512</v>
      </c>
      <c r="B110" s="93" t="s">
        <v>338</v>
      </c>
      <c r="C110" s="588">
        <f>SUM(D110:F110)+3500000+6600000+2000000+16082000+3225000</f>
        <v>74973000</v>
      </c>
      <c r="D110" s="318">
        <f>536000+11389000+8562000+16678000+6401000</f>
        <v>43566000</v>
      </c>
      <c r="E110" s="166"/>
      <c r="F110" s="333"/>
      <c r="H110" s="706" t="e">
        <f>'1.2.sz.mell. '!C110+'1.3.sz.mell.'!C110+#REF!</f>
        <v>#REF!</v>
      </c>
      <c r="I110" s="707" t="e">
        <f t="shared" si="3"/>
        <v>#REF!</v>
      </c>
    </row>
    <row r="111" spans="1:9" ht="12" customHeight="1">
      <c r="A111" s="13" t="s">
        <v>513</v>
      </c>
      <c r="B111" s="7" t="s">
        <v>72</v>
      </c>
      <c r="C111" s="416">
        <f>SUM(C112:C113)</f>
        <v>87018191</v>
      </c>
      <c r="D111" s="318">
        <f>D112+D113</f>
        <v>129508808</v>
      </c>
      <c r="E111" s="166"/>
      <c r="F111" s="320">
        <f>F112+F113</f>
        <v>0</v>
      </c>
      <c r="H111" s="706" t="e">
        <f>'1.2.sz.mell. '!C111+'1.3.sz.mell.'!C111+#REF!</f>
        <v>#REF!</v>
      </c>
      <c r="I111" s="707" t="e">
        <f t="shared" si="3"/>
        <v>#REF!</v>
      </c>
    </row>
    <row r="112" spans="1:9" ht="12" customHeight="1">
      <c r="A112" s="13" t="s">
        <v>514</v>
      </c>
      <c r="B112" s="7" t="s">
        <v>515</v>
      </c>
      <c r="C112" s="588">
        <f>SUM(D112:F112)-9172313+8719388-4010722-1042502-1846399+5485909</f>
        <v>19789869</v>
      </c>
      <c r="D112" s="323">
        <f>20000000+1656508</f>
        <v>21656508</v>
      </c>
      <c r="E112" s="237"/>
      <c r="F112" s="320"/>
      <c r="H112" s="706" t="e">
        <f>'1.2.sz.mell. '!C112+'1.3.sz.mell.'!C112+#REF!</f>
        <v>#REF!</v>
      </c>
      <c r="I112" s="707" t="e">
        <f t="shared" si="3"/>
        <v>#REF!</v>
      </c>
    </row>
    <row r="113" spans="1:9" ht="12" customHeight="1" thickBot="1">
      <c r="A113" s="17" t="s">
        <v>516</v>
      </c>
      <c r="B113" s="306" t="s">
        <v>517</v>
      </c>
      <c r="C113" s="589">
        <f>SUM(D113:F113)-8373330-1600000-8539600-6323156-7948000-7343244+31158286-32066515+411581</f>
        <v>67228322</v>
      </c>
      <c r="D113" s="374">
        <f>110613300+500000-3261000</f>
        <v>107852300</v>
      </c>
      <c r="E113" s="337"/>
      <c r="F113" s="335"/>
      <c r="H113" s="706" t="e">
        <f>'1.2.sz.mell. '!C113+'1.3.sz.mell.'!C113+#REF!</f>
        <v>#REF!</v>
      </c>
      <c r="I113" s="707" t="e">
        <f t="shared" si="3"/>
        <v>#REF!</v>
      </c>
    </row>
    <row r="114" spans="1:9" ht="12" customHeight="1" thickBot="1">
      <c r="A114" s="307" t="s">
        <v>41</v>
      </c>
      <c r="B114" s="308" t="s">
        <v>339</v>
      </c>
      <c r="C114" s="410">
        <f>C115+C117+C119</f>
        <v>752975673</v>
      </c>
      <c r="D114" s="342">
        <f>+D115+D117+D119</f>
        <v>150430581</v>
      </c>
      <c r="E114" s="162">
        <f>+E115+E117+E119</f>
        <v>1901000</v>
      </c>
      <c r="F114" s="309">
        <f>+F115+F117+F119</f>
        <v>9272287</v>
      </c>
      <c r="H114" s="706" t="e">
        <f>'1.2.sz.mell. '!C114+'1.3.sz.mell.'!C114+#REF!</f>
        <v>#REF!</v>
      </c>
      <c r="I114" s="707" t="e">
        <f t="shared" si="3"/>
        <v>#REF!</v>
      </c>
    </row>
    <row r="115" spans="1:9" ht="12" customHeight="1">
      <c r="A115" s="14" t="s">
        <v>122</v>
      </c>
      <c r="B115" s="7" t="s">
        <v>203</v>
      </c>
      <c r="C115" s="587">
        <f>SUM(D115:F115)+15239176+979170-265000+63976+93988736+220065714+8904148</f>
        <v>367936621</v>
      </c>
      <c r="D115" s="349">
        <f>6621000+2963001+787402+10624171+3081125+300001+529000+1654000+447000+2237000+90200+6604000+301000+204000-18155486</f>
        <v>18287414</v>
      </c>
      <c r="E115" s="286">
        <v>1901000</v>
      </c>
      <c r="F115" s="336">
        <v>8772287</v>
      </c>
      <c r="H115" s="706" t="e">
        <f>'1.2.sz.mell. '!C115+'1.3.sz.mell.'!C115+#REF!</f>
        <v>#REF!</v>
      </c>
      <c r="I115" s="707" t="e">
        <f t="shared" si="3"/>
        <v>#REF!</v>
      </c>
    </row>
    <row r="116" spans="1:9" ht="12" customHeight="1">
      <c r="A116" s="14" t="s">
        <v>123</v>
      </c>
      <c r="B116" s="11" t="s">
        <v>343</v>
      </c>
      <c r="C116" s="416">
        <f>SUM(D116:F116)-1000000+87765636+214128350</f>
        <v>315386684</v>
      </c>
      <c r="D116" s="349">
        <v>14492698</v>
      </c>
      <c r="E116" s="286"/>
      <c r="F116" s="336"/>
      <c r="H116" s="706" t="e">
        <f>'1.2.sz.mell. '!C116+'1.3.sz.mell.'!C116+#REF!</f>
        <v>#REF!</v>
      </c>
      <c r="I116" s="707" t="e">
        <f t="shared" si="3"/>
        <v>#REF!</v>
      </c>
    </row>
    <row r="117" spans="1:9" ht="12" customHeight="1">
      <c r="A117" s="14" t="s">
        <v>124</v>
      </c>
      <c r="B117" s="11" t="s">
        <v>187</v>
      </c>
      <c r="C117" s="588">
        <f>SUM(D117:F117)-134607+7509510+735000+1000000+839841+49594413+188498728</f>
        <v>337534552</v>
      </c>
      <c r="D117" s="318">
        <f>53340000+21000000+1513000+2996000+809000+9333667</f>
        <v>88991667</v>
      </c>
      <c r="E117" s="166"/>
      <c r="F117" s="320">
        <v>500000</v>
      </c>
      <c r="H117" s="706" t="e">
        <f>'1.2.sz.mell. '!C117+'1.3.sz.mell.'!C117+#REF!</f>
        <v>#REF!</v>
      </c>
      <c r="I117" s="707" t="e">
        <f t="shared" si="3"/>
        <v>#REF!</v>
      </c>
    </row>
    <row r="118" spans="1:9" ht="12" customHeight="1">
      <c r="A118" s="14" t="s">
        <v>125</v>
      </c>
      <c r="B118" s="11" t="s">
        <v>344</v>
      </c>
      <c r="C118" s="416">
        <f>SUM(D118:F118)+1000000+3795044+189429682-203244</f>
        <v>247361482</v>
      </c>
      <c r="D118" s="318">
        <v>53340000</v>
      </c>
      <c r="E118" s="330"/>
      <c r="F118" s="318"/>
      <c r="H118" s="706" t="e">
        <f>'1.2.sz.mell. '!C118+'1.3.sz.mell.'!C118+#REF!</f>
        <v>#REF!</v>
      </c>
      <c r="I118" s="707" t="e">
        <f t="shared" si="3"/>
        <v>#REF!</v>
      </c>
    </row>
    <row r="119" spans="1:9" ht="12" customHeight="1">
      <c r="A119" s="14" t="s">
        <v>126</v>
      </c>
      <c r="B119" s="159" t="s">
        <v>205</v>
      </c>
      <c r="C119" s="416">
        <f>SUM(C120:C127)</f>
        <v>47504500</v>
      </c>
      <c r="D119" s="318">
        <f>SUM(D120:D127)</f>
        <v>43151500</v>
      </c>
      <c r="E119" s="318"/>
      <c r="F119" s="318"/>
      <c r="H119" s="706" t="e">
        <f>'1.2.sz.mell. '!C119+'1.3.sz.mell.'!C119+#REF!</f>
        <v>#REF!</v>
      </c>
      <c r="I119" s="707" t="e">
        <f t="shared" si="3"/>
        <v>#REF!</v>
      </c>
    </row>
    <row r="120" spans="1:9" ht="12" customHeight="1">
      <c r="A120" s="14" t="s">
        <v>135</v>
      </c>
      <c r="B120" s="158" t="s">
        <v>406</v>
      </c>
      <c r="C120" s="416">
        <f aca="true" t="shared" si="4" ref="C120:C126">SUM(D120:F120)</f>
        <v>0</v>
      </c>
      <c r="D120" s="149"/>
      <c r="E120" s="149"/>
      <c r="F120" s="318"/>
      <c r="H120" s="706" t="e">
        <f>'1.2.sz.mell. '!C120+'1.3.sz.mell.'!C120+#REF!</f>
        <v>#REF!</v>
      </c>
      <c r="I120" s="707" t="e">
        <f t="shared" si="3"/>
        <v>#REF!</v>
      </c>
    </row>
    <row r="121" spans="1:9" ht="12" customHeight="1">
      <c r="A121" s="14" t="s">
        <v>137</v>
      </c>
      <c r="B121" s="244" t="s">
        <v>349</v>
      </c>
      <c r="C121" s="416">
        <f t="shared" si="4"/>
        <v>0</v>
      </c>
      <c r="D121" s="149"/>
      <c r="E121" s="149"/>
      <c r="F121" s="318"/>
      <c r="H121" s="706" t="e">
        <f>'1.2.sz.mell. '!C121+'1.3.sz.mell.'!C121+#REF!</f>
        <v>#REF!</v>
      </c>
      <c r="I121" s="707" t="e">
        <f t="shared" si="3"/>
        <v>#REF!</v>
      </c>
    </row>
    <row r="122" spans="1:9" ht="15.75">
      <c r="A122" s="14" t="s">
        <v>188</v>
      </c>
      <c r="B122" s="92" t="s">
        <v>332</v>
      </c>
      <c r="C122" s="416">
        <f t="shared" si="4"/>
        <v>0</v>
      </c>
      <c r="D122" s="149"/>
      <c r="E122" s="149"/>
      <c r="F122" s="318"/>
      <c r="H122" s="706" t="e">
        <f>'1.2.sz.mell. '!C122+'1.3.sz.mell.'!C122+#REF!</f>
        <v>#REF!</v>
      </c>
      <c r="I122" s="707" t="e">
        <f t="shared" si="3"/>
        <v>#REF!</v>
      </c>
    </row>
    <row r="123" spans="1:9" ht="12" customHeight="1">
      <c r="A123" s="14" t="s">
        <v>189</v>
      </c>
      <c r="B123" s="92" t="s">
        <v>348</v>
      </c>
      <c r="C123" s="416">
        <f t="shared" si="4"/>
        <v>0</v>
      </c>
      <c r="D123" s="149"/>
      <c r="E123" s="149"/>
      <c r="F123" s="318"/>
      <c r="H123" s="706" t="e">
        <f>'1.2.sz.mell. '!C123+'1.3.sz.mell.'!C123+#REF!</f>
        <v>#REF!</v>
      </c>
      <c r="I123" s="707" t="e">
        <f t="shared" si="3"/>
        <v>#REF!</v>
      </c>
    </row>
    <row r="124" spans="1:9" ht="12" customHeight="1">
      <c r="A124" s="14" t="s">
        <v>190</v>
      </c>
      <c r="B124" s="92" t="s">
        <v>347</v>
      </c>
      <c r="C124" s="416">
        <f t="shared" si="4"/>
        <v>0</v>
      </c>
      <c r="D124" s="149"/>
      <c r="E124" s="149"/>
      <c r="F124" s="318"/>
      <c r="H124" s="706" t="e">
        <f>'1.2.sz.mell. '!C124+'1.3.sz.mell.'!C124+#REF!</f>
        <v>#REF!</v>
      </c>
      <c r="I124" s="707" t="e">
        <f t="shared" si="3"/>
        <v>#REF!</v>
      </c>
    </row>
    <row r="125" spans="1:9" ht="12" customHeight="1">
      <c r="A125" s="14" t="s">
        <v>340</v>
      </c>
      <c r="B125" s="92" t="s">
        <v>335</v>
      </c>
      <c r="C125" s="416">
        <f>SUM(D125:F125)+5000</f>
        <v>5000</v>
      </c>
      <c r="D125" s="149"/>
      <c r="E125" s="149"/>
      <c r="F125" s="318"/>
      <c r="H125" s="706" t="e">
        <f>'1.2.sz.mell. '!C125+'1.3.sz.mell.'!C125+#REF!</f>
        <v>#REF!</v>
      </c>
      <c r="I125" s="707" t="e">
        <f t="shared" si="3"/>
        <v>#REF!</v>
      </c>
    </row>
    <row r="126" spans="1:9" ht="12" customHeight="1">
      <c r="A126" s="14" t="s">
        <v>341</v>
      </c>
      <c r="B126" s="92" t="s">
        <v>346</v>
      </c>
      <c r="C126" s="416">
        <f t="shared" si="4"/>
        <v>0</v>
      </c>
      <c r="D126" s="149"/>
      <c r="E126" s="149"/>
      <c r="F126" s="318"/>
      <c r="H126" s="706" t="e">
        <f>'1.2.sz.mell. '!C126+'1.3.sz.mell.'!C126+#REF!</f>
        <v>#REF!</v>
      </c>
      <c r="I126" s="707" t="e">
        <f t="shared" si="3"/>
        <v>#REF!</v>
      </c>
    </row>
    <row r="127" spans="1:9" ht="16.5" thickBot="1">
      <c r="A127" s="12" t="s">
        <v>342</v>
      </c>
      <c r="B127" s="92" t="s">
        <v>345</v>
      </c>
      <c r="C127" s="626">
        <f>SUM(D127:F127)+2400000+1348000+600000</f>
        <v>47499500</v>
      </c>
      <c r="D127" s="323">
        <f>42072000+1079500</f>
        <v>43151500</v>
      </c>
      <c r="E127" s="323"/>
      <c r="F127" s="323"/>
      <c r="H127" s="706" t="e">
        <f>'1.2.sz.mell. '!C127+'1.3.sz.mell.'!C127+#REF!</f>
        <v>#REF!</v>
      </c>
      <c r="I127" s="707" t="e">
        <f t="shared" si="3"/>
        <v>#REF!</v>
      </c>
    </row>
    <row r="128" spans="1:9" ht="12" customHeight="1" thickBot="1">
      <c r="A128" s="19" t="s">
        <v>42</v>
      </c>
      <c r="B128" s="87" t="s">
        <v>518</v>
      </c>
      <c r="C128" s="410">
        <f>C114+C93</f>
        <v>3296775809</v>
      </c>
      <c r="D128" s="342">
        <f>+D93+D114</f>
        <v>521058948</v>
      </c>
      <c r="E128" s="162">
        <f>+E93+E114</f>
        <v>225723850</v>
      </c>
      <c r="F128" s="162">
        <f>+F93+F114</f>
        <v>1397286981</v>
      </c>
      <c r="H128" s="706" t="e">
        <f>'1.2.sz.mell. '!C128+'1.3.sz.mell.'!C128+#REF!</f>
        <v>#REF!</v>
      </c>
      <c r="I128" s="707" t="e">
        <f t="shared" si="3"/>
        <v>#REF!</v>
      </c>
    </row>
    <row r="129" spans="1:9" ht="12" customHeight="1" thickBot="1">
      <c r="A129" s="19" t="s">
        <v>43</v>
      </c>
      <c r="B129" s="87" t="s">
        <v>519</v>
      </c>
      <c r="C129" s="410">
        <f>SUM(C130:C132)</f>
        <v>103161000</v>
      </c>
      <c r="D129" s="342">
        <f>+D130+D131+D132</f>
        <v>103161000</v>
      </c>
      <c r="E129" s="162">
        <f>+E130+E131+E132</f>
        <v>0</v>
      </c>
      <c r="F129" s="162">
        <f>+F130+F131+F132</f>
        <v>0</v>
      </c>
      <c r="H129" s="706" t="e">
        <f>'1.2.sz.mell. '!C129+'1.3.sz.mell.'!C129+#REF!</f>
        <v>#REF!</v>
      </c>
      <c r="I129" s="707" t="e">
        <f t="shared" si="3"/>
        <v>#REF!</v>
      </c>
    </row>
    <row r="130" spans="1:9" ht="12" customHeight="1">
      <c r="A130" s="14" t="s">
        <v>240</v>
      </c>
      <c r="B130" s="11" t="s">
        <v>520</v>
      </c>
      <c r="C130" s="412">
        <f>SUM(D130:F130)</f>
        <v>3161000</v>
      </c>
      <c r="D130" s="318">
        <v>3161000</v>
      </c>
      <c r="E130" s="318"/>
      <c r="F130" s="318"/>
      <c r="H130" s="706" t="e">
        <f>'1.2.sz.mell. '!C130+'1.3.sz.mell.'!C130+#REF!</f>
        <v>#REF!</v>
      </c>
      <c r="I130" s="707" t="e">
        <f t="shared" si="3"/>
        <v>#REF!</v>
      </c>
    </row>
    <row r="131" spans="1:9" ht="12" customHeight="1">
      <c r="A131" s="14" t="s">
        <v>243</v>
      </c>
      <c r="B131" s="11" t="s">
        <v>521</v>
      </c>
      <c r="C131" s="411">
        <f>SUM(D131:F131)</f>
        <v>100000000</v>
      </c>
      <c r="D131" s="149">
        <v>100000000</v>
      </c>
      <c r="E131" s="149"/>
      <c r="F131" s="149"/>
      <c r="H131" s="706" t="e">
        <f>'1.2.sz.mell. '!C131+'1.3.sz.mell.'!C131+#REF!</f>
        <v>#REF!</v>
      </c>
      <c r="I131" s="707" t="e">
        <f t="shared" si="3"/>
        <v>#REF!</v>
      </c>
    </row>
    <row r="132" spans="1:9" ht="12" customHeight="1" thickBot="1">
      <c r="A132" s="12" t="s">
        <v>244</v>
      </c>
      <c r="B132" s="11" t="s">
        <v>522</v>
      </c>
      <c r="C132" s="413">
        <f>SUM(D132:F132)</f>
        <v>0</v>
      </c>
      <c r="D132" s="149"/>
      <c r="E132" s="149"/>
      <c r="F132" s="149"/>
      <c r="H132" s="706" t="e">
        <f>'1.2.sz.mell. '!C132+'1.3.sz.mell.'!C132+#REF!</f>
        <v>#REF!</v>
      </c>
      <c r="I132" s="707" t="e">
        <f t="shared" si="3"/>
        <v>#REF!</v>
      </c>
    </row>
    <row r="133" spans="1:9" ht="12" customHeight="1" thickBot="1">
      <c r="A133" s="19" t="s">
        <v>44</v>
      </c>
      <c r="B133" s="87" t="s">
        <v>523</v>
      </c>
      <c r="C133" s="414">
        <f>SUM(C134:C139)</f>
        <v>0</v>
      </c>
      <c r="D133" s="342">
        <f>+D134+D135+D136+D137+D138+D139</f>
        <v>0</v>
      </c>
      <c r="E133" s="162">
        <f>+E134+E135+E136+E137+E138+E139</f>
        <v>0</v>
      </c>
      <c r="F133" s="162">
        <f>SUM(F134:F139)</f>
        <v>0</v>
      </c>
      <c r="H133" s="706" t="e">
        <f>'1.2.sz.mell. '!C133+'1.3.sz.mell.'!C133+#REF!</f>
        <v>#REF!</v>
      </c>
      <c r="I133" s="707" t="e">
        <f t="shared" si="3"/>
        <v>#REF!</v>
      </c>
    </row>
    <row r="134" spans="1:9" ht="12" customHeight="1">
      <c r="A134" s="14" t="s">
        <v>109</v>
      </c>
      <c r="B134" s="8" t="s">
        <v>524</v>
      </c>
      <c r="C134" s="412">
        <f aca="true" t="shared" si="5" ref="C134:C139">SUM(D134:F134)</f>
        <v>0</v>
      </c>
      <c r="D134" s="149"/>
      <c r="E134" s="149"/>
      <c r="F134" s="149"/>
      <c r="H134" s="706" t="e">
        <f>'1.2.sz.mell. '!C134+'1.3.sz.mell.'!C134+#REF!</f>
        <v>#REF!</v>
      </c>
      <c r="I134" s="707" t="e">
        <f t="shared" si="3"/>
        <v>#REF!</v>
      </c>
    </row>
    <row r="135" spans="1:9" ht="12" customHeight="1">
      <c r="A135" s="14" t="s">
        <v>110</v>
      </c>
      <c r="B135" s="8" t="s">
        <v>525</v>
      </c>
      <c r="C135" s="411">
        <f t="shared" si="5"/>
        <v>0</v>
      </c>
      <c r="D135" s="149"/>
      <c r="E135" s="149"/>
      <c r="F135" s="149"/>
      <c r="H135" s="706" t="e">
        <f>'1.2.sz.mell. '!C135+'1.3.sz.mell.'!C135+#REF!</f>
        <v>#REF!</v>
      </c>
      <c r="I135" s="707" t="e">
        <f t="shared" si="3"/>
        <v>#REF!</v>
      </c>
    </row>
    <row r="136" spans="1:9" ht="12" customHeight="1">
      <c r="A136" s="14" t="s">
        <v>111</v>
      </c>
      <c r="B136" s="8" t="s">
        <v>526</v>
      </c>
      <c r="C136" s="411">
        <f t="shared" si="5"/>
        <v>0</v>
      </c>
      <c r="D136" s="149"/>
      <c r="E136" s="149"/>
      <c r="F136" s="149"/>
      <c r="H136" s="706" t="e">
        <f>'1.2.sz.mell. '!C136+'1.3.sz.mell.'!C136+#REF!</f>
        <v>#REF!</v>
      </c>
      <c r="I136" s="707" t="e">
        <f t="shared" si="3"/>
        <v>#REF!</v>
      </c>
    </row>
    <row r="137" spans="1:9" ht="12" customHeight="1">
      <c r="A137" s="14" t="s">
        <v>175</v>
      </c>
      <c r="B137" s="8" t="s">
        <v>527</v>
      </c>
      <c r="C137" s="411">
        <f t="shared" si="5"/>
        <v>0</v>
      </c>
      <c r="D137" s="149"/>
      <c r="E137" s="149"/>
      <c r="F137" s="149"/>
      <c r="H137" s="706" t="e">
        <f>'1.2.sz.mell. '!C137+'1.3.sz.mell.'!C137+#REF!</f>
        <v>#REF!</v>
      </c>
      <c r="I137" s="707" t="e">
        <f t="shared" si="3"/>
        <v>#REF!</v>
      </c>
    </row>
    <row r="138" spans="1:9" ht="12" customHeight="1">
      <c r="A138" s="14" t="s">
        <v>176</v>
      </c>
      <c r="B138" s="8" t="s">
        <v>528</v>
      </c>
      <c r="C138" s="411">
        <f t="shared" si="5"/>
        <v>0</v>
      </c>
      <c r="D138" s="149"/>
      <c r="E138" s="149"/>
      <c r="F138" s="149"/>
      <c r="H138" s="706" t="e">
        <f>'1.2.sz.mell. '!C138+'1.3.sz.mell.'!C138+#REF!</f>
        <v>#REF!</v>
      </c>
      <c r="I138" s="707" t="e">
        <f t="shared" si="3"/>
        <v>#REF!</v>
      </c>
    </row>
    <row r="139" spans="1:9" ht="12" customHeight="1" thickBot="1">
      <c r="A139" s="12" t="s">
        <v>177</v>
      </c>
      <c r="B139" s="8" t="s">
        <v>529</v>
      </c>
      <c r="C139" s="413">
        <f t="shared" si="5"/>
        <v>0</v>
      </c>
      <c r="D139" s="149"/>
      <c r="E139" s="149"/>
      <c r="F139" s="149"/>
      <c r="H139" s="706" t="e">
        <f>'1.2.sz.mell. '!C139+'1.3.sz.mell.'!C139+#REF!</f>
        <v>#REF!</v>
      </c>
      <c r="I139" s="707" t="e">
        <f t="shared" si="3"/>
        <v>#REF!</v>
      </c>
    </row>
    <row r="140" spans="1:9" ht="12" customHeight="1" thickBot="1">
      <c r="A140" s="19" t="s">
        <v>45</v>
      </c>
      <c r="B140" s="87" t="s">
        <v>530</v>
      </c>
      <c r="C140" s="410">
        <f>SUM(C141:C144)</f>
        <v>35164932</v>
      </c>
      <c r="D140" s="346">
        <f>+D141+D142+D143+D144</f>
        <v>35164932</v>
      </c>
      <c r="E140" s="167">
        <f>+E141+E142+E143+E144</f>
        <v>0</v>
      </c>
      <c r="F140" s="167">
        <f>+F141+F142+F143+F144</f>
        <v>0</v>
      </c>
      <c r="H140" s="706" t="e">
        <f>'1.2.sz.mell. '!C140+'1.3.sz.mell.'!C140+#REF!</f>
        <v>#REF!</v>
      </c>
      <c r="I140" s="707" t="e">
        <f t="shared" si="3"/>
        <v>#REF!</v>
      </c>
    </row>
    <row r="141" spans="1:9" ht="12" customHeight="1">
      <c r="A141" s="14" t="s">
        <v>112</v>
      </c>
      <c r="B141" s="8" t="s">
        <v>350</v>
      </c>
      <c r="C141" s="412">
        <f>SUM(D141:F141)</f>
        <v>0</v>
      </c>
      <c r="D141" s="149"/>
      <c r="E141" s="149"/>
      <c r="F141" s="149"/>
      <c r="H141" s="706" t="e">
        <f>'1.2.sz.mell. '!C141+'1.3.sz.mell.'!C141+#REF!</f>
        <v>#REF!</v>
      </c>
      <c r="I141" s="707" t="e">
        <f t="shared" si="3"/>
        <v>#REF!</v>
      </c>
    </row>
    <row r="142" spans="1:9" ht="12" customHeight="1">
      <c r="A142" s="14" t="s">
        <v>113</v>
      </c>
      <c r="B142" s="8" t="s">
        <v>351</v>
      </c>
      <c r="C142" s="411">
        <f>SUM(D142:F142)</f>
        <v>35164932</v>
      </c>
      <c r="D142" s="149">
        <f>35164932</f>
        <v>35164932</v>
      </c>
      <c r="E142" s="149"/>
      <c r="F142" s="149"/>
      <c r="H142" s="706" t="e">
        <f>'1.2.sz.mell. '!C142+'1.3.sz.mell.'!C142+#REF!</f>
        <v>#REF!</v>
      </c>
      <c r="I142" s="707" t="e">
        <f t="shared" si="3"/>
        <v>#REF!</v>
      </c>
    </row>
    <row r="143" spans="1:9" ht="12" customHeight="1">
      <c r="A143" s="14" t="s">
        <v>264</v>
      </c>
      <c r="B143" s="8" t="s">
        <v>531</v>
      </c>
      <c r="C143" s="411">
        <f>SUM(D143:F143)</f>
        <v>0</v>
      </c>
      <c r="D143" s="149"/>
      <c r="E143" s="149"/>
      <c r="F143" s="149"/>
      <c r="H143" s="706" t="e">
        <f>'1.2.sz.mell. '!C143+'1.3.sz.mell.'!C143+#REF!</f>
        <v>#REF!</v>
      </c>
      <c r="I143" s="707" t="e">
        <f t="shared" si="3"/>
        <v>#REF!</v>
      </c>
    </row>
    <row r="144" spans="1:9" ht="12" customHeight="1" thickBot="1">
      <c r="A144" s="12" t="s">
        <v>265</v>
      </c>
      <c r="B144" s="6" t="s">
        <v>369</v>
      </c>
      <c r="C144" s="413">
        <f>SUM(D144:F144)</f>
        <v>0</v>
      </c>
      <c r="D144" s="149"/>
      <c r="E144" s="149"/>
      <c r="F144" s="149"/>
      <c r="H144" s="706" t="e">
        <f>'1.2.sz.mell. '!C144+'1.3.sz.mell.'!C144+#REF!</f>
        <v>#REF!</v>
      </c>
      <c r="I144" s="707" t="e">
        <f t="shared" si="3"/>
        <v>#REF!</v>
      </c>
    </row>
    <row r="145" spans="1:9" ht="12" customHeight="1" thickBot="1">
      <c r="A145" s="19" t="s">
        <v>46</v>
      </c>
      <c r="B145" s="87" t="s">
        <v>532</v>
      </c>
      <c r="C145" s="414">
        <f>SUM(C146:C150)</f>
        <v>0</v>
      </c>
      <c r="D145" s="357">
        <f>+D146+D147+D148+D149+D150</f>
        <v>0</v>
      </c>
      <c r="E145" s="170">
        <f>+E146+E147+E148+E149+E150</f>
        <v>0</v>
      </c>
      <c r="F145" s="170">
        <f>SUM(F146:F150)</f>
        <v>0</v>
      </c>
      <c r="H145" s="706" t="e">
        <f>'1.2.sz.mell. '!C145+'1.3.sz.mell.'!C145+#REF!</f>
        <v>#REF!</v>
      </c>
      <c r="I145" s="707" t="e">
        <f t="shared" si="3"/>
        <v>#REF!</v>
      </c>
    </row>
    <row r="146" spans="1:9" ht="12" customHeight="1">
      <c r="A146" s="14" t="s">
        <v>114</v>
      </c>
      <c r="B146" s="8" t="s">
        <v>533</v>
      </c>
      <c r="C146" s="412">
        <f aca="true" t="shared" si="6" ref="C146:C152">SUM(D146:F146)</f>
        <v>0</v>
      </c>
      <c r="D146" s="149"/>
      <c r="E146" s="149"/>
      <c r="F146" s="149"/>
      <c r="H146" s="706" t="e">
        <f>'1.2.sz.mell. '!C146+'1.3.sz.mell.'!C146+#REF!</f>
        <v>#REF!</v>
      </c>
      <c r="I146" s="707" t="e">
        <f t="shared" si="3"/>
        <v>#REF!</v>
      </c>
    </row>
    <row r="147" spans="1:9" ht="12" customHeight="1">
      <c r="A147" s="14" t="s">
        <v>115</v>
      </c>
      <c r="B147" s="8" t="s">
        <v>534</v>
      </c>
      <c r="C147" s="411">
        <f t="shared" si="6"/>
        <v>0</v>
      </c>
      <c r="D147" s="149"/>
      <c r="E147" s="149"/>
      <c r="F147" s="149"/>
      <c r="H147" s="706" t="e">
        <f>'1.2.sz.mell. '!C147+'1.3.sz.mell.'!C147+#REF!</f>
        <v>#REF!</v>
      </c>
      <c r="I147" s="707" t="e">
        <f t="shared" si="3"/>
        <v>#REF!</v>
      </c>
    </row>
    <row r="148" spans="1:9" ht="12" customHeight="1">
      <c r="A148" s="14" t="s">
        <v>276</v>
      </c>
      <c r="B148" s="8" t="s">
        <v>535</v>
      </c>
      <c r="C148" s="411">
        <f t="shared" si="6"/>
        <v>0</v>
      </c>
      <c r="D148" s="149"/>
      <c r="E148" s="149"/>
      <c r="F148" s="149"/>
      <c r="H148" s="706" t="e">
        <f>'1.2.sz.mell. '!C148+'1.3.sz.mell.'!C148+#REF!</f>
        <v>#REF!</v>
      </c>
      <c r="I148" s="707" t="e">
        <f t="shared" si="3"/>
        <v>#REF!</v>
      </c>
    </row>
    <row r="149" spans="1:9" ht="12" customHeight="1">
      <c r="A149" s="14" t="s">
        <v>277</v>
      </c>
      <c r="B149" s="8" t="s">
        <v>536</v>
      </c>
      <c r="C149" s="411">
        <f t="shared" si="6"/>
        <v>0</v>
      </c>
      <c r="D149" s="149"/>
      <c r="E149" s="149"/>
      <c r="F149" s="149"/>
      <c r="H149" s="706" t="e">
        <f>'1.2.sz.mell. '!C149+'1.3.sz.mell.'!C149+#REF!</f>
        <v>#REF!</v>
      </c>
      <c r="I149" s="707" t="e">
        <f t="shared" si="3"/>
        <v>#REF!</v>
      </c>
    </row>
    <row r="150" spans="1:9" ht="12" customHeight="1" thickBot="1">
      <c r="A150" s="14" t="s">
        <v>537</v>
      </c>
      <c r="B150" s="8" t="s">
        <v>538</v>
      </c>
      <c r="C150" s="413">
        <f t="shared" si="6"/>
        <v>0</v>
      </c>
      <c r="D150" s="150"/>
      <c r="E150" s="150"/>
      <c r="F150" s="149"/>
      <c r="H150" s="706" t="e">
        <f>'1.2.sz.mell. '!C150+'1.3.sz.mell.'!C150+#REF!</f>
        <v>#REF!</v>
      </c>
      <c r="I150" s="707" t="e">
        <f t="shared" si="3"/>
        <v>#REF!</v>
      </c>
    </row>
    <row r="151" spans="1:9" ht="12" customHeight="1" thickBot="1">
      <c r="A151" s="19" t="s">
        <v>47</v>
      </c>
      <c r="B151" s="87" t="s">
        <v>539</v>
      </c>
      <c r="C151" s="414">
        <f t="shared" si="6"/>
        <v>0</v>
      </c>
      <c r="D151" s="357"/>
      <c r="E151" s="170"/>
      <c r="F151" s="310"/>
      <c r="H151" s="706" t="e">
        <f>'1.2.sz.mell. '!C151+'1.3.sz.mell.'!C151+#REF!</f>
        <v>#REF!</v>
      </c>
      <c r="I151" s="707" t="e">
        <f t="shared" si="3"/>
        <v>#REF!</v>
      </c>
    </row>
    <row r="152" spans="1:9" ht="12" customHeight="1" thickBot="1">
      <c r="A152" s="19" t="s">
        <v>48</v>
      </c>
      <c r="B152" s="87" t="s">
        <v>540</v>
      </c>
      <c r="C152" s="414">
        <f t="shared" si="6"/>
        <v>0</v>
      </c>
      <c r="D152" s="357"/>
      <c r="E152" s="170"/>
      <c r="F152" s="310"/>
      <c r="H152" s="706" t="e">
        <f>'1.2.sz.mell. '!C152+'1.3.sz.mell.'!C152+#REF!</f>
        <v>#REF!</v>
      </c>
      <c r="I152" s="707" t="e">
        <f t="shared" si="3"/>
        <v>#REF!</v>
      </c>
    </row>
    <row r="153" spans="1:9" ht="15" customHeight="1" thickBot="1">
      <c r="A153" s="19" t="s">
        <v>49</v>
      </c>
      <c r="B153" s="87" t="s">
        <v>541</v>
      </c>
      <c r="C153" s="410">
        <f>C152+C151+C145+C140+C133+C129</f>
        <v>138325932</v>
      </c>
      <c r="D153" s="360">
        <f>+D129+D133+D140+D145+D151+D152</f>
        <v>138325932</v>
      </c>
      <c r="E153" s="258">
        <f>+E129+E133+E140+E145+E151+E152</f>
        <v>0</v>
      </c>
      <c r="F153" s="258">
        <f>+F129+F133+F140+F145+F151+F152</f>
        <v>0</v>
      </c>
      <c r="G153" s="259"/>
      <c r="H153" s="706" t="e">
        <f>'1.2.sz.mell. '!C153+'1.3.sz.mell.'!C153+#REF!</f>
        <v>#REF!</v>
      </c>
      <c r="I153" s="707" t="e">
        <f t="shared" si="3"/>
        <v>#REF!</v>
      </c>
    </row>
    <row r="154" spans="1:8" s="247" customFormat="1" ht="12.75" customHeight="1" thickBot="1">
      <c r="A154" s="160" t="s">
        <v>50</v>
      </c>
      <c r="B154" s="233" t="s">
        <v>542</v>
      </c>
      <c r="C154" s="410">
        <f>C153+C128</f>
        <v>3435101741</v>
      </c>
      <c r="D154" s="360">
        <f>+D128+D153</f>
        <v>659384880</v>
      </c>
      <c r="E154" s="258">
        <f>+E128+E153</f>
        <v>225723850</v>
      </c>
      <c r="F154" s="258">
        <f>+F128+F153</f>
        <v>1397286981</v>
      </c>
      <c r="H154" s="706" t="e">
        <f>'1.2.sz.mell. '!C154+'1.3.sz.mell.'!C154+#REF!</f>
        <v>#REF!</v>
      </c>
    </row>
    <row r="155" ht="7.5" customHeight="1"/>
    <row r="156" spans="1:3" ht="15.75">
      <c r="A156" s="844" t="s">
        <v>352</v>
      </c>
      <c r="B156" s="844"/>
      <c r="C156" s="844"/>
    </row>
    <row r="157" spans="1:3" ht="15" customHeight="1" thickBot="1">
      <c r="A157" s="842" t="s">
        <v>164</v>
      </c>
      <c r="B157" s="842"/>
      <c r="C157" s="171" t="s">
        <v>632</v>
      </c>
    </row>
    <row r="158" spans="1:3" ht="13.5" customHeight="1" thickBot="1">
      <c r="A158" s="19">
        <v>1</v>
      </c>
      <c r="B158" s="24" t="s">
        <v>543</v>
      </c>
      <c r="C158" s="162">
        <f>+C62-C128</f>
        <v>-342173483</v>
      </c>
    </row>
    <row r="159" spans="1:8" ht="27.75" customHeight="1" thickBot="1">
      <c r="A159" s="19" t="s">
        <v>41</v>
      </c>
      <c r="B159" s="24" t="s">
        <v>544</v>
      </c>
      <c r="C159" s="162">
        <f>+C86-C153</f>
        <v>342173483</v>
      </c>
      <c r="H159" s="706" t="e">
        <f>C154-H154</f>
        <v>#REF!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2017. ÉVI KÖLTSÉGVETÉSÉNEK ÖSSZEVONT MÉRLEGE&amp;10
&amp;R&amp;"Times New Roman CE,Félkövér dőlt"&amp;11 1. melléklet a 28/2017.(X.27.)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15" zoomScaleSheetLayoutView="85" workbookViewId="0" topLeftCell="A1">
      <selection activeCell="D8" sqref="D8"/>
    </sheetView>
  </sheetViews>
  <sheetFormatPr defaultColWidth="9.00390625" defaultRowHeight="12.75"/>
  <cols>
    <col min="1" max="1" width="19.50390625" style="423" customWidth="1"/>
    <col min="2" max="2" width="72.00390625" style="424" customWidth="1"/>
    <col min="3" max="3" width="25.00390625" style="425" customWidth="1"/>
    <col min="4" max="5" width="9.375" style="2" customWidth="1"/>
    <col min="6" max="6" width="17.375" style="2" bestFit="1" customWidth="1"/>
    <col min="7" max="16384" width="9.375" style="2" customWidth="1"/>
  </cols>
  <sheetData>
    <row r="1" spans="1:3" s="1" customFormat="1" ht="16.5" customHeight="1" thickBot="1">
      <c r="A1" s="122"/>
      <c r="B1" s="124"/>
      <c r="C1" s="147"/>
    </row>
    <row r="2" spans="1:3" s="63" customFormat="1" ht="21" customHeight="1">
      <c r="A2" s="238" t="s">
        <v>84</v>
      </c>
      <c r="B2" s="213" t="s">
        <v>200</v>
      </c>
      <c r="C2" s="215" t="s">
        <v>75</v>
      </c>
    </row>
    <row r="3" spans="1:3" s="63" customFormat="1" ht="16.5" thickBot="1">
      <c r="A3" s="125" t="s">
        <v>196</v>
      </c>
      <c r="B3" s="214" t="s">
        <v>407</v>
      </c>
      <c r="C3" s="313" t="s">
        <v>82</v>
      </c>
    </row>
    <row r="4" spans="1:3" s="64" customFormat="1" ht="15.75" customHeight="1" thickBot="1">
      <c r="A4" s="126"/>
      <c r="B4" s="126"/>
      <c r="C4" s="127" t="s">
        <v>633</v>
      </c>
    </row>
    <row r="5" spans="1:3" ht="13.5" thickBot="1">
      <c r="A5" s="239" t="s">
        <v>198</v>
      </c>
      <c r="B5" s="128" t="s">
        <v>76</v>
      </c>
      <c r="C5" s="216" t="s">
        <v>77</v>
      </c>
    </row>
    <row r="6" spans="1:3" s="49" customFormat="1" ht="12.75" customHeight="1" thickBot="1">
      <c r="A6" s="100" t="s">
        <v>491</v>
      </c>
      <c r="B6" s="101" t="s">
        <v>492</v>
      </c>
      <c r="C6" s="102" t="s">
        <v>493</v>
      </c>
    </row>
    <row r="7" spans="1:3" s="49" customFormat="1" ht="15.75" customHeight="1" thickBot="1">
      <c r="A7" s="130"/>
      <c r="B7" s="131" t="s">
        <v>78</v>
      </c>
      <c r="C7" s="217"/>
    </row>
    <row r="8" spans="1:3" s="49" customFormat="1" ht="12" customHeight="1" thickBot="1">
      <c r="A8" s="31" t="s">
        <v>40</v>
      </c>
      <c r="B8" s="20" t="s">
        <v>224</v>
      </c>
      <c r="C8" s="162">
        <f>+C9+C10+C11+C12+C13+C14</f>
        <v>1071189122</v>
      </c>
    </row>
    <row r="9" spans="1:3" s="65" customFormat="1" ht="12" customHeight="1">
      <c r="A9" s="262" t="s">
        <v>116</v>
      </c>
      <c r="B9" s="248" t="s">
        <v>225</v>
      </c>
      <c r="C9" s="286">
        <f>227512539+905743</f>
        <v>228418282</v>
      </c>
    </row>
    <row r="10" spans="1:3" s="66" customFormat="1" ht="12" customHeight="1">
      <c r="A10" s="263" t="s">
        <v>117</v>
      </c>
      <c r="B10" s="249" t="s">
        <v>226</v>
      </c>
      <c r="C10" s="166">
        <f>218107294+10461768-4721982-4278000</f>
        <v>219569080</v>
      </c>
    </row>
    <row r="11" spans="1:3" s="66" customFormat="1" ht="12" customHeight="1">
      <c r="A11" s="263" t="s">
        <v>118</v>
      </c>
      <c r="B11" s="249" t="s">
        <v>227</v>
      </c>
      <c r="C11" s="166">
        <f>121200000+67844165+177597260+4526280+11511000+24250000-35761000-1673270</f>
        <v>369494435</v>
      </c>
    </row>
    <row r="12" spans="1:3" s="66" customFormat="1" ht="12" customHeight="1">
      <c r="A12" s="263" t="s">
        <v>119</v>
      </c>
      <c r="B12" s="249" t="s">
        <v>228</v>
      </c>
      <c r="C12" s="166">
        <f>4412740+15262320+10629000-4412740+4412740+1038248</f>
        <v>31342308</v>
      </c>
    </row>
    <row r="13" spans="1:3" s="66" customFormat="1" ht="12" customHeight="1">
      <c r="A13" s="263" t="s">
        <v>159</v>
      </c>
      <c r="B13" s="249" t="s">
        <v>555</v>
      </c>
      <c r="C13" s="166">
        <f>1060845+3551000+168707597+58000+128000+13957152+413944+49094027+4501192-4412740-15000000+306000</f>
        <v>222365017</v>
      </c>
    </row>
    <row r="14" spans="1:3" s="65" customFormat="1" ht="12" customHeight="1" thickBot="1">
      <c r="A14" s="264" t="s">
        <v>120</v>
      </c>
      <c r="B14" s="250" t="s">
        <v>495</v>
      </c>
      <c r="C14" s="166"/>
    </row>
    <row r="15" spans="1:3" s="65" customFormat="1" ht="12" customHeight="1" thickBot="1">
      <c r="A15" s="31" t="s">
        <v>41</v>
      </c>
      <c r="B15" s="157" t="s">
        <v>229</v>
      </c>
      <c r="C15" s="162">
        <f>+C16+C17+C18+C19+C20</f>
        <v>176167657</v>
      </c>
    </row>
    <row r="16" spans="1:3" s="65" customFormat="1" ht="12" customHeight="1">
      <c r="A16" s="262" t="s">
        <v>122</v>
      </c>
      <c r="B16" s="248" t="s">
        <v>230</v>
      </c>
      <c r="C16" s="164"/>
    </row>
    <row r="17" spans="1:3" s="65" customFormat="1" ht="12" customHeight="1">
      <c r="A17" s="263" t="s">
        <v>123</v>
      </c>
      <c r="B17" s="249" t="s">
        <v>231</v>
      </c>
      <c r="C17" s="163"/>
    </row>
    <row r="18" spans="1:3" s="65" customFormat="1" ht="12" customHeight="1">
      <c r="A18" s="263" t="s">
        <v>124</v>
      </c>
      <c r="B18" s="249" t="s">
        <v>400</v>
      </c>
      <c r="C18" s="166"/>
    </row>
    <row r="19" spans="1:3" s="65" customFormat="1" ht="12" customHeight="1">
      <c r="A19" s="263" t="s">
        <v>125</v>
      </c>
      <c r="B19" s="249" t="s">
        <v>401</v>
      </c>
      <c r="C19" s="166"/>
    </row>
    <row r="20" spans="1:3" s="65" customFormat="1" ht="12" customHeight="1">
      <c r="A20" s="263" t="s">
        <v>126</v>
      </c>
      <c r="B20" s="249" t="s">
        <v>232</v>
      </c>
      <c r="C20" s="753">
        <f>210000+65342000+25310845+9303887+291175856+362000+94906504+6840000+1770000+4682000-323735435</f>
        <v>176167657</v>
      </c>
    </row>
    <row r="21" spans="1:3" s="66" customFormat="1" ht="12" customHeight="1" thickBot="1">
      <c r="A21" s="264" t="s">
        <v>135</v>
      </c>
      <c r="B21" s="250" t="s">
        <v>233</v>
      </c>
      <c r="C21" s="237"/>
    </row>
    <row r="22" spans="1:3" s="66" customFormat="1" ht="12" customHeight="1" thickBot="1">
      <c r="A22" s="31" t="s">
        <v>42</v>
      </c>
      <c r="B22" s="20" t="s">
        <v>234</v>
      </c>
      <c r="C22" s="162">
        <f>+C23+C24+C25+C26+C27</f>
        <v>327321211</v>
      </c>
    </row>
    <row r="23" spans="1:3" s="66" customFormat="1" ht="12" customHeight="1">
      <c r="A23" s="262" t="s">
        <v>105</v>
      </c>
      <c r="B23" s="248" t="s">
        <v>235</v>
      </c>
      <c r="C23" s="286">
        <v>15690532</v>
      </c>
    </row>
    <row r="24" spans="1:3" s="65" customFormat="1" ht="12" customHeight="1">
      <c r="A24" s="263" t="s">
        <v>106</v>
      </c>
      <c r="B24" s="249" t="s">
        <v>236</v>
      </c>
      <c r="C24" s="166"/>
    </row>
    <row r="25" spans="1:3" s="66" customFormat="1" ht="12" customHeight="1">
      <c r="A25" s="263" t="s">
        <v>107</v>
      </c>
      <c r="B25" s="249" t="s">
        <v>402</v>
      </c>
      <c r="C25" s="166"/>
    </row>
    <row r="26" spans="1:3" s="66" customFormat="1" ht="12" customHeight="1">
      <c r="A26" s="263" t="s">
        <v>108</v>
      </c>
      <c r="B26" s="249" t="s">
        <v>403</v>
      </c>
      <c r="C26" s="166"/>
    </row>
    <row r="27" spans="1:3" s="66" customFormat="1" ht="12" customHeight="1">
      <c r="A27" s="263" t="s">
        <v>171</v>
      </c>
      <c r="B27" s="249" t="s">
        <v>237</v>
      </c>
      <c r="C27" s="753">
        <f>3797300+15179276+2160000+75588869+15956160+214128350-15179276</f>
        <v>311630679</v>
      </c>
    </row>
    <row r="28" spans="1:3" s="66" customFormat="1" ht="12" customHeight="1" thickBot="1">
      <c r="A28" s="264" t="s">
        <v>172</v>
      </c>
      <c r="B28" s="250" t="s">
        <v>238</v>
      </c>
      <c r="C28" s="237">
        <f>3797300+75588869+15956160+214128350</f>
        <v>309470679</v>
      </c>
    </row>
    <row r="29" spans="1:3" s="66" customFormat="1" ht="12" customHeight="1" thickBot="1">
      <c r="A29" s="31" t="s">
        <v>173</v>
      </c>
      <c r="B29" s="20" t="s">
        <v>239</v>
      </c>
      <c r="C29" s="167">
        <f>+C30+C34+C35+C36</f>
        <v>356490000</v>
      </c>
    </row>
    <row r="30" spans="1:3" s="66" customFormat="1" ht="12" customHeight="1">
      <c r="A30" s="262" t="s">
        <v>240</v>
      </c>
      <c r="B30" s="248" t="s">
        <v>556</v>
      </c>
      <c r="C30" s="243">
        <f>SUM(C31:C33)</f>
        <v>317830000</v>
      </c>
    </row>
    <row r="31" spans="1:3" s="66" customFormat="1" ht="12" customHeight="1">
      <c r="A31" s="263" t="s">
        <v>241</v>
      </c>
      <c r="B31" s="249" t="s">
        <v>246</v>
      </c>
      <c r="C31" s="166">
        <f>8990000+70000000</f>
        <v>78990000</v>
      </c>
    </row>
    <row r="32" spans="1:3" s="66" customFormat="1" ht="12" customHeight="1">
      <c r="A32" s="263" t="s">
        <v>242</v>
      </c>
      <c r="B32" s="249" t="s">
        <v>595</v>
      </c>
      <c r="C32" s="166">
        <f>203840000+35000000</f>
        <v>238840000</v>
      </c>
    </row>
    <row r="33" spans="1:3" s="66" customFormat="1" ht="12" customHeight="1">
      <c r="A33" s="263" t="s">
        <v>497</v>
      </c>
      <c r="B33" s="249" t="s">
        <v>592</v>
      </c>
      <c r="C33" s="166"/>
    </row>
    <row r="34" spans="1:3" s="66" customFormat="1" ht="12" customHeight="1">
      <c r="A34" s="263" t="s">
        <v>243</v>
      </c>
      <c r="B34" s="249" t="s">
        <v>248</v>
      </c>
      <c r="C34" s="166">
        <f>27000000</f>
        <v>27000000</v>
      </c>
    </row>
    <row r="35" spans="1:3" s="66" customFormat="1" ht="12" customHeight="1">
      <c r="A35" s="263" t="s">
        <v>244</v>
      </c>
      <c r="B35" s="249" t="s">
        <v>249</v>
      </c>
      <c r="C35" s="166">
        <f>4060000-4000000</f>
        <v>60000</v>
      </c>
    </row>
    <row r="36" spans="1:3" s="66" customFormat="1" ht="12" customHeight="1" thickBot="1">
      <c r="A36" s="264" t="s">
        <v>245</v>
      </c>
      <c r="B36" s="250" t="s">
        <v>250</v>
      </c>
      <c r="C36" s="237">
        <f>5500000+4000000+2100000</f>
        <v>11600000</v>
      </c>
    </row>
    <row r="37" spans="1:3" s="66" customFormat="1" ht="12" customHeight="1" thickBot="1">
      <c r="A37" s="31" t="s">
        <v>44</v>
      </c>
      <c r="B37" s="20" t="s">
        <v>499</v>
      </c>
      <c r="C37" s="162">
        <f>SUM(C38:C48)</f>
        <v>49684429</v>
      </c>
    </row>
    <row r="38" spans="1:3" s="66" customFormat="1" ht="12" customHeight="1">
      <c r="A38" s="262" t="s">
        <v>109</v>
      </c>
      <c r="B38" s="248" t="s">
        <v>253</v>
      </c>
      <c r="C38" s="754">
        <f>4000000+5000000-2941522</f>
        <v>6058478</v>
      </c>
    </row>
    <row r="39" spans="1:3" s="66" customFormat="1" ht="12" customHeight="1">
      <c r="A39" s="263" t="s">
        <v>110</v>
      </c>
      <c r="B39" s="249" t="s">
        <v>254</v>
      </c>
      <c r="C39" s="753">
        <f>100000+12004000+555000+7128864</f>
        <v>19787864</v>
      </c>
    </row>
    <row r="40" spans="1:3" s="66" customFormat="1" ht="12" customHeight="1">
      <c r="A40" s="263" t="s">
        <v>111</v>
      </c>
      <c r="B40" s="249" t="s">
        <v>255</v>
      </c>
      <c r="C40" s="166">
        <f>8458000+947000+918292-195228+206000+158027-4705000+240000</f>
        <v>6027091</v>
      </c>
    </row>
    <row r="41" spans="1:3" s="66" customFormat="1" ht="12" customHeight="1">
      <c r="A41" s="263" t="s">
        <v>175</v>
      </c>
      <c r="B41" s="249" t="s">
        <v>256</v>
      </c>
      <c r="C41" s="166">
        <f>430000</f>
        <v>430000</v>
      </c>
    </row>
    <row r="42" spans="1:3" s="66" customFormat="1" ht="12" customHeight="1">
      <c r="A42" s="263" t="s">
        <v>176</v>
      </c>
      <c r="B42" s="249" t="s">
        <v>257</v>
      </c>
      <c r="C42" s="166"/>
    </row>
    <row r="43" spans="1:3" s="66" customFormat="1" ht="12" customHeight="1">
      <c r="A43" s="263" t="s">
        <v>177</v>
      </c>
      <c r="B43" s="249" t="s">
        <v>258</v>
      </c>
      <c r="C43" s="753">
        <f>3242000+5853000+378000+600000+1350000+270000+682000+195228+206000+40410+27000-516228+1924793</f>
        <v>14252203</v>
      </c>
    </row>
    <row r="44" spans="1:3" s="66" customFormat="1" ht="12" customHeight="1">
      <c r="A44" s="263" t="s">
        <v>178</v>
      </c>
      <c r="B44" s="249" t="s">
        <v>259</v>
      </c>
      <c r="C44" s="753">
        <v>1924793</v>
      </c>
    </row>
    <row r="45" spans="1:3" s="66" customFormat="1" ht="12" customHeight="1">
      <c r="A45" s="263" t="s">
        <v>179</v>
      </c>
      <c r="B45" s="249" t="s">
        <v>260</v>
      </c>
      <c r="C45" s="166"/>
    </row>
    <row r="46" spans="1:3" s="66" customFormat="1" ht="12" customHeight="1">
      <c r="A46" s="263" t="s">
        <v>251</v>
      </c>
      <c r="B46" s="249" t="s">
        <v>261</v>
      </c>
      <c r="C46" s="166"/>
    </row>
    <row r="47" spans="1:3" s="66" customFormat="1" ht="12" customHeight="1">
      <c r="A47" s="264" t="s">
        <v>252</v>
      </c>
      <c r="B47" s="250" t="s">
        <v>500</v>
      </c>
      <c r="C47" s="237">
        <f>500000</f>
        <v>500000</v>
      </c>
    </row>
    <row r="48" spans="1:3" s="66" customFormat="1" ht="12" customHeight="1" thickBot="1">
      <c r="A48" s="264" t="s">
        <v>501</v>
      </c>
      <c r="B48" s="250" t="s">
        <v>262</v>
      </c>
      <c r="C48" s="237">
        <v>704000</v>
      </c>
    </row>
    <row r="49" spans="1:3" s="66" customFormat="1" ht="12" customHeight="1" thickBot="1">
      <c r="A49" s="31" t="s">
        <v>45</v>
      </c>
      <c r="B49" s="20" t="s">
        <v>263</v>
      </c>
      <c r="C49" s="162">
        <f>SUM(C50:C54)</f>
        <v>47179000</v>
      </c>
    </row>
    <row r="50" spans="1:3" s="66" customFormat="1" ht="12" customHeight="1">
      <c r="A50" s="262" t="s">
        <v>112</v>
      </c>
      <c r="B50" s="248" t="s">
        <v>267</v>
      </c>
      <c r="C50" s="286"/>
    </row>
    <row r="51" spans="1:3" s="66" customFormat="1" ht="12" customHeight="1">
      <c r="A51" s="263" t="s">
        <v>113</v>
      </c>
      <c r="B51" s="249" t="s">
        <v>268</v>
      </c>
      <c r="C51" s="166">
        <f>25179000+22000000</f>
        <v>47179000</v>
      </c>
    </row>
    <row r="52" spans="1:3" s="66" customFormat="1" ht="12" customHeight="1">
      <c r="A52" s="263" t="s">
        <v>264</v>
      </c>
      <c r="B52" s="249" t="s">
        <v>269</v>
      </c>
      <c r="C52" s="166"/>
    </row>
    <row r="53" spans="1:3" s="66" customFormat="1" ht="12" customHeight="1">
      <c r="A53" s="263" t="s">
        <v>265</v>
      </c>
      <c r="B53" s="249" t="s">
        <v>270</v>
      </c>
      <c r="C53" s="166"/>
    </row>
    <row r="54" spans="1:3" s="66" customFormat="1" ht="12" customHeight="1" thickBot="1">
      <c r="A54" s="264" t="s">
        <v>266</v>
      </c>
      <c r="B54" s="250" t="s">
        <v>271</v>
      </c>
      <c r="C54" s="237"/>
    </row>
    <row r="55" spans="1:3" s="66" customFormat="1" ht="12" customHeight="1" thickBot="1">
      <c r="A55" s="31" t="s">
        <v>180</v>
      </c>
      <c r="B55" s="20" t="s">
        <v>272</v>
      </c>
      <c r="C55" s="162">
        <f>SUM(C56:C58)</f>
        <v>4458000</v>
      </c>
    </row>
    <row r="56" spans="1:3" s="66" customFormat="1" ht="12" customHeight="1">
      <c r="A56" s="262" t="s">
        <v>114</v>
      </c>
      <c r="B56" s="248" t="s">
        <v>273</v>
      </c>
      <c r="C56" s="164"/>
    </row>
    <row r="57" spans="1:3" s="66" customFormat="1" ht="12" customHeight="1">
      <c r="A57" s="263" t="s">
        <v>115</v>
      </c>
      <c r="B57" s="249" t="s">
        <v>404</v>
      </c>
      <c r="C57" s="166">
        <v>383000</v>
      </c>
    </row>
    <row r="58" spans="1:3" s="66" customFormat="1" ht="12" customHeight="1">
      <c r="A58" s="263" t="s">
        <v>276</v>
      </c>
      <c r="B58" s="249" t="s">
        <v>274</v>
      </c>
      <c r="C58" s="166">
        <v>4075000</v>
      </c>
    </row>
    <row r="59" spans="1:3" s="66" customFormat="1" ht="12" customHeight="1" thickBot="1">
      <c r="A59" s="264" t="s">
        <v>277</v>
      </c>
      <c r="B59" s="250" t="s">
        <v>275</v>
      </c>
      <c r="C59" s="165"/>
    </row>
    <row r="60" spans="1:3" s="66" customFormat="1" ht="12" customHeight="1" thickBot="1">
      <c r="A60" s="31" t="s">
        <v>47</v>
      </c>
      <c r="B60" s="157" t="s">
        <v>278</v>
      </c>
      <c r="C60" s="162">
        <f>SUM(C61:C63)</f>
        <v>0</v>
      </c>
    </row>
    <row r="61" spans="1:3" s="66" customFormat="1" ht="12" customHeight="1">
      <c r="A61" s="262" t="s">
        <v>181</v>
      </c>
      <c r="B61" s="248" t="s">
        <v>280</v>
      </c>
      <c r="C61" s="166"/>
    </row>
    <row r="62" spans="1:3" s="66" customFormat="1" ht="12" customHeight="1">
      <c r="A62" s="263" t="s">
        <v>182</v>
      </c>
      <c r="B62" s="249" t="s">
        <v>405</v>
      </c>
      <c r="C62" s="166"/>
    </row>
    <row r="63" spans="1:3" s="66" customFormat="1" ht="12" customHeight="1">
      <c r="A63" s="263" t="s">
        <v>204</v>
      </c>
      <c r="B63" s="249" t="s">
        <v>281</v>
      </c>
      <c r="C63" s="166"/>
    </row>
    <row r="64" spans="1:3" s="66" customFormat="1" ht="12" customHeight="1" thickBot="1">
      <c r="A64" s="264" t="s">
        <v>279</v>
      </c>
      <c r="B64" s="250" t="s">
        <v>282</v>
      </c>
      <c r="C64" s="166"/>
    </row>
    <row r="65" spans="1:3" s="66" customFormat="1" ht="12" customHeight="1" thickBot="1">
      <c r="A65" s="31" t="s">
        <v>48</v>
      </c>
      <c r="B65" s="20" t="s">
        <v>283</v>
      </c>
      <c r="C65" s="167">
        <f>+C8+C15+C22+C29+C37+C49+C55+C60</f>
        <v>2032489419</v>
      </c>
    </row>
    <row r="66" spans="1:3" s="66" customFormat="1" ht="12" customHeight="1" thickBot="1">
      <c r="A66" s="265" t="s">
        <v>373</v>
      </c>
      <c r="B66" s="157" t="s">
        <v>285</v>
      </c>
      <c r="C66" s="162">
        <f>SUM(C67:C69)</f>
        <v>5500000</v>
      </c>
    </row>
    <row r="67" spans="1:3" s="66" customFormat="1" ht="12" customHeight="1">
      <c r="A67" s="262" t="s">
        <v>316</v>
      </c>
      <c r="B67" s="248" t="s">
        <v>286</v>
      </c>
      <c r="C67" s="166">
        <v>5500000</v>
      </c>
    </row>
    <row r="68" spans="1:3" s="66" customFormat="1" ht="12" customHeight="1">
      <c r="A68" s="263" t="s">
        <v>325</v>
      </c>
      <c r="B68" s="249" t="s">
        <v>287</v>
      </c>
      <c r="C68" s="166"/>
    </row>
    <row r="69" spans="1:3" s="66" customFormat="1" ht="12" customHeight="1" thickBot="1">
      <c r="A69" s="264" t="s">
        <v>326</v>
      </c>
      <c r="B69" s="251" t="s">
        <v>288</v>
      </c>
      <c r="C69" s="166"/>
    </row>
    <row r="70" spans="1:3" s="66" customFormat="1" ht="12" customHeight="1" thickBot="1">
      <c r="A70" s="265" t="s">
        <v>289</v>
      </c>
      <c r="B70" s="157" t="s">
        <v>290</v>
      </c>
      <c r="C70" s="162">
        <f>SUM(C71:C74)</f>
        <v>0</v>
      </c>
    </row>
    <row r="71" spans="1:3" s="66" customFormat="1" ht="12" customHeight="1">
      <c r="A71" s="262" t="s">
        <v>160</v>
      </c>
      <c r="B71" s="248" t="s">
        <v>291</v>
      </c>
      <c r="C71" s="166"/>
    </row>
    <row r="72" spans="1:3" s="66" customFormat="1" ht="12" customHeight="1">
      <c r="A72" s="263" t="s">
        <v>161</v>
      </c>
      <c r="B72" s="249" t="s">
        <v>292</v>
      </c>
      <c r="C72" s="166"/>
    </row>
    <row r="73" spans="1:3" s="66" customFormat="1" ht="12" customHeight="1">
      <c r="A73" s="263" t="s">
        <v>317</v>
      </c>
      <c r="B73" s="249" t="s">
        <v>293</v>
      </c>
      <c r="C73" s="166"/>
    </row>
    <row r="74" spans="1:3" s="66" customFormat="1" ht="12" customHeight="1" thickBot="1">
      <c r="A74" s="264" t="s">
        <v>318</v>
      </c>
      <c r="B74" s="250" t="s">
        <v>294</v>
      </c>
      <c r="C74" s="166"/>
    </row>
    <row r="75" spans="1:3" s="66" customFormat="1" ht="12" customHeight="1" thickBot="1">
      <c r="A75" s="265" t="s">
        <v>295</v>
      </c>
      <c r="B75" s="157" t="s">
        <v>296</v>
      </c>
      <c r="C75" s="162">
        <f>SUM(C76:C77)</f>
        <v>289331423</v>
      </c>
    </row>
    <row r="76" spans="1:3" s="66" customFormat="1" ht="12" customHeight="1">
      <c r="A76" s="262" t="s">
        <v>319</v>
      </c>
      <c r="B76" s="248" t="s">
        <v>297</v>
      </c>
      <c r="C76" s="166">
        <v>289331423</v>
      </c>
    </row>
    <row r="77" spans="1:3" s="66" customFormat="1" ht="12" customHeight="1" thickBot="1">
      <c r="A77" s="264" t="s">
        <v>320</v>
      </c>
      <c r="B77" s="250" t="s">
        <v>298</v>
      </c>
      <c r="C77" s="166"/>
    </row>
    <row r="78" spans="1:3" s="65" customFormat="1" ht="12" customHeight="1" thickBot="1">
      <c r="A78" s="265" t="s">
        <v>299</v>
      </c>
      <c r="B78" s="157" t="s">
        <v>300</v>
      </c>
      <c r="C78" s="162">
        <f>SUM(C79:C81)</f>
        <v>0</v>
      </c>
    </row>
    <row r="79" spans="1:3" s="66" customFormat="1" ht="12" customHeight="1">
      <c r="A79" s="262" t="s">
        <v>321</v>
      </c>
      <c r="B79" s="248" t="s">
        <v>301</v>
      </c>
      <c r="C79" s="166"/>
    </row>
    <row r="80" spans="1:3" s="66" customFormat="1" ht="12" customHeight="1">
      <c r="A80" s="263" t="s">
        <v>322</v>
      </c>
      <c r="B80" s="249" t="s">
        <v>302</v>
      </c>
      <c r="C80" s="166"/>
    </row>
    <row r="81" spans="1:3" s="66" customFormat="1" ht="12" customHeight="1" thickBot="1">
      <c r="A81" s="264" t="s">
        <v>323</v>
      </c>
      <c r="B81" s="250" t="s">
        <v>303</v>
      </c>
      <c r="C81" s="166"/>
    </row>
    <row r="82" spans="1:3" s="66" customFormat="1" ht="12" customHeight="1" thickBot="1">
      <c r="A82" s="265" t="s">
        <v>304</v>
      </c>
      <c r="B82" s="157" t="s">
        <v>324</v>
      </c>
      <c r="C82" s="162">
        <f>SUM(C83:C86)</f>
        <v>0</v>
      </c>
    </row>
    <row r="83" spans="1:3" s="66" customFormat="1" ht="12" customHeight="1">
      <c r="A83" s="266" t="s">
        <v>305</v>
      </c>
      <c r="B83" s="248" t="s">
        <v>306</v>
      </c>
      <c r="C83" s="166"/>
    </row>
    <row r="84" spans="1:3" s="66" customFormat="1" ht="12" customHeight="1">
      <c r="A84" s="267" t="s">
        <v>307</v>
      </c>
      <c r="B84" s="249" t="s">
        <v>308</v>
      </c>
      <c r="C84" s="166"/>
    </row>
    <row r="85" spans="1:3" s="66" customFormat="1" ht="12" customHeight="1">
      <c r="A85" s="267" t="s">
        <v>309</v>
      </c>
      <c r="B85" s="249" t="s">
        <v>310</v>
      </c>
      <c r="C85" s="166"/>
    </row>
    <row r="86" spans="1:3" s="65" customFormat="1" ht="12" customHeight="1" thickBot="1">
      <c r="A86" s="268" t="s">
        <v>311</v>
      </c>
      <c r="B86" s="250" t="s">
        <v>312</v>
      </c>
      <c r="C86" s="166"/>
    </row>
    <row r="87" spans="1:3" s="65" customFormat="1" ht="12" customHeight="1" thickBot="1">
      <c r="A87" s="265" t="s">
        <v>313</v>
      </c>
      <c r="B87" s="157" t="s">
        <v>504</v>
      </c>
      <c r="C87" s="287"/>
    </row>
    <row r="88" spans="1:3" s="65" customFormat="1" ht="12" customHeight="1" thickBot="1">
      <c r="A88" s="265" t="s">
        <v>557</v>
      </c>
      <c r="B88" s="157" t="s">
        <v>314</v>
      </c>
      <c r="C88" s="287"/>
    </row>
    <row r="89" spans="1:3" s="65" customFormat="1" ht="12" customHeight="1" thickBot="1">
      <c r="A89" s="265" t="s">
        <v>558</v>
      </c>
      <c r="B89" s="255" t="s">
        <v>505</v>
      </c>
      <c r="C89" s="167">
        <f>+C66+C70+C75+C78+C82+C88+C87</f>
        <v>294831423</v>
      </c>
    </row>
    <row r="90" spans="1:6" s="65" customFormat="1" ht="12" customHeight="1" thickBot="1">
      <c r="A90" s="269" t="s">
        <v>559</v>
      </c>
      <c r="B90" s="256" t="s">
        <v>560</v>
      </c>
      <c r="C90" s="167">
        <f>+C65+C89</f>
        <v>2327320842</v>
      </c>
      <c r="F90" s="50"/>
    </row>
    <row r="91" spans="1:3" s="66" customFormat="1" ht="15" customHeight="1" thickBot="1">
      <c r="A91" s="136"/>
      <c r="B91" s="137"/>
      <c r="C91" s="222"/>
    </row>
    <row r="92" spans="1:3" s="49" customFormat="1" ht="16.5" customHeight="1" thickBot="1">
      <c r="A92" s="140"/>
      <c r="B92" s="141" t="s">
        <v>79</v>
      </c>
      <c r="C92" s="224"/>
    </row>
    <row r="93" spans="1:3" s="67" customFormat="1" ht="12" customHeight="1" thickBot="1">
      <c r="A93" s="240" t="s">
        <v>40</v>
      </c>
      <c r="B93" s="25" t="s">
        <v>571</v>
      </c>
      <c r="C93" s="161">
        <f>+C94+C95+C96+C97+C98+C111</f>
        <v>771093991</v>
      </c>
    </row>
    <row r="94" spans="1:3" ht="12" customHeight="1">
      <c r="A94" s="270" t="s">
        <v>116</v>
      </c>
      <c r="B94" s="9" t="s">
        <v>71</v>
      </c>
      <c r="C94" s="756">
        <f>25364000+1932000+165142000+48000+105000+8381882+232903371+281000+326126+85501355+54000-231000-132000-1343902+2037000-279139483-198000-388424+1577323</f>
        <v>242220248</v>
      </c>
    </row>
    <row r="95" spans="1:3" ht="12" customHeight="1">
      <c r="A95" s="263" t="s">
        <v>117</v>
      </c>
      <c r="B95" s="7" t="s">
        <v>183</v>
      </c>
      <c r="C95" s="753">
        <f>5239000+425000+14000+19299000+10000+23000+922005+25618911+31000+35874+9405149+12000-45738-26136-235888+448140-31590193-39204+388424+312310</f>
        <v>30246654</v>
      </c>
    </row>
    <row r="96" spans="1:3" ht="12" customHeight="1">
      <c r="A96" s="263" t="s">
        <v>118</v>
      </c>
      <c r="B96" s="7" t="s">
        <v>152</v>
      </c>
      <c r="C96" s="757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+570939+706000+361225+6840000+918292+137360+433000+46000+8760131-2866987+1246500+68374+300000+214000-4705000+254000+381000+2749550+394000+326000+454000+2267725-558800+1524000+1905000-2694940-31916082+1924793+5080000</f>
        <v>281190151</v>
      </c>
    </row>
    <row r="97" spans="1:3" ht="12" customHeight="1">
      <c r="A97" s="263" t="s">
        <v>119</v>
      </c>
      <c r="B97" s="10" t="s">
        <v>184</v>
      </c>
      <c r="C97" s="757">
        <f>70980000+5000-6906260-5080000</f>
        <v>58998740</v>
      </c>
    </row>
    <row r="98" spans="1:3" ht="12" customHeight="1">
      <c r="A98" s="263" t="s">
        <v>130</v>
      </c>
      <c r="B98" s="18" t="s">
        <v>185</v>
      </c>
      <c r="C98" s="237">
        <f>SUM(C99:C110)</f>
        <v>71420007</v>
      </c>
    </row>
    <row r="99" spans="1:3" ht="12" customHeight="1">
      <c r="A99" s="263" t="s">
        <v>120</v>
      </c>
      <c r="B99" s="7" t="s">
        <v>561</v>
      </c>
      <c r="C99" s="237">
        <f>1500+6098534+1143510+114463</f>
        <v>7358007</v>
      </c>
    </row>
    <row r="100" spans="1:3" ht="12" customHeight="1">
      <c r="A100" s="263" t="s">
        <v>121</v>
      </c>
      <c r="B100" s="91" t="s">
        <v>509</v>
      </c>
      <c r="C100" s="237"/>
    </row>
    <row r="101" spans="1:3" ht="12" customHeight="1">
      <c r="A101" s="263" t="s">
        <v>131</v>
      </c>
      <c r="B101" s="91" t="s">
        <v>510</v>
      </c>
      <c r="C101" s="237"/>
    </row>
    <row r="102" spans="1:3" ht="12" customHeight="1">
      <c r="A102" s="263" t="s">
        <v>132</v>
      </c>
      <c r="B102" s="91" t="s">
        <v>330</v>
      </c>
      <c r="C102" s="237"/>
    </row>
    <row r="103" spans="1:3" ht="12" customHeight="1">
      <c r="A103" s="263" t="s">
        <v>133</v>
      </c>
      <c r="B103" s="92" t="s">
        <v>331</v>
      </c>
      <c r="C103" s="237"/>
    </row>
    <row r="104" spans="1:3" ht="12" customHeight="1">
      <c r="A104" s="263" t="s">
        <v>134</v>
      </c>
      <c r="B104" s="92" t="s">
        <v>332</v>
      </c>
      <c r="C104" s="237"/>
    </row>
    <row r="105" spans="1:3" ht="12" customHeight="1">
      <c r="A105" s="263" t="s">
        <v>136</v>
      </c>
      <c r="B105" s="91" t="s">
        <v>333</v>
      </c>
      <c r="C105" s="237">
        <f>60754-60754</f>
        <v>0</v>
      </c>
    </row>
    <row r="106" spans="1:3" ht="12" customHeight="1">
      <c r="A106" s="263" t="s">
        <v>186</v>
      </c>
      <c r="B106" s="91" t="s">
        <v>334</v>
      </c>
      <c r="C106" s="237"/>
    </row>
    <row r="107" spans="1:3" ht="12" customHeight="1">
      <c r="A107" s="263" t="s">
        <v>328</v>
      </c>
      <c r="B107" s="92" t="s">
        <v>335</v>
      </c>
      <c r="C107" s="237"/>
    </row>
    <row r="108" spans="1:3" ht="12" customHeight="1">
      <c r="A108" s="271" t="s">
        <v>329</v>
      </c>
      <c r="B108" s="93" t="s">
        <v>336</v>
      </c>
      <c r="C108" s="237"/>
    </row>
    <row r="109" spans="1:3" ht="12" customHeight="1">
      <c r="A109" s="263" t="s">
        <v>511</v>
      </c>
      <c r="B109" s="93" t="s">
        <v>337</v>
      </c>
      <c r="C109" s="237"/>
    </row>
    <row r="110" spans="1:3" ht="12" customHeight="1">
      <c r="A110" s="263" t="s">
        <v>512</v>
      </c>
      <c r="B110" s="92" t="s">
        <v>338</v>
      </c>
      <c r="C110" s="753">
        <f>536000+1500000+500000+4000000+200000+189000+7562000+16678000+3500000+6600000+2000000+4000000+7351000+2875000+250000+3000000+60000+3261000</f>
        <v>64062000</v>
      </c>
    </row>
    <row r="111" spans="1:3" ht="12" customHeight="1">
      <c r="A111" s="263" t="s">
        <v>513</v>
      </c>
      <c r="B111" s="10" t="s">
        <v>72</v>
      </c>
      <c r="C111" s="753">
        <f>SUM(C112:C113)</f>
        <v>87018191</v>
      </c>
    </row>
    <row r="112" spans="1:3" ht="12" customHeight="1">
      <c r="A112" s="264" t="s">
        <v>514</v>
      </c>
      <c r="B112" s="7" t="s">
        <v>562</v>
      </c>
      <c r="C112" s="757">
        <f>20000000-9172313+8719388-4010722-1042502-1846399+5485909+1656508</f>
        <v>19789869</v>
      </c>
    </row>
    <row r="113" spans="1:3" ht="12" customHeight="1" thickBot="1">
      <c r="A113" s="272" t="s">
        <v>516</v>
      </c>
      <c r="B113" s="94" t="s">
        <v>563</v>
      </c>
      <c r="C113" s="759">
        <f>111113300-8373330-1600000-8539600-6323156-7948000-7343244+31158286-32066515+411581-3261000</f>
        <v>67228322</v>
      </c>
    </row>
    <row r="114" spans="1:3" ht="12" customHeight="1" thickBot="1">
      <c r="A114" s="31" t="s">
        <v>41</v>
      </c>
      <c r="B114" s="24" t="s">
        <v>339</v>
      </c>
      <c r="C114" s="162">
        <f>+C115+C117+C119</f>
        <v>499786851</v>
      </c>
    </row>
    <row r="115" spans="1:3" ht="12" customHeight="1">
      <c r="A115" s="262" t="s">
        <v>122</v>
      </c>
      <c r="B115" s="7" t="s">
        <v>203</v>
      </c>
      <c r="C115" s="754">
        <f>6621000+787402+10624171+3081125+529000+1654000+447000+2237000+6604000+204000+15179276+979170-1000000+2160000+4226991+71809476+15956160+214128350+180000-2768918+2707800+370002+349250-127000-254000-979170+5001260+2694940-14894286-1889633</f>
        <v>346618366</v>
      </c>
    </row>
    <row r="116" spans="1:3" ht="12" customHeight="1">
      <c r="A116" s="262" t="s">
        <v>123</v>
      </c>
      <c r="B116" s="11" t="s">
        <v>343</v>
      </c>
      <c r="C116" s="286">
        <f>14492698-1000000+71809476+15956160+214128350</f>
        <v>315386684</v>
      </c>
    </row>
    <row r="117" spans="1:3" ht="12" customHeight="1">
      <c r="A117" s="262" t="s">
        <v>124</v>
      </c>
      <c r="B117" s="11" t="s">
        <v>187</v>
      </c>
      <c r="C117" s="753">
        <f>53340000+1513000+2996000+809000+7509510+1000000+18459450+2866987+5566352+3795044+5929-203244-1286510+558800+9053657+200000+80010</f>
        <v>106263985</v>
      </c>
    </row>
    <row r="118" spans="1:3" ht="12" customHeight="1">
      <c r="A118" s="262" t="s">
        <v>125</v>
      </c>
      <c r="B118" s="11" t="s">
        <v>344</v>
      </c>
      <c r="C118" s="318">
        <f>53340000+1000000+3795044-203244</f>
        <v>57931800</v>
      </c>
    </row>
    <row r="119" spans="1:3" ht="12" customHeight="1">
      <c r="A119" s="262" t="s">
        <v>126</v>
      </c>
      <c r="B119" s="159" t="s">
        <v>205</v>
      </c>
      <c r="C119" s="237">
        <f>SUM(C120:C127)</f>
        <v>46904500</v>
      </c>
    </row>
    <row r="120" spans="1:3" ht="12" customHeight="1">
      <c r="A120" s="262" t="s">
        <v>135</v>
      </c>
      <c r="B120" s="158" t="s">
        <v>406</v>
      </c>
      <c r="C120" s="318"/>
    </row>
    <row r="121" spans="1:3" ht="12" customHeight="1">
      <c r="A121" s="262" t="s">
        <v>137</v>
      </c>
      <c r="B121" s="244" t="s">
        <v>349</v>
      </c>
      <c r="C121" s="318"/>
    </row>
    <row r="122" spans="1:3" ht="12" customHeight="1">
      <c r="A122" s="262" t="s">
        <v>188</v>
      </c>
      <c r="B122" s="92" t="s">
        <v>332</v>
      </c>
      <c r="C122" s="318"/>
    </row>
    <row r="123" spans="1:3" ht="12" customHeight="1">
      <c r="A123" s="262" t="s">
        <v>189</v>
      </c>
      <c r="B123" s="92" t="s">
        <v>348</v>
      </c>
      <c r="C123" s="318"/>
    </row>
    <row r="124" spans="1:3" ht="12" customHeight="1">
      <c r="A124" s="262" t="s">
        <v>190</v>
      </c>
      <c r="B124" s="92" t="s">
        <v>347</v>
      </c>
      <c r="C124" s="318"/>
    </row>
    <row r="125" spans="1:3" ht="12" customHeight="1">
      <c r="A125" s="262" t="s">
        <v>340</v>
      </c>
      <c r="B125" s="92" t="s">
        <v>335</v>
      </c>
      <c r="C125" s="318">
        <v>5000</v>
      </c>
    </row>
    <row r="126" spans="1:3" ht="12" customHeight="1">
      <c r="A126" s="262" t="s">
        <v>341</v>
      </c>
      <c r="B126" s="92" t="s">
        <v>346</v>
      </c>
      <c r="C126" s="318"/>
    </row>
    <row r="127" spans="1:3" ht="12" customHeight="1" thickBot="1">
      <c r="A127" s="271" t="s">
        <v>342</v>
      </c>
      <c r="B127" s="92" t="s">
        <v>345</v>
      </c>
      <c r="C127" s="758">
        <f>42072000+2400000+1348000+1079500</f>
        <v>46899500</v>
      </c>
    </row>
    <row r="128" spans="1:6" ht="12" customHeight="1" thickBot="1">
      <c r="A128" s="31" t="s">
        <v>42</v>
      </c>
      <c r="B128" s="87" t="s">
        <v>518</v>
      </c>
      <c r="C128" s="162">
        <f>+C93+C114</f>
        <v>1270880842</v>
      </c>
      <c r="F128" s="327"/>
    </row>
    <row r="129" spans="1:3" ht="12" customHeight="1" thickBot="1">
      <c r="A129" s="31" t="s">
        <v>43</v>
      </c>
      <c r="B129" s="87" t="s">
        <v>519</v>
      </c>
      <c r="C129" s="162">
        <f>+C130+C131+C132</f>
        <v>0</v>
      </c>
    </row>
    <row r="130" spans="1:3" s="67" customFormat="1" ht="12" customHeight="1">
      <c r="A130" s="262" t="s">
        <v>240</v>
      </c>
      <c r="B130" s="8" t="s">
        <v>564</v>
      </c>
      <c r="C130" s="318"/>
    </row>
    <row r="131" spans="1:3" ht="12" customHeight="1">
      <c r="A131" s="262" t="s">
        <v>243</v>
      </c>
      <c r="B131" s="8" t="s">
        <v>521</v>
      </c>
      <c r="C131" s="149"/>
    </row>
    <row r="132" spans="1:3" ht="12" customHeight="1" thickBot="1">
      <c r="A132" s="271" t="s">
        <v>244</v>
      </c>
      <c r="B132" s="6" t="s">
        <v>565</v>
      </c>
      <c r="C132" s="149"/>
    </row>
    <row r="133" spans="1:3" ht="12" customHeight="1" thickBot="1">
      <c r="A133" s="31" t="s">
        <v>44</v>
      </c>
      <c r="B133" s="87" t="s">
        <v>523</v>
      </c>
      <c r="C133" s="162">
        <f>+C134+C135+C136+C137+C138+C139</f>
        <v>0</v>
      </c>
    </row>
    <row r="134" spans="1:3" ht="12" customHeight="1">
      <c r="A134" s="262" t="s">
        <v>109</v>
      </c>
      <c r="B134" s="8" t="s">
        <v>524</v>
      </c>
      <c r="C134" s="149"/>
    </row>
    <row r="135" spans="1:3" ht="12" customHeight="1">
      <c r="A135" s="262" t="s">
        <v>110</v>
      </c>
      <c r="B135" s="8" t="s">
        <v>525</v>
      </c>
      <c r="C135" s="149"/>
    </row>
    <row r="136" spans="1:3" ht="12" customHeight="1">
      <c r="A136" s="262" t="s">
        <v>111</v>
      </c>
      <c r="B136" s="8" t="s">
        <v>526</v>
      </c>
      <c r="C136" s="149"/>
    </row>
    <row r="137" spans="1:3" ht="12" customHeight="1">
      <c r="A137" s="262" t="s">
        <v>175</v>
      </c>
      <c r="B137" s="8" t="s">
        <v>566</v>
      </c>
      <c r="C137" s="149"/>
    </row>
    <row r="138" spans="1:3" ht="12" customHeight="1">
      <c r="A138" s="262" t="s">
        <v>176</v>
      </c>
      <c r="B138" s="8" t="s">
        <v>528</v>
      </c>
      <c r="C138" s="149"/>
    </row>
    <row r="139" spans="1:3" s="67" customFormat="1" ht="12" customHeight="1" thickBot="1">
      <c r="A139" s="271" t="s">
        <v>177</v>
      </c>
      <c r="B139" s="6" t="s">
        <v>529</v>
      </c>
      <c r="C139" s="149"/>
    </row>
    <row r="140" spans="1:11" ht="12" customHeight="1" thickBot="1">
      <c r="A140" s="31" t="s">
        <v>45</v>
      </c>
      <c r="B140" s="87" t="s">
        <v>567</v>
      </c>
      <c r="C140" s="167">
        <f>+C141+C142+C144+C145+C143</f>
        <v>35164932</v>
      </c>
      <c r="K140" s="148"/>
    </row>
    <row r="141" spans="1:3" ht="12.75">
      <c r="A141" s="262" t="s">
        <v>112</v>
      </c>
      <c r="B141" s="8" t="s">
        <v>350</v>
      </c>
      <c r="C141" s="149"/>
    </row>
    <row r="142" spans="1:3" ht="12" customHeight="1">
      <c r="A142" s="262" t="s">
        <v>113</v>
      </c>
      <c r="B142" s="8" t="s">
        <v>351</v>
      </c>
      <c r="C142" s="149">
        <v>35164932</v>
      </c>
    </row>
    <row r="143" spans="1:3" s="67" customFormat="1" ht="12" customHeight="1">
      <c r="A143" s="262" t="s">
        <v>264</v>
      </c>
      <c r="B143" s="8" t="s">
        <v>568</v>
      </c>
      <c r="C143" s="149"/>
    </row>
    <row r="144" spans="1:3" s="67" customFormat="1" ht="12" customHeight="1">
      <c r="A144" s="262" t="s">
        <v>265</v>
      </c>
      <c r="B144" s="8" t="s">
        <v>531</v>
      </c>
      <c r="C144" s="149"/>
    </row>
    <row r="145" spans="1:3" s="67" customFormat="1" ht="12" customHeight="1" thickBot="1">
      <c r="A145" s="271" t="s">
        <v>266</v>
      </c>
      <c r="B145" s="6" t="s">
        <v>369</v>
      </c>
      <c r="C145" s="149"/>
    </row>
    <row r="146" spans="1:3" s="67" customFormat="1" ht="12" customHeight="1" thickBot="1">
      <c r="A146" s="31" t="s">
        <v>46</v>
      </c>
      <c r="B146" s="87" t="s">
        <v>532</v>
      </c>
      <c r="C146" s="170">
        <f>+C147+C148+C149+C150+C151</f>
        <v>0</v>
      </c>
    </row>
    <row r="147" spans="1:3" s="67" customFormat="1" ht="12" customHeight="1">
      <c r="A147" s="262" t="s">
        <v>114</v>
      </c>
      <c r="B147" s="8" t="s">
        <v>533</v>
      </c>
      <c r="C147" s="149"/>
    </row>
    <row r="148" spans="1:3" s="67" customFormat="1" ht="12" customHeight="1">
      <c r="A148" s="262" t="s">
        <v>115</v>
      </c>
      <c r="B148" s="8" t="s">
        <v>534</v>
      </c>
      <c r="C148" s="149"/>
    </row>
    <row r="149" spans="1:3" s="67" customFormat="1" ht="12" customHeight="1">
      <c r="A149" s="262" t="s">
        <v>276</v>
      </c>
      <c r="B149" s="8" t="s">
        <v>535</v>
      </c>
      <c r="C149" s="149"/>
    </row>
    <row r="150" spans="1:3" ht="12.75" customHeight="1">
      <c r="A150" s="262" t="s">
        <v>277</v>
      </c>
      <c r="B150" s="8" t="s">
        <v>569</v>
      </c>
      <c r="C150" s="149"/>
    </row>
    <row r="151" spans="1:3" ht="12.75" customHeight="1" thickBot="1">
      <c r="A151" s="271" t="s">
        <v>537</v>
      </c>
      <c r="B151" s="6" t="s">
        <v>538</v>
      </c>
      <c r="C151" s="150"/>
    </row>
    <row r="152" spans="1:3" ht="12.75" customHeight="1" thickBot="1">
      <c r="A152" s="314" t="s">
        <v>47</v>
      </c>
      <c r="B152" s="87" t="s">
        <v>539</v>
      </c>
      <c r="C152" s="170"/>
    </row>
    <row r="153" spans="1:3" ht="12" customHeight="1" thickBot="1">
      <c r="A153" s="314" t="s">
        <v>48</v>
      </c>
      <c r="B153" s="87" t="s">
        <v>540</v>
      </c>
      <c r="C153" s="170"/>
    </row>
    <row r="154" spans="1:3" ht="15" customHeight="1" thickBot="1">
      <c r="A154" s="31" t="s">
        <v>49</v>
      </c>
      <c r="B154" s="87" t="s">
        <v>541</v>
      </c>
      <c r="C154" s="258">
        <f>+C129+C133+C140+C146+C152+C153</f>
        <v>35164932</v>
      </c>
    </row>
    <row r="155" spans="1:6" ht="13.5" thickBot="1">
      <c r="A155" s="273" t="s">
        <v>50</v>
      </c>
      <c r="B155" s="233" t="s">
        <v>542</v>
      </c>
      <c r="C155" s="258">
        <f>+C128+C154</f>
        <v>1306045774</v>
      </c>
      <c r="F155" s="36"/>
    </row>
    <row r="156" ht="15" customHeight="1" thickBot="1"/>
    <row r="157" spans="1:3" ht="14.25" customHeight="1" thickBot="1">
      <c r="A157" s="145" t="s">
        <v>570</v>
      </c>
      <c r="B157" s="146"/>
      <c r="C157" s="86">
        <v>6</v>
      </c>
    </row>
    <row r="158" spans="1:3" ht="13.5" thickBot="1">
      <c r="A158" s="145" t="s">
        <v>199</v>
      </c>
      <c r="B158" s="146"/>
      <c r="C158" s="8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10. melléklet a 28/2017.(X.27.) önkormányzati rendelethez</oddHeader>
  </headerFooter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15" zoomScaleSheetLayoutView="85" workbookViewId="0" topLeftCell="A1">
      <selection activeCell="D2" sqref="D2"/>
    </sheetView>
  </sheetViews>
  <sheetFormatPr defaultColWidth="9.00390625" defaultRowHeight="12.75"/>
  <cols>
    <col min="1" max="1" width="19.50390625" style="423" customWidth="1"/>
    <col min="2" max="2" width="72.00390625" style="424" customWidth="1"/>
    <col min="3" max="3" width="25.00390625" style="425" customWidth="1"/>
    <col min="4" max="16384" width="9.375" style="2" customWidth="1"/>
  </cols>
  <sheetData>
    <row r="1" spans="1:3" s="1" customFormat="1" ht="16.5" customHeight="1" thickBot="1">
      <c r="A1" s="122"/>
      <c r="B1" s="124"/>
      <c r="C1" s="147"/>
    </row>
    <row r="2" spans="1:3" s="63" customFormat="1" ht="21" customHeight="1">
      <c r="A2" s="238" t="s">
        <v>84</v>
      </c>
      <c r="B2" s="213" t="s">
        <v>200</v>
      </c>
      <c r="C2" s="215" t="s">
        <v>75</v>
      </c>
    </row>
    <row r="3" spans="1:3" s="63" customFormat="1" ht="16.5" thickBot="1">
      <c r="A3" s="125" t="s">
        <v>196</v>
      </c>
      <c r="B3" s="214" t="s">
        <v>408</v>
      </c>
      <c r="C3" s="313" t="s">
        <v>83</v>
      </c>
    </row>
    <row r="4" spans="1:3" s="64" customFormat="1" ht="15.75" customHeight="1" thickBot="1">
      <c r="A4" s="126"/>
      <c r="B4" s="126"/>
      <c r="C4" s="127" t="s">
        <v>633</v>
      </c>
    </row>
    <row r="5" spans="1:3" ht="13.5" thickBot="1">
      <c r="A5" s="239" t="s">
        <v>198</v>
      </c>
      <c r="B5" s="128" t="s">
        <v>76</v>
      </c>
      <c r="C5" s="216" t="s">
        <v>77</v>
      </c>
    </row>
    <row r="6" spans="1:3" s="49" customFormat="1" ht="12.75" customHeight="1" thickBot="1">
      <c r="A6" s="100" t="s">
        <v>491</v>
      </c>
      <c r="B6" s="101" t="s">
        <v>492</v>
      </c>
      <c r="C6" s="102" t="s">
        <v>493</v>
      </c>
    </row>
    <row r="7" spans="1:3" s="49" customFormat="1" ht="15.75" customHeight="1" thickBot="1">
      <c r="A7" s="130"/>
      <c r="B7" s="131" t="s">
        <v>78</v>
      </c>
      <c r="C7" s="217"/>
    </row>
    <row r="8" spans="1:3" s="49" customFormat="1" ht="12" customHeight="1" thickBot="1">
      <c r="A8" s="31" t="s">
        <v>40</v>
      </c>
      <c r="B8" s="20" t="s">
        <v>224</v>
      </c>
      <c r="C8" s="162">
        <f>+C9+C10+C11+C12+C13+C14</f>
        <v>143252109</v>
      </c>
    </row>
    <row r="9" spans="1:3" s="65" customFormat="1" ht="12" customHeight="1">
      <c r="A9" s="262" t="s">
        <v>116</v>
      </c>
      <c r="B9" s="248" t="s">
        <v>225</v>
      </c>
      <c r="C9" s="164"/>
    </row>
    <row r="10" spans="1:3" s="66" customFormat="1" ht="12" customHeight="1">
      <c r="A10" s="263" t="s">
        <v>117</v>
      </c>
      <c r="B10" s="249" t="s">
        <v>226</v>
      </c>
      <c r="C10" s="166"/>
    </row>
    <row r="11" spans="1:3" s="66" customFormat="1" ht="12" customHeight="1">
      <c r="A11" s="263" t="s">
        <v>118</v>
      </c>
      <c r="B11" s="249" t="s">
        <v>227</v>
      </c>
      <c r="C11" s="166">
        <f>118423160+15562200-247960</f>
        <v>133737400</v>
      </c>
    </row>
    <row r="12" spans="1:3" s="66" customFormat="1" ht="12" customHeight="1">
      <c r="A12" s="263" t="s">
        <v>119</v>
      </c>
      <c r="B12" s="249" t="s">
        <v>228</v>
      </c>
      <c r="C12" s="166"/>
    </row>
    <row r="13" spans="1:3" s="66" customFormat="1" ht="12" customHeight="1">
      <c r="A13" s="263" t="s">
        <v>159</v>
      </c>
      <c r="B13" s="249" t="s">
        <v>555</v>
      </c>
      <c r="C13" s="166">
        <f>9514709</f>
        <v>9514709</v>
      </c>
    </row>
    <row r="14" spans="1:3" s="65" customFormat="1" ht="12" customHeight="1" thickBot="1">
      <c r="A14" s="264" t="s">
        <v>120</v>
      </c>
      <c r="B14" s="250" t="s">
        <v>495</v>
      </c>
      <c r="C14" s="166"/>
    </row>
    <row r="15" spans="1:3" s="65" customFormat="1" ht="12" customHeight="1" thickBot="1">
      <c r="A15" s="31" t="s">
        <v>41</v>
      </c>
      <c r="B15" s="157" t="s">
        <v>229</v>
      </c>
      <c r="C15" s="162">
        <f>+C16+C17+C18+C19+C20</f>
        <v>128391488</v>
      </c>
    </row>
    <row r="16" spans="1:3" s="65" customFormat="1" ht="12" customHeight="1">
      <c r="A16" s="262" t="s">
        <v>122</v>
      </c>
      <c r="B16" s="248" t="s">
        <v>230</v>
      </c>
      <c r="C16" s="164"/>
    </row>
    <row r="17" spans="1:3" s="65" customFormat="1" ht="12" customHeight="1">
      <c r="A17" s="263" t="s">
        <v>123</v>
      </c>
      <c r="B17" s="249" t="s">
        <v>231</v>
      </c>
      <c r="C17" s="163"/>
    </row>
    <row r="18" spans="1:3" s="65" customFormat="1" ht="12" customHeight="1">
      <c r="A18" s="263" t="s">
        <v>124</v>
      </c>
      <c r="B18" s="249" t="s">
        <v>400</v>
      </c>
      <c r="C18" s="163"/>
    </row>
    <row r="19" spans="1:3" s="65" customFormat="1" ht="12" customHeight="1">
      <c r="A19" s="263" t="s">
        <v>125</v>
      </c>
      <c r="B19" s="249" t="s">
        <v>401</v>
      </c>
      <c r="C19" s="163"/>
    </row>
    <row r="20" spans="1:3" s="65" customFormat="1" ht="12" customHeight="1">
      <c r="A20" s="263" t="s">
        <v>126</v>
      </c>
      <c r="B20" s="249" t="s">
        <v>232</v>
      </c>
      <c r="C20" s="166">
        <f>2285000+110446000+3111000+12549488</f>
        <v>128391488</v>
      </c>
    </row>
    <row r="21" spans="1:3" s="66" customFormat="1" ht="12" customHeight="1" thickBot="1">
      <c r="A21" s="264" t="s">
        <v>135</v>
      </c>
      <c r="B21" s="250" t="s">
        <v>233</v>
      </c>
      <c r="C21" s="165"/>
    </row>
    <row r="22" spans="1:3" s="66" customFormat="1" ht="12" customHeight="1" thickBot="1">
      <c r="A22" s="31" t="s">
        <v>42</v>
      </c>
      <c r="B22" s="20" t="s">
        <v>234</v>
      </c>
      <c r="C22" s="162">
        <f>+C23+C24+C25+C26+C27</f>
        <v>199720812</v>
      </c>
    </row>
    <row r="23" spans="1:3" s="66" customFormat="1" ht="12" customHeight="1">
      <c r="A23" s="262" t="s">
        <v>105</v>
      </c>
      <c r="B23" s="248" t="s">
        <v>235</v>
      </c>
      <c r="C23" s="164"/>
    </row>
    <row r="24" spans="1:3" s="65" customFormat="1" ht="12" customHeight="1">
      <c r="A24" s="263" t="s">
        <v>106</v>
      </c>
      <c r="B24" s="249" t="s">
        <v>236</v>
      </c>
      <c r="C24" s="163"/>
    </row>
    <row r="25" spans="1:3" s="66" customFormat="1" ht="12" customHeight="1">
      <c r="A25" s="263" t="s">
        <v>107</v>
      </c>
      <c r="B25" s="249" t="s">
        <v>402</v>
      </c>
      <c r="C25" s="163"/>
    </row>
    <row r="26" spans="1:3" s="66" customFormat="1" ht="12" customHeight="1">
      <c r="A26" s="263" t="s">
        <v>108</v>
      </c>
      <c r="B26" s="249" t="s">
        <v>403</v>
      </c>
      <c r="C26" s="163"/>
    </row>
    <row r="27" spans="1:3" s="66" customFormat="1" ht="12" customHeight="1">
      <c r="A27" s="263" t="s">
        <v>171</v>
      </c>
      <c r="B27" s="249" t="s">
        <v>237</v>
      </c>
      <c r="C27" s="166">
        <v>199720812</v>
      </c>
    </row>
    <row r="28" spans="1:3" s="66" customFormat="1" ht="12" customHeight="1" thickBot="1">
      <c r="A28" s="264" t="s">
        <v>172</v>
      </c>
      <c r="B28" s="250" t="s">
        <v>238</v>
      </c>
      <c r="C28" s="237">
        <v>199720812</v>
      </c>
    </row>
    <row r="29" spans="1:3" s="66" customFormat="1" ht="12" customHeight="1" thickBot="1">
      <c r="A29" s="31" t="s">
        <v>173</v>
      </c>
      <c r="B29" s="20" t="s">
        <v>239</v>
      </c>
      <c r="C29" s="162">
        <f>+C30+C34+C35+C36</f>
        <v>0</v>
      </c>
    </row>
    <row r="30" spans="1:3" s="66" customFormat="1" ht="12" customHeight="1">
      <c r="A30" s="262" t="s">
        <v>240</v>
      </c>
      <c r="B30" s="248" t="s">
        <v>556</v>
      </c>
      <c r="C30" s="243">
        <f>+C31+C32+C33</f>
        <v>0</v>
      </c>
    </row>
    <row r="31" spans="1:3" s="66" customFormat="1" ht="12" customHeight="1">
      <c r="A31" s="263" t="s">
        <v>241</v>
      </c>
      <c r="B31" s="249" t="s">
        <v>246</v>
      </c>
      <c r="C31" s="163"/>
    </row>
    <row r="32" spans="1:3" s="66" customFormat="1" ht="12" customHeight="1">
      <c r="A32" s="263" t="s">
        <v>242</v>
      </c>
      <c r="B32" s="249" t="s">
        <v>247</v>
      </c>
      <c r="C32" s="163"/>
    </row>
    <row r="33" spans="1:3" s="66" customFormat="1" ht="12" customHeight="1">
      <c r="A33" s="263" t="s">
        <v>497</v>
      </c>
      <c r="B33" s="301" t="s">
        <v>498</v>
      </c>
      <c r="C33" s="163"/>
    </row>
    <row r="34" spans="1:3" s="66" customFormat="1" ht="12" customHeight="1">
      <c r="A34" s="263" t="s">
        <v>243</v>
      </c>
      <c r="B34" s="249" t="s">
        <v>248</v>
      </c>
      <c r="C34" s="163"/>
    </row>
    <row r="35" spans="1:3" s="66" customFormat="1" ht="12" customHeight="1">
      <c r="A35" s="263" t="s">
        <v>244</v>
      </c>
      <c r="B35" s="249" t="s">
        <v>249</v>
      </c>
      <c r="C35" s="163"/>
    </row>
    <row r="36" spans="1:3" s="66" customFormat="1" ht="12" customHeight="1" thickBot="1">
      <c r="A36" s="264" t="s">
        <v>245</v>
      </c>
      <c r="B36" s="250" t="s">
        <v>250</v>
      </c>
      <c r="C36" s="165"/>
    </row>
    <row r="37" spans="1:3" s="66" customFormat="1" ht="12" customHeight="1" thickBot="1">
      <c r="A37" s="31" t="s">
        <v>44</v>
      </c>
      <c r="B37" s="20" t="s">
        <v>499</v>
      </c>
      <c r="C37" s="162">
        <f>SUM(C38:C48)</f>
        <v>12219000</v>
      </c>
    </row>
    <row r="38" spans="1:3" s="66" customFormat="1" ht="12" customHeight="1">
      <c r="A38" s="262" t="s">
        <v>109</v>
      </c>
      <c r="B38" s="248" t="s">
        <v>253</v>
      </c>
      <c r="C38" s="164">
        <f>3937000+5500000</f>
        <v>9437000</v>
      </c>
    </row>
    <row r="39" spans="1:3" s="66" customFormat="1" ht="12" customHeight="1">
      <c r="A39" s="263" t="s">
        <v>110</v>
      </c>
      <c r="B39" s="249" t="s">
        <v>254</v>
      </c>
      <c r="C39" s="163">
        <f>160000</f>
        <v>160000</v>
      </c>
    </row>
    <row r="40" spans="1:3" s="66" customFormat="1" ht="12" customHeight="1">
      <c r="A40" s="263" t="s">
        <v>111</v>
      </c>
      <c r="B40" s="249" t="s">
        <v>255</v>
      </c>
      <c r="C40" s="163"/>
    </row>
    <row r="41" spans="1:3" s="66" customFormat="1" ht="12" customHeight="1">
      <c r="A41" s="263" t="s">
        <v>175</v>
      </c>
      <c r="B41" s="249" t="s">
        <v>256</v>
      </c>
      <c r="C41" s="163"/>
    </row>
    <row r="42" spans="1:3" s="66" customFormat="1" ht="12" customHeight="1">
      <c r="A42" s="263" t="s">
        <v>176</v>
      </c>
      <c r="B42" s="249" t="s">
        <v>257</v>
      </c>
      <c r="C42" s="163"/>
    </row>
    <row r="43" spans="1:3" s="66" customFormat="1" ht="12" customHeight="1">
      <c r="A43" s="263" t="s">
        <v>177</v>
      </c>
      <c r="B43" s="249" t="s">
        <v>258</v>
      </c>
      <c r="C43" s="163">
        <f>1063000+44000+1485000</f>
        <v>2592000</v>
      </c>
    </row>
    <row r="44" spans="1:3" s="66" customFormat="1" ht="12" customHeight="1">
      <c r="A44" s="263" t="s">
        <v>178</v>
      </c>
      <c r="B44" s="249" t="s">
        <v>259</v>
      </c>
      <c r="C44" s="163"/>
    </row>
    <row r="45" spans="1:3" s="66" customFormat="1" ht="12" customHeight="1">
      <c r="A45" s="263" t="s">
        <v>179</v>
      </c>
      <c r="B45" s="249" t="s">
        <v>260</v>
      </c>
      <c r="C45" s="163">
        <v>30000</v>
      </c>
    </row>
    <row r="46" spans="1:3" s="66" customFormat="1" ht="12" customHeight="1">
      <c r="A46" s="263" t="s">
        <v>251</v>
      </c>
      <c r="B46" s="249" t="s">
        <v>261</v>
      </c>
      <c r="C46" s="163"/>
    </row>
    <row r="47" spans="1:3" s="66" customFormat="1" ht="12" customHeight="1">
      <c r="A47" s="264" t="s">
        <v>252</v>
      </c>
      <c r="B47" s="250" t="s">
        <v>500</v>
      </c>
      <c r="C47" s="165"/>
    </row>
    <row r="48" spans="1:3" s="66" customFormat="1" ht="12" customHeight="1" thickBot="1">
      <c r="A48" s="264" t="s">
        <v>501</v>
      </c>
      <c r="B48" s="250" t="s">
        <v>262</v>
      </c>
      <c r="C48" s="165"/>
    </row>
    <row r="49" spans="1:3" s="66" customFormat="1" ht="12" customHeight="1" thickBot="1">
      <c r="A49" s="31" t="s">
        <v>45</v>
      </c>
      <c r="B49" s="20" t="s">
        <v>263</v>
      </c>
      <c r="C49" s="162">
        <f>SUM(C50:C54)</f>
        <v>0</v>
      </c>
    </row>
    <row r="50" spans="1:3" s="66" customFormat="1" ht="12" customHeight="1">
      <c r="A50" s="262" t="s">
        <v>112</v>
      </c>
      <c r="B50" s="248" t="s">
        <v>267</v>
      </c>
      <c r="C50" s="164"/>
    </row>
    <row r="51" spans="1:3" s="66" customFormat="1" ht="12" customHeight="1">
      <c r="A51" s="263" t="s">
        <v>113</v>
      </c>
      <c r="B51" s="249" t="s">
        <v>268</v>
      </c>
      <c r="C51" s="163"/>
    </row>
    <row r="52" spans="1:3" s="66" customFormat="1" ht="12" customHeight="1">
      <c r="A52" s="263" t="s">
        <v>264</v>
      </c>
      <c r="B52" s="249" t="s">
        <v>269</v>
      </c>
      <c r="C52" s="163"/>
    </row>
    <row r="53" spans="1:3" s="66" customFormat="1" ht="12" customHeight="1">
      <c r="A53" s="263" t="s">
        <v>265</v>
      </c>
      <c r="B53" s="249" t="s">
        <v>270</v>
      </c>
      <c r="C53" s="163"/>
    </row>
    <row r="54" spans="1:3" s="66" customFormat="1" ht="12" customHeight="1" thickBot="1">
      <c r="A54" s="264" t="s">
        <v>266</v>
      </c>
      <c r="B54" s="250" t="s">
        <v>271</v>
      </c>
      <c r="C54" s="165"/>
    </row>
    <row r="55" spans="1:3" s="66" customFormat="1" ht="12" customHeight="1" thickBot="1">
      <c r="A55" s="31" t="s">
        <v>180</v>
      </c>
      <c r="B55" s="20" t="s">
        <v>272</v>
      </c>
      <c r="C55" s="162">
        <f>SUM(C56:C58)</f>
        <v>1566000</v>
      </c>
    </row>
    <row r="56" spans="1:3" s="66" customFormat="1" ht="12" customHeight="1">
      <c r="A56" s="262" t="s">
        <v>114</v>
      </c>
      <c r="B56" s="248" t="s">
        <v>273</v>
      </c>
      <c r="C56" s="164"/>
    </row>
    <row r="57" spans="1:3" s="66" customFormat="1" ht="12" customHeight="1">
      <c r="A57" s="263" t="s">
        <v>115</v>
      </c>
      <c r="B57" s="249" t="s">
        <v>404</v>
      </c>
      <c r="C57" s="163">
        <v>1566000</v>
      </c>
    </row>
    <row r="58" spans="1:3" s="66" customFormat="1" ht="12" customHeight="1">
      <c r="A58" s="263" t="s">
        <v>276</v>
      </c>
      <c r="B58" s="249" t="s">
        <v>274</v>
      </c>
      <c r="C58" s="163"/>
    </row>
    <row r="59" spans="1:3" s="66" customFormat="1" ht="12" customHeight="1" thickBot="1">
      <c r="A59" s="264" t="s">
        <v>277</v>
      </c>
      <c r="B59" s="250" t="s">
        <v>275</v>
      </c>
      <c r="C59" s="165"/>
    </row>
    <row r="60" spans="1:3" s="66" customFormat="1" ht="12" customHeight="1" thickBot="1">
      <c r="A60" s="31" t="s">
        <v>47</v>
      </c>
      <c r="B60" s="157" t="s">
        <v>278</v>
      </c>
      <c r="C60" s="162">
        <f>SUM(C61:C63)</f>
        <v>0</v>
      </c>
    </row>
    <row r="61" spans="1:3" s="66" customFormat="1" ht="12" customHeight="1">
      <c r="A61" s="262" t="s">
        <v>181</v>
      </c>
      <c r="B61" s="248" t="s">
        <v>280</v>
      </c>
      <c r="C61" s="163"/>
    </row>
    <row r="62" spans="1:3" s="66" customFormat="1" ht="12" customHeight="1">
      <c r="A62" s="263" t="s">
        <v>182</v>
      </c>
      <c r="B62" s="249" t="s">
        <v>405</v>
      </c>
      <c r="C62" s="163"/>
    </row>
    <row r="63" spans="1:3" s="66" customFormat="1" ht="12" customHeight="1">
      <c r="A63" s="263" t="s">
        <v>204</v>
      </c>
      <c r="B63" s="249" t="s">
        <v>281</v>
      </c>
      <c r="C63" s="163"/>
    </row>
    <row r="64" spans="1:3" s="66" customFormat="1" ht="12" customHeight="1" thickBot="1">
      <c r="A64" s="264" t="s">
        <v>279</v>
      </c>
      <c r="B64" s="250" t="s">
        <v>282</v>
      </c>
      <c r="C64" s="163"/>
    </row>
    <row r="65" spans="1:3" s="66" customFormat="1" ht="12" customHeight="1" thickBot="1">
      <c r="A65" s="31" t="s">
        <v>48</v>
      </c>
      <c r="B65" s="20" t="s">
        <v>283</v>
      </c>
      <c r="C65" s="162">
        <f>+C8+C15+C22+C29+C37+C49+C55+C60</f>
        <v>485149409</v>
      </c>
    </row>
    <row r="66" spans="1:3" s="66" customFormat="1" ht="12" customHeight="1" thickBot="1">
      <c r="A66" s="265" t="s">
        <v>373</v>
      </c>
      <c r="B66" s="157" t="s">
        <v>285</v>
      </c>
      <c r="C66" s="162">
        <f>SUM(C67:C69)</f>
        <v>182000000</v>
      </c>
    </row>
    <row r="67" spans="1:3" s="66" customFormat="1" ht="12" customHeight="1">
      <c r="A67" s="262" t="s">
        <v>316</v>
      </c>
      <c r="B67" s="248" t="s">
        <v>286</v>
      </c>
      <c r="C67" s="163">
        <f>44100000+37900000</f>
        <v>82000000</v>
      </c>
    </row>
    <row r="68" spans="1:3" s="66" customFormat="1" ht="12" customHeight="1">
      <c r="A68" s="263" t="s">
        <v>325</v>
      </c>
      <c r="B68" s="249" t="s">
        <v>287</v>
      </c>
      <c r="C68" s="163">
        <v>100000000</v>
      </c>
    </row>
    <row r="69" spans="1:3" s="66" customFormat="1" ht="12" customHeight="1" thickBot="1">
      <c r="A69" s="264" t="s">
        <v>326</v>
      </c>
      <c r="B69" s="251" t="s">
        <v>288</v>
      </c>
      <c r="C69" s="163"/>
    </row>
    <row r="70" spans="1:3" s="66" customFormat="1" ht="12" customHeight="1" thickBot="1">
      <c r="A70" s="265" t="s">
        <v>289</v>
      </c>
      <c r="B70" s="157" t="s">
        <v>290</v>
      </c>
      <c r="C70" s="409">
        <f>SUM(C71:C74)</f>
        <v>0</v>
      </c>
    </row>
    <row r="71" spans="1:3" s="66" customFormat="1" ht="12" customHeight="1">
      <c r="A71" s="262" t="s">
        <v>160</v>
      </c>
      <c r="B71" s="248" t="s">
        <v>291</v>
      </c>
      <c r="C71" s="163"/>
    </row>
    <row r="72" spans="1:3" s="66" customFormat="1" ht="12" customHeight="1">
      <c r="A72" s="263" t="s">
        <v>161</v>
      </c>
      <c r="B72" s="249" t="s">
        <v>292</v>
      </c>
      <c r="C72" s="163"/>
    </row>
    <row r="73" spans="1:3" s="66" customFormat="1" ht="12" customHeight="1">
      <c r="A73" s="263" t="s">
        <v>317</v>
      </c>
      <c r="B73" s="249" t="s">
        <v>293</v>
      </c>
      <c r="C73" s="163"/>
    </row>
    <row r="74" spans="1:3" s="66" customFormat="1" ht="12" customHeight="1" thickBot="1">
      <c r="A74" s="264" t="s">
        <v>318</v>
      </c>
      <c r="B74" s="250" t="s">
        <v>294</v>
      </c>
      <c r="C74" s="163"/>
    </row>
    <row r="75" spans="1:3" s="66" customFormat="1" ht="12" customHeight="1" thickBot="1">
      <c r="A75" s="265" t="s">
        <v>295</v>
      </c>
      <c r="B75" s="157" t="s">
        <v>296</v>
      </c>
      <c r="C75" s="409">
        <f>SUM(C76:C77)</f>
        <v>0</v>
      </c>
    </row>
    <row r="76" spans="1:3" s="66" customFormat="1" ht="12" customHeight="1">
      <c r="A76" s="262" t="s">
        <v>319</v>
      </c>
      <c r="B76" s="248" t="s">
        <v>297</v>
      </c>
      <c r="C76" s="163"/>
    </row>
    <row r="77" spans="1:3" s="66" customFormat="1" ht="12" customHeight="1" thickBot="1">
      <c r="A77" s="264" t="s">
        <v>320</v>
      </c>
      <c r="B77" s="250" t="s">
        <v>298</v>
      </c>
      <c r="C77" s="163"/>
    </row>
    <row r="78" spans="1:3" s="65" customFormat="1" ht="12" customHeight="1" thickBot="1">
      <c r="A78" s="265" t="s">
        <v>299</v>
      </c>
      <c r="B78" s="157" t="s">
        <v>300</v>
      </c>
      <c r="C78" s="162">
        <f>SUM(C79:C81)</f>
        <v>0</v>
      </c>
    </row>
    <row r="79" spans="1:3" s="66" customFormat="1" ht="12" customHeight="1">
      <c r="A79" s="262" t="s">
        <v>321</v>
      </c>
      <c r="B79" s="248" t="s">
        <v>301</v>
      </c>
      <c r="C79" s="163"/>
    </row>
    <row r="80" spans="1:3" s="66" customFormat="1" ht="12" customHeight="1">
      <c r="A80" s="263" t="s">
        <v>322</v>
      </c>
      <c r="B80" s="249" t="s">
        <v>302</v>
      </c>
      <c r="C80" s="163"/>
    </row>
    <row r="81" spans="1:3" s="66" customFormat="1" ht="12" customHeight="1" thickBot="1">
      <c r="A81" s="264" t="s">
        <v>323</v>
      </c>
      <c r="B81" s="250" t="s">
        <v>303</v>
      </c>
      <c r="C81" s="163"/>
    </row>
    <row r="82" spans="1:3" s="66" customFormat="1" ht="12" customHeight="1" thickBot="1">
      <c r="A82" s="265" t="s">
        <v>304</v>
      </c>
      <c r="B82" s="157" t="s">
        <v>324</v>
      </c>
      <c r="C82" s="162">
        <f>SUM(C83:C86)</f>
        <v>0</v>
      </c>
    </row>
    <row r="83" spans="1:3" s="66" customFormat="1" ht="12" customHeight="1">
      <c r="A83" s="266" t="s">
        <v>305</v>
      </c>
      <c r="B83" s="248" t="s">
        <v>306</v>
      </c>
      <c r="C83" s="163"/>
    </row>
    <row r="84" spans="1:3" s="66" customFormat="1" ht="12" customHeight="1">
      <c r="A84" s="267" t="s">
        <v>307</v>
      </c>
      <c r="B84" s="249" t="s">
        <v>308</v>
      </c>
      <c r="C84" s="163"/>
    </row>
    <row r="85" spans="1:3" s="66" customFormat="1" ht="12" customHeight="1">
      <c r="A85" s="267" t="s">
        <v>309</v>
      </c>
      <c r="B85" s="249" t="s">
        <v>310</v>
      </c>
      <c r="C85" s="163"/>
    </row>
    <row r="86" spans="1:3" s="65" customFormat="1" ht="12" customHeight="1" thickBot="1">
      <c r="A86" s="268" t="s">
        <v>311</v>
      </c>
      <c r="B86" s="250" t="s">
        <v>312</v>
      </c>
      <c r="C86" s="163"/>
    </row>
    <row r="87" spans="1:3" s="65" customFormat="1" ht="12" customHeight="1" thickBot="1">
      <c r="A87" s="265" t="s">
        <v>313</v>
      </c>
      <c r="B87" s="157" t="s">
        <v>504</v>
      </c>
      <c r="C87" s="287"/>
    </row>
    <row r="88" spans="1:3" s="65" customFormat="1" ht="12" customHeight="1" thickBot="1">
      <c r="A88" s="265" t="s">
        <v>557</v>
      </c>
      <c r="B88" s="157" t="s">
        <v>314</v>
      </c>
      <c r="C88" s="287"/>
    </row>
    <row r="89" spans="1:3" s="65" customFormat="1" ht="12" customHeight="1" thickBot="1">
      <c r="A89" s="265" t="s">
        <v>558</v>
      </c>
      <c r="B89" s="255" t="s">
        <v>505</v>
      </c>
      <c r="C89" s="162">
        <f>+C66+C70+C75+C78+C82+C88+C87</f>
        <v>182000000</v>
      </c>
    </row>
    <row r="90" spans="1:3" s="65" customFormat="1" ht="12" customHeight="1" thickBot="1">
      <c r="A90" s="269" t="s">
        <v>559</v>
      </c>
      <c r="B90" s="256" t="s">
        <v>560</v>
      </c>
      <c r="C90" s="162">
        <f>+C65+C89</f>
        <v>667149409</v>
      </c>
    </row>
    <row r="91" spans="1:3" s="66" customFormat="1" ht="15" customHeight="1" thickBot="1">
      <c r="A91" s="136"/>
      <c r="B91" s="137"/>
      <c r="C91" s="222"/>
    </row>
    <row r="92" spans="1:3" s="49" customFormat="1" ht="16.5" customHeight="1" thickBot="1">
      <c r="A92" s="140"/>
      <c r="B92" s="141" t="s">
        <v>79</v>
      </c>
      <c r="C92" s="224"/>
    </row>
    <row r="93" spans="1:3" s="67" customFormat="1" ht="12" customHeight="1" thickBot="1">
      <c r="A93" s="240" t="s">
        <v>40</v>
      </c>
      <c r="B93" s="25" t="s">
        <v>571</v>
      </c>
      <c r="C93" s="161">
        <f>+C94+C95+C96+C97+C98+C111</f>
        <v>73677168</v>
      </c>
    </row>
    <row r="94" spans="1:3" ht="12" customHeight="1">
      <c r="A94" s="270" t="s">
        <v>116</v>
      </c>
      <c r="B94" s="9" t="s">
        <v>71</v>
      </c>
      <c r="C94" s="756">
        <f>310000+175000+172000+24000+3882000+3749000-282000+589000+24000+76000+2550000+481496+3375000+4000+2921000</f>
        <v>18050496</v>
      </c>
    </row>
    <row r="95" spans="1:3" ht="12" customHeight="1">
      <c r="A95" s="263" t="s">
        <v>117</v>
      </c>
      <c r="B95" s="7" t="s">
        <v>183</v>
      </c>
      <c r="C95" s="753">
        <f>62000+33000+48000+808000+1652000-63900+117000+10800+37984+561000+210221+911250+578359</f>
        <v>4965714</v>
      </c>
    </row>
    <row r="96" spans="1:3" ht="12" customHeight="1">
      <c r="A96" s="263" t="s">
        <v>118</v>
      </c>
      <c r="B96" s="7" t="s">
        <v>152</v>
      </c>
      <c r="C96" s="237">
        <f>4801000+800001+376000+120000+386000+50000+18800+32000+22000+11212000+1682000+295900+401000+411000+1600000+26600000+7585000+80000-800001+143504+138750-19000000-4000</f>
        <v>36950954</v>
      </c>
    </row>
    <row r="97" spans="1:3" ht="12" customHeight="1">
      <c r="A97" s="263" t="s">
        <v>119</v>
      </c>
      <c r="B97" s="10" t="s">
        <v>184</v>
      </c>
      <c r="C97" s="237"/>
    </row>
    <row r="98" spans="1:3" ht="12" customHeight="1">
      <c r="A98" s="263" t="s">
        <v>130</v>
      </c>
      <c r="B98" s="18" t="s">
        <v>185</v>
      </c>
      <c r="C98" s="237">
        <f>SUM(C99:C110)</f>
        <v>13710004</v>
      </c>
    </row>
    <row r="99" spans="1:3" ht="12" customHeight="1">
      <c r="A99" s="263" t="s">
        <v>120</v>
      </c>
      <c r="B99" s="7" t="s">
        <v>561</v>
      </c>
      <c r="C99" s="757">
        <f>2792500+6504</f>
        <v>2799004</v>
      </c>
    </row>
    <row r="100" spans="1:3" ht="12" customHeight="1">
      <c r="A100" s="263" t="s">
        <v>121</v>
      </c>
      <c r="B100" s="91" t="s">
        <v>509</v>
      </c>
      <c r="C100" s="237"/>
    </row>
    <row r="101" spans="1:3" ht="12" customHeight="1">
      <c r="A101" s="263" t="s">
        <v>131</v>
      </c>
      <c r="B101" s="91" t="s">
        <v>510</v>
      </c>
      <c r="C101" s="237"/>
    </row>
    <row r="102" spans="1:3" ht="12" customHeight="1">
      <c r="A102" s="263" t="s">
        <v>132</v>
      </c>
      <c r="B102" s="91" t="s">
        <v>330</v>
      </c>
      <c r="C102" s="237"/>
    </row>
    <row r="103" spans="1:3" ht="12" customHeight="1">
      <c r="A103" s="263" t="s">
        <v>133</v>
      </c>
      <c r="B103" s="92" t="s">
        <v>331</v>
      </c>
      <c r="C103" s="237"/>
    </row>
    <row r="104" spans="1:3" ht="12" customHeight="1">
      <c r="A104" s="263" t="s">
        <v>134</v>
      </c>
      <c r="B104" s="92" t="s">
        <v>332</v>
      </c>
      <c r="C104" s="237"/>
    </row>
    <row r="105" spans="1:3" ht="12" customHeight="1">
      <c r="A105" s="263" t="s">
        <v>136</v>
      </c>
      <c r="B105" s="91" t="s">
        <v>333</v>
      </c>
      <c r="C105" s="237"/>
    </row>
    <row r="106" spans="1:3" ht="12" customHeight="1">
      <c r="A106" s="263" t="s">
        <v>186</v>
      </c>
      <c r="B106" s="91" t="s">
        <v>334</v>
      </c>
      <c r="C106" s="237"/>
    </row>
    <row r="107" spans="1:3" ht="12" customHeight="1">
      <c r="A107" s="263" t="s">
        <v>328</v>
      </c>
      <c r="B107" s="92" t="s">
        <v>335</v>
      </c>
      <c r="C107" s="237"/>
    </row>
    <row r="108" spans="1:3" ht="12" customHeight="1">
      <c r="A108" s="271" t="s">
        <v>329</v>
      </c>
      <c r="B108" s="93" t="s">
        <v>336</v>
      </c>
      <c r="C108" s="237"/>
    </row>
    <row r="109" spans="1:3" ht="12" customHeight="1">
      <c r="A109" s="263" t="s">
        <v>511</v>
      </c>
      <c r="B109" s="93" t="s">
        <v>337</v>
      </c>
      <c r="C109" s="237"/>
    </row>
    <row r="110" spans="1:3" ht="12" customHeight="1">
      <c r="A110" s="263" t="s">
        <v>512</v>
      </c>
      <c r="B110" s="92" t="s">
        <v>338</v>
      </c>
      <c r="C110" s="753">
        <f>5000000+800000+150000+50000+163000+4568000+100000+80000</f>
        <v>10911000</v>
      </c>
    </row>
    <row r="111" spans="1:3" ht="12" customHeight="1">
      <c r="A111" s="263" t="s">
        <v>513</v>
      </c>
      <c r="B111" s="10" t="s">
        <v>72</v>
      </c>
      <c r="C111" s="166"/>
    </row>
    <row r="112" spans="1:3" ht="12" customHeight="1">
      <c r="A112" s="264" t="s">
        <v>514</v>
      </c>
      <c r="B112" s="7" t="s">
        <v>562</v>
      </c>
      <c r="C112" s="165"/>
    </row>
    <row r="113" spans="1:3" ht="12" customHeight="1" thickBot="1">
      <c r="A113" s="272" t="s">
        <v>516</v>
      </c>
      <c r="B113" s="94" t="s">
        <v>563</v>
      </c>
      <c r="C113" s="169"/>
    </row>
    <row r="114" spans="1:3" ht="12" customHeight="1" thickBot="1">
      <c r="A114" s="31" t="s">
        <v>41</v>
      </c>
      <c r="B114" s="24" t="s">
        <v>339</v>
      </c>
      <c r="C114" s="162">
        <f>+C115+C117+C119</f>
        <v>230463535</v>
      </c>
    </row>
    <row r="115" spans="1:3" ht="12" customHeight="1">
      <c r="A115" s="262" t="s">
        <v>122</v>
      </c>
      <c r="B115" s="7" t="s">
        <v>203</v>
      </c>
      <c r="C115" s="754">
        <f>2963001+300001+90200+301000-300001-2921000</f>
        <v>433201</v>
      </c>
    </row>
    <row r="116" spans="1:3" ht="12" customHeight="1">
      <c r="A116" s="262" t="s">
        <v>123</v>
      </c>
      <c r="B116" s="11" t="s">
        <v>343</v>
      </c>
      <c r="C116" s="286"/>
    </row>
    <row r="117" spans="1:3" ht="12" customHeight="1">
      <c r="A117" s="262" t="s">
        <v>124</v>
      </c>
      <c r="B117" s="11" t="s">
        <v>187</v>
      </c>
      <c r="C117" s="166">
        <f>21000000+300001+18700651+189429682</f>
        <v>229430334</v>
      </c>
    </row>
    <row r="118" spans="1:3" ht="12" customHeight="1">
      <c r="A118" s="262" t="s">
        <v>125</v>
      </c>
      <c r="B118" s="11" t="s">
        <v>344</v>
      </c>
      <c r="C118" s="318">
        <v>189429682</v>
      </c>
    </row>
    <row r="119" spans="1:3" ht="12" customHeight="1">
      <c r="A119" s="262" t="s">
        <v>126</v>
      </c>
      <c r="B119" s="159" t="s">
        <v>205</v>
      </c>
      <c r="C119" s="318">
        <f>SUM(C120:C127)</f>
        <v>600000</v>
      </c>
    </row>
    <row r="120" spans="1:3" ht="12" customHeight="1">
      <c r="A120" s="262" t="s">
        <v>135</v>
      </c>
      <c r="B120" s="158" t="s">
        <v>406</v>
      </c>
      <c r="C120" s="318"/>
    </row>
    <row r="121" spans="1:3" ht="12" customHeight="1">
      <c r="A121" s="262" t="s">
        <v>137</v>
      </c>
      <c r="B121" s="244" t="s">
        <v>349</v>
      </c>
      <c r="C121" s="318"/>
    </row>
    <row r="122" spans="1:3" ht="12" customHeight="1">
      <c r="A122" s="262" t="s">
        <v>188</v>
      </c>
      <c r="B122" s="92" t="s">
        <v>332</v>
      </c>
      <c r="C122" s="324"/>
    </row>
    <row r="123" spans="1:3" ht="12" customHeight="1">
      <c r="A123" s="262" t="s">
        <v>189</v>
      </c>
      <c r="B123" s="92" t="s">
        <v>348</v>
      </c>
      <c r="C123" s="324"/>
    </row>
    <row r="124" spans="1:3" ht="12" customHeight="1">
      <c r="A124" s="262" t="s">
        <v>190</v>
      </c>
      <c r="B124" s="92" t="s">
        <v>347</v>
      </c>
      <c r="C124" s="324"/>
    </row>
    <row r="125" spans="1:3" ht="12" customHeight="1">
      <c r="A125" s="262" t="s">
        <v>340</v>
      </c>
      <c r="B125" s="92" t="s">
        <v>335</v>
      </c>
      <c r="C125" s="324"/>
    </row>
    <row r="126" spans="1:3" ht="12" customHeight="1">
      <c r="A126" s="262" t="s">
        <v>341</v>
      </c>
      <c r="B126" s="92" t="s">
        <v>346</v>
      </c>
      <c r="C126" s="324"/>
    </row>
    <row r="127" spans="1:3" ht="12" customHeight="1" thickBot="1">
      <c r="A127" s="271" t="s">
        <v>342</v>
      </c>
      <c r="B127" s="92" t="s">
        <v>345</v>
      </c>
      <c r="C127" s="323">
        <v>600000</v>
      </c>
    </row>
    <row r="128" spans="1:3" ht="12" customHeight="1" thickBot="1">
      <c r="A128" s="31" t="s">
        <v>42</v>
      </c>
      <c r="B128" s="87" t="s">
        <v>518</v>
      </c>
      <c r="C128" s="162">
        <f>+C93+C114</f>
        <v>304140703</v>
      </c>
    </row>
    <row r="129" spans="1:3" ht="12" customHeight="1" thickBot="1">
      <c r="A129" s="31" t="s">
        <v>43</v>
      </c>
      <c r="B129" s="87" t="s">
        <v>519</v>
      </c>
      <c r="C129" s="162">
        <f>+C130+C131+C132</f>
        <v>103161000</v>
      </c>
    </row>
    <row r="130" spans="1:3" s="67" customFormat="1" ht="12" customHeight="1">
      <c r="A130" s="262" t="s">
        <v>240</v>
      </c>
      <c r="B130" s="8" t="s">
        <v>564</v>
      </c>
      <c r="C130" s="318">
        <v>3161000</v>
      </c>
    </row>
    <row r="131" spans="1:3" ht="12" customHeight="1">
      <c r="A131" s="262" t="s">
        <v>243</v>
      </c>
      <c r="B131" s="8" t="s">
        <v>521</v>
      </c>
      <c r="C131" s="149">
        <v>100000000</v>
      </c>
    </row>
    <row r="132" spans="1:3" ht="12" customHeight="1" thickBot="1">
      <c r="A132" s="271" t="s">
        <v>244</v>
      </c>
      <c r="B132" s="6" t="s">
        <v>565</v>
      </c>
      <c r="C132" s="149"/>
    </row>
    <row r="133" spans="1:3" ht="12" customHeight="1" thickBot="1">
      <c r="A133" s="31" t="s">
        <v>44</v>
      </c>
      <c r="B133" s="87" t="s">
        <v>523</v>
      </c>
      <c r="C133" s="162">
        <f>+C134+C135+C136+C137+C138+C139</f>
        <v>0</v>
      </c>
    </row>
    <row r="134" spans="1:3" ht="12" customHeight="1">
      <c r="A134" s="262" t="s">
        <v>109</v>
      </c>
      <c r="B134" s="8" t="s">
        <v>524</v>
      </c>
      <c r="C134" s="149"/>
    </row>
    <row r="135" spans="1:3" ht="12" customHeight="1">
      <c r="A135" s="262" t="s">
        <v>110</v>
      </c>
      <c r="B135" s="8" t="s">
        <v>525</v>
      </c>
      <c r="C135" s="149"/>
    </row>
    <row r="136" spans="1:3" ht="12" customHeight="1">
      <c r="A136" s="262" t="s">
        <v>111</v>
      </c>
      <c r="B136" s="8" t="s">
        <v>526</v>
      </c>
      <c r="C136" s="149"/>
    </row>
    <row r="137" spans="1:3" ht="12" customHeight="1">
      <c r="A137" s="262" t="s">
        <v>175</v>
      </c>
      <c r="B137" s="8" t="s">
        <v>566</v>
      </c>
      <c r="C137" s="149"/>
    </row>
    <row r="138" spans="1:3" ht="12" customHeight="1">
      <c r="A138" s="262" t="s">
        <v>176</v>
      </c>
      <c r="B138" s="8" t="s">
        <v>528</v>
      </c>
      <c r="C138" s="149"/>
    </row>
    <row r="139" spans="1:3" s="67" customFormat="1" ht="12" customHeight="1" thickBot="1">
      <c r="A139" s="271" t="s">
        <v>177</v>
      </c>
      <c r="B139" s="6" t="s">
        <v>529</v>
      </c>
      <c r="C139" s="149"/>
    </row>
    <row r="140" spans="1:11" ht="12" customHeight="1" thickBot="1">
      <c r="A140" s="31" t="s">
        <v>45</v>
      </c>
      <c r="B140" s="87" t="s">
        <v>567</v>
      </c>
      <c r="C140" s="167">
        <f>+C141+C142+C144+C145+C143</f>
        <v>0</v>
      </c>
      <c r="K140" s="148"/>
    </row>
    <row r="141" spans="1:3" ht="12.75">
      <c r="A141" s="262" t="s">
        <v>112</v>
      </c>
      <c r="B141" s="8" t="s">
        <v>350</v>
      </c>
      <c r="C141" s="149"/>
    </row>
    <row r="142" spans="1:3" ht="12" customHeight="1">
      <c r="A142" s="262" t="s">
        <v>113</v>
      </c>
      <c r="B142" s="8" t="s">
        <v>351</v>
      </c>
      <c r="C142" s="149"/>
    </row>
    <row r="143" spans="1:3" s="67" customFormat="1" ht="12" customHeight="1">
      <c r="A143" s="262" t="s">
        <v>264</v>
      </c>
      <c r="B143" s="8" t="s">
        <v>568</v>
      </c>
      <c r="C143" s="149"/>
    </row>
    <row r="144" spans="1:3" s="67" customFormat="1" ht="12" customHeight="1">
      <c r="A144" s="262" t="s">
        <v>265</v>
      </c>
      <c r="B144" s="8" t="s">
        <v>531</v>
      </c>
      <c r="C144" s="149"/>
    </row>
    <row r="145" spans="1:3" s="67" customFormat="1" ht="12" customHeight="1" thickBot="1">
      <c r="A145" s="271" t="s">
        <v>266</v>
      </c>
      <c r="B145" s="6" t="s">
        <v>369</v>
      </c>
      <c r="C145" s="149"/>
    </row>
    <row r="146" spans="1:3" s="67" customFormat="1" ht="12" customHeight="1" thickBot="1">
      <c r="A146" s="31" t="s">
        <v>46</v>
      </c>
      <c r="B146" s="87" t="s">
        <v>532</v>
      </c>
      <c r="C146" s="170">
        <f>+C147+C148+C149+C150+C151</f>
        <v>0</v>
      </c>
    </row>
    <row r="147" spans="1:3" s="67" customFormat="1" ht="12" customHeight="1">
      <c r="A147" s="262" t="s">
        <v>114</v>
      </c>
      <c r="B147" s="8" t="s">
        <v>533</v>
      </c>
      <c r="C147" s="149"/>
    </row>
    <row r="148" spans="1:3" s="67" customFormat="1" ht="12" customHeight="1">
      <c r="A148" s="262" t="s">
        <v>115</v>
      </c>
      <c r="B148" s="8" t="s">
        <v>534</v>
      </c>
      <c r="C148" s="149"/>
    </row>
    <row r="149" spans="1:3" s="67" customFormat="1" ht="12" customHeight="1">
      <c r="A149" s="262" t="s">
        <v>276</v>
      </c>
      <c r="B149" s="8" t="s">
        <v>535</v>
      </c>
      <c r="C149" s="149"/>
    </row>
    <row r="150" spans="1:3" ht="12.75" customHeight="1">
      <c r="A150" s="262" t="s">
        <v>277</v>
      </c>
      <c r="B150" s="8" t="s">
        <v>569</v>
      </c>
      <c r="C150" s="149"/>
    </row>
    <row r="151" spans="1:3" ht="12.75" customHeight="1" thickBot="1">
      <c r="A151" s="271" t="s">
        <v>537</v>
      </c>
      <c r="B151" s="6" t="s">
        <v>538</v>
      </c>
      <c r="C151" s="150"/>
    </row>
    <row r="152" spans="1:3" ht="12.75" customHeight="1" thickBot="1">
      <c r="A152" s="314" t="s">
        <v>47</v>
      </c>
      <c r="B152" s="87" t="s">
        <v>539</v>
      </c>
      <c r="C152" s="170"/>
    </row>
    <row r="153" spans="1:3" ht="12" customHeight="1" thickBot="1">
      <c r="A153" s="314" t="s">
        <v>48</v>
      </c>
      <c r="B153" s="87" t="s">
        <v>540</v>
      </c>
      <c r="C153" s="170"/>
    </row>
    <row r="154" spans="1:3" ht="15" customHeight="1" thickBot="1">
      <c r="A154" s="31" t="s">
        <v>49</v>
      </c>
      <c r="B154" s="87" t="s">
        <v>541</v>
      </c>
      <c r="C154" s="258">
        <f>+C129+C133+C140+C146+C152+C153</f>
        <v>103161000</v>
      </c>
    </row>
    <row r="155" spans="1:3" ht="13.5" thickBot="1">
      <c r="A155" s="273" t="s">
        <v>50</v>
      </c>
      <c r="B155" s="233" t="s">
        <v>542</v>
      </c>
      <c r="C155" s="258">
        <f>+C128+C154</f>
        <v>407301703</v>
      </c>
    </row>
    <row r="156" ht="15" customHeight="1" thickBot="1"/>
    <row r="157" spans="1:3" ht="14.25" customHeight="1" thickBot="1">
      <c r="A157" s="145" t="s">
        <v>570</v>
      </c>
      <c r="B157" s="146"/>
      <c r="C157" s="86"/>
    </row>
    <row r="158" spans="1:3" ht="13.5" thickBot="1">
      <c r="A158" s="145" t="s">
        <v>199</v>
      </c>
      <c r="B158" s="146"/>
      <c r="C158" s="8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11. melléklet a 28/2017.(X.27.) önkormányzati rendelethez</oddHeader>
  </headerFooter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61"/>
  <sheetViews>
    <sheetView view="pageLayout" zoomScaleNormal="130" workbookViewId="0" topLeftCell="A1">
      <selection activeCell="C1" sqref="C1"/>
    </sheetView>
  </sheetViews>
  <sheetFormatPr defaultColWidth="9.00390625" defaultRowHeight="12.75"/>
  <cols>
    <col min="1" max="1" width="13.875" style="143" customWidth="1"/>
    <col min="2" max="2" width="79.125" style="144" customWidth="1"/>
    <col min="3" max="3" width="25.00390625" style="607" customWidth="1"/>
    <col min="4" max="4" width="9.375" style="144" customWidth="1"/>
    <col min="5" max="5" width="13.375" style="144" hidden="1" customWidth="1"/>
    <col min="6" max="6" width="12.125" style="144" hidden="1" customWidth="1"/>
    <col min="7" max="16384" width="9.375" style="144" customWidth="1"/>
  </cols>
  <sheetData>
    <row r="1" spans="1:3" s="123" customFormat="1" ht="21" customHeight="1" thickBot="1">
      <c r="A1" s="122"/>
      <c r="B1" s="124"/>
      <c r="C1" s="280"/>
    </row>
    <row r="2" spans="1:3" s="281" customFormat="1" ht="36" customHeight="1">
      <c r="A2" s="238" t="s">
        <v>197</v>
      </c>
      <c r="B2" s="213" t="s">
        <v>488</v>
      </c>
      <c r="C2" s="226" t="s">
        <v>82</v>
      </c>
    </row>
    <row r="3" spans="1:3" s="281" customFormat="1" ht="24.75" thickBot="1">
      <c r="A3" s="274" t="s">
        <v>196</v>
      </c>
      <c r="B3" s="214" t="s">
        <v>377</v>
      </c>
      <c r="C3" s="227" t="s">
        <v>75</v>
      </c>
    </row>
    <row r="4" spans="1:3" s="282" customFormat="1" ht="15.75" customHeight="1" thickBot="1">
      <c r="A4" s="126"/>
      <c r="B4" s="126"/>
      <c r="C4" s="127" t="s">
        <v>633</v>
      </c>
    </row>
    <row r="5" spans="1:3" ht="13.5" thickBot="1">
      <c r="A5" s="239" t="s">
        <v>198</v>
      </c>
      <c r="B5" s="128" t="s">
        <v>76</v>
      </c>
      <c r="C5" s="129" t="s">
        <v>77</v>
      </c>
    </row>
    <row r="6" spans="1:3" s="283" customFormat="1" ht="12.75" customHeight="1" thickBot="1">
      <c r="A6" s="100" t="s">
        <v>491</v>
      </c>
      <c r="B6" s="101" t="s">
        <v>492</v>
      </c>
      <c r="C6" s="102" t="s">
        <v>493</v>
      </c>
    </row>
    <row r="7" spans="1:3" s="283" customFormat="1" ht="15.75" customHeight="1" thickBot="1">
      <c r="A7" s="130"/>
      <c r="B7" s="131" t="s">
        <v>78</v>
      </c>
      <c r="C7" s="132"/>
    </row>
    <row r="8" spans="1:6" s="228" customFormat="1" ht="12" customHeight="1" thickBot="1">
      <c r="A8" s="100" t="s">
        <v>40</v>
      </c>
      <c r="B8" s="133" t="s">
        <v>573</v>
      </c>
      <c r="C8" s="178">
        <f>SUM(C9:C19)</f>
        <v>10334792</v>
      </c>
      <c r="E8" s="228" t="e">
        <f>#REF!+'9.2.2. sz.  mell'!C8+#REF!</f>
        <v>#REF!</v>
      </c>
      <c r="F8" s="760" t="e">
        <f>C8-E8</f>
        <v>#REF!</v>
      </c>
    </row>
    <row r="9" spans="1:6" s="228" customFormat="1" ht="12" customHeight="1">
      <c r="A9" s="275" t="s">
        <v>116</v>
      </c>
      <c r="B9" s="9" t="s">
        <v>253</v>
      </c>
      <c r="C9" s="218"/>
      <c r="E9" s="228" t="e">
        <f>#REF!+'9.2.2. sz.  mell'!C9+#REF!</f>
        <v>#REF!</v>
      </c>
      <c r="F9" s="760" t="e">
        <f aca="true" t="shared" si="0" ref="F9:F61">C9-E9</f>
        <v>#REF!</v>
      </c>
    </row>
    <row r="10" spans="1:6" s="228" customFormat="1" ht="12" customHeight="1">
      <c r="A10" s="276" t="s">
        <v>117</v>
      </c>
      <c r="B10" s="7" t="s">
        <v>254</v>
      </c>
      <c r="C10" s="53">
        <f>635000+2304000+444500+4150000+723064</f>
        <v>8256564</v>
      </c>
      <c r="E10" s="228" t="e">
        <f>#REF!+'9.2.2. sz.  mell'!C10+#REF!</f>
        <v>#REF!</v>
      </c>
      <c r="F10" s="760" t="e">
        <f t="shared" si="0"/>
        <v>#REF!</v>
      </c>
    </row>
    <row r="11" spans="1:6" s="228" customFormat="1" ht="12" customHeight="1">
      <c r="A11" s="276" t="s">
        <v>118</v>
      </c>
      <c r="B11" s="7" t="s">
        <v>255</v>
      </c>
      <c r="C11" s="53">
        <f>500000</f>
        <v>500000</v>
      </c>
      <c r="E11" s="228" t="e">
        <f>#REF!+'9.2.2. sz.  mell'!C11+#REF!</f>
        <v>#REF!</v>
      </c>
      <c r="F11" s="760" t="e">
        <f t="shared" si="0"/>
        <v>#REF!</v>
      </c>
    </row>
    <row r="12" spans="1:6" s="228" customFormat="1" ht="12" customHeight="1">
      <c r="A12" s="276" t="s">
        <v>119</v>
      </c>
      <c r="B12" s="7" t="s">
        <v>256</v>
      </c>
      <c r="C12" s="53"/>
      <c r="E12" s="228" t="e">
        <f>#REF!+'9.2.2. sz.  mell'!C12+#REF!</f>
        <v>#REF!</v>
      </c>
      <c r="F12" s="760" t="e">
        <f t="shared" si="0"/>
        <v>#REF!</v>
      </c>
    </row>
    <row r="13" spans="1:6" s="228" customFormat="1" ht="12" customHeight="1">
      <c r="A13" s="276" t="s">
        <v>159</v>
      </c>
      <c r="B13" s="7" t="s">
        <v>257</v>
      </c>
      <c r="C13" s="53"/>
      <c r="E13" s="228" t="e">
        <f>#REF!+'9.2.2. sz.  mell'!C13+#REF!</f>
        <v>#REF!</v>
      </c>
      <c r="F13" s="760" t="e">
        <f t="shared" si="0"/>
        <v>#REF!</v>
      </c>
    </row>
    <row r="14" spans="1:6" s="228" customFormat="1" ht="12" customHeight="1">
      <c r="A14" s="276" t="s">
        <v>120</v>
      </c>
      <c r="B14" s="7" t="s">
        <v>378</v>
      </c>
      <c r="C14" s="53">
        <f>1283000+195228</f>
        <v>1478228</v>
      </c>
      <c r="E14" s="228" t="e">
        <f>#REF!+'9.2.2. sz.  mell'!C14+#REF!</f>
        <v>#REF!</v>
      </c>
      <c r="F14" s="760" t="e">
        <f t="shared" si="0"/>
        <v>#REF!</v>
      </c>
    </row>
    <row r="15" spans="1:6" s="228" customFormat="1" ht="12" customHeight="1">
      <c r="A15" s="276" t="s">
        <v>121</v>
      </c>
      <c r="B15" s="6" t="s">
        <v>379</v>
      </c>
      <c r="C15" s="53"/>
      <c r="E15" s="228" t="e">
        <f>#REF!+'9.2.2. sz.  mell'!C15+#REF!</f>
        <v>#REF!</v>
      </c>
      <c r="F15" s="760" t="e">
        <f t="shared" si="0"/>
        <v>#REF!</v>
      </c>
    </row>
    <row r="16" spans="1:6" s="228" customFormat="1" ht="12" customHeight="1">
      <c r="A16" s="276" t="s">
        <v>131</v>
      </c>
      <c r="B16" s="7" t="s">
        <v>260</v>
      </c>
      <c r="C16" s="179"/>
      <c r="E16" s="228" t="e">
        <f>#REF!+'9.2.2. sz.  mell'!C16+#REF!</f>
        <v>#REF!</v>
      </c>
      <c r="F16" s="760" t="e">
        <f t="shared" si="0"/>
        <v>#REF!</v>
      </c>
    </row>
    <row r="17" spans="1:6" s="284" customFormat="1" ht="12" customHeight="1">
      <c r="A17" s="276" t="s">
        <v>132</v>
      </c>
      <c r="B17" s="7" t="s">
        <v>261</v>
      </c>
      <c r="C17" s="176"/>
      <c r="E17" s="228" t="e">
        <f>#REF!+'9.2.2. sz.  mell'!C17+#REF!</f>
        <v>#REF!</v>
      </c>
      <c r="F17" s="760" t="e">
        <f t="shared" si="0"/>
        <v>#REF!</v>
      </c>
    </row>
    <row r="18" spans="1:6" s="284" customFormat="1" ht="12" customHeight="1">
      <c r="A18" s="276" t="s">
        <v>133</v>
      </c>
      <c r="B18" s="7" t="s">
        <v>500</v>
      </c>
      <c r="C18" s="177"/>
      <c r="E18" s="228" t="e">
        <f>#REF!+'9.2.2. sz.  mell'!C18+#REF!</f>
        <v>#REF!</v>
      </c>
      <c r="F18" s="760" t="e">
        <f t="shared" si="0"/>
        <v>#REF!</v>
      </c>
    </row>
    <row r="19" spans="1:6" s="284" customFormat="1" ht="12" customHeight="1" thickBot="1">
      <c r="A19" s="276" t="s">
        <v>134</v>
      </c>
      <c r="B19" s="6" t="s">
        <v>262</v>
      </c>
      <c r="C19" s="177">
        <f>100000</f>
        <v>100000</v>
      </c>
      <c r="E19" s="228" t="e">
        <f>#REF!+'9.2.2. sz.  mell'!C19+#REF!</f>
        <v>#REF!</v>
      </c>
      <c r="F19" s="760" t="e">
        <f t="shared" si="0"/>
        <v>#REF!</v>
      </c>
    </row>
    <row r="20" spans="1:6" s="228" customFormat="1" ht="12" customHeight="1" thickBot="1">
      <c r="A20" s="100" t="s">
        <v>41</v>
      </c>
      <c r="B20" s="133" t="s">
        <v>380</v>
      </c>
      <c r="C20" s="178">
        <f>SUM(C21:C23)</f>
        <v>0</v>
      </c>
      <c r="E20" s="228" t="e">
        <f>#REF!+'9.2.2. sz.  mell'!C20+#REF!</f>
        <v>#REF!</v>
      </c>
      <c r="F20" s="760" t="e">
        <f t="shared" si="0"/>
        <v>#REF!</v>
      </c>
    </row>
    <row r="21" spans="1:6" s="284" customFormat="1" ht="12" customHeight="1">
      <c r="A21" s="276" t="s">
        <v>122</v>
      </c>
      <c r="B21" s="8" t="s">
        <v>230</v>
      </c>
      <c r="C21" s="176"/>
      <c r="E21" s="228" t="e">
        <f>#REF!+'9.2.2. sz.  mell'!C21+#REF!</f>
        <v>#REF!</v>
      </c>
      <c r="F21" s="760" t="e">
        <f t="shared" si="0"/>
        <v>#REF!</v>
      </c>
    </row>
    <row r="22" spans="1:6" s="284" customFormat="1" ht="12" customHeight="1">
      <c r="A22" s="276" t="s">
        <v>123</v>
      </c>
      <c r="B22" s="7" t="s">
        <v>381</v>
      </c>
      <c r="C22" s="176"/>
      <c r="E22" s="228" t="e">
        <f>#REF!+'9.2.2. sz.  mell'!C22+#REF!</f>
        <v>#REF!</v>
      </c>
      <c r="F22" s="760" t="e">
        <f t="shared" si="0"/>
        <v>#REF!</v>
      </c>
    </row>
    <row r="23" spans="1:6" s="284" customFormat="1" ht="12" customHeight="1">
      <c r="A23" s="276" t="s">
        <v>124</v>
      </c>
      <c r="B23" s="7" t="s">
        <v>382</v>
      </c>
      <c r="C23" s="53"/>
      <c r="E23" s="228" t="e">
        <f>#REF!+'9.2.2. sz.  mell'!C23+#REF!</f>
        <v>#REF!</v>
      </c>
      <c r="F23" s="760" t="e">
        <f t="shared" si="0"/>
        <v>#REF!</v>
      </c>
    </row>
    <row r="24" spans="1:6" s="284" customFormat="1" ht="12" customHeight="1" thickBot="1">
      <c r="A24" s="276" t="s">
        <v>125</v>
      </c>
      <c r="B24" s="7" t="s">
        <v>574</v>
      </c>
      <c r="C24" s="176"/>
      <c r="E24" s="228" t="e">
        <f>#REF!+'9.2.2. sz.  mell'!C24+#REF!</f>
        <v>#REF!</v>
      </c>
      <c r="F24" s="760" t="e">
        <f t="shared" si="0"/>
        <v>#REF!</v>
      </c>
    </row>
    <row r="25" spans="1:6" s="284" customFormat="1" ht="12" customHeight="1" thickBot="1">
      <c r="A25" s="103" t="s">
        <v>42</v>
      </c>
      <c r="B25" s="87" t="s">
        <v>174</v>
      </c>
      <c r="C25" s="203"/>
      <c r="E25" s="228" t="e">
        <f>#REF!+'9.2.2. sz.  mell'!C25+#REF!</f>
        <v>#REF!</v>
      </c>
      <c r="F25" s="760" t="e">
        <f t="shared" si="0"/>
        <v>#REF!</v>
      </c>
    </row>
    <row r="26" spans="1:6" s="284" customFormat="1" ht="12" customHeight="1" thickBot="1">
      <c r="A26" s="103" t="s">
        <v>43</v>
      </c>
      <c r="B26" s="87" t="s">
        <v>575</v>
      </c>
      <c r="C26" s="178">
        <f>+C27+C28+C29</f>
        <v>0</v>
      </c>
      <c r="E26" s="228" t="e">
        <f>#REF!+'9.2.2. sz.  mell'!C26+#REF!</f>
        <v>#REF!</v>
      </c>
      <c r="F26" s="760" t="e">
        <f t="shared" si="0"/>
        <v>#REF!</v>
      </c>
    </row>
    <row r="27" spans="1:6" s="284" customFormat="1" ht="12" customHeight="1">
      <c r="A27" s="277" t="s">
        <v>240</v>
      </c>
      <c r="B27" s="278" t="s">
        <v>235</v>
      </c>
      <c r="C27" s="51"/>
      <c r="E27" s="228" t="e">
        <f>#REF!+'9.2.2. sz.  mell'!C27+#REF!</f>
        <v>#REF!</v>
      </c>
      <c r="F27" s="760" t="e">
        <f t="shared" si="0"/>
        <v>#REF!</v>
      </c>
    </row>
    <row r="28" spans="1:6" s="284" customFormat="1" ht="12" customHeight="1">
      <c r="A28" s="277" t="s">
        <v>243</v>
      </c>
      <c r="B28" s="278" t="s">
        <v>381</v>
      </c>
      <c r="C28" s="176"/>
      <c r="E28" s="228" t="e">
        <f>#REF!+'9.2.2. sz.  mell'!C28+#REF!</f>
        <v>#REF!</v>
      </c>
      <c r="F28" s="760" t="e">
        <f t="shared" si="0"/>
        <v>#REF!</v>
      </c>
    </row>
    <row r="29" spans="1:6" s="284" customFormat="1" ht="12" customHeight="1">
      <c r="A29" s="277" t="s">
        <v>244</v>
      </c>
      <c r="B29" s="279" t="s">
        <v>383</v>
      </c>
      <c r="C29" s="176"/>
      <c r="E29" s="228" t="e">
        <f>#REF!+'9.2.2. sz.  mell'!C29+#REF!</f>
        <v>#REF!</v>
      </c>
      <c r="F29" s="760" t="e">
        <f t="shared" si="0"/>
        <v>#REF!</v>
      </c>
    </row>
    <row r="30" spans="1:6" s="284" customFormat="1" ht="12" customHeight="1" thickBot="1">
      <c r="A30" s="276" t="s">
        <v>245</v>
      </c>
      <c r="B30" s="90" t="s">
        <v>576</v>
      </c>
      <c r="C30" s="54"/>
      <c r="E30" s="228" t="e">
        <f>#REF!+'9.2.2. sz.  mell'!C30+#REF!</f>
        <v>#REF!</v>
      </c>
      <c r="F30" s="760" t="e">
        <f t="shared" si="0"/>
        <v>#REF!</v>
      </c>
    </row>
    <row r="31" spans="1:6" s="284" customFormat="1" ht="12" customHeight="1" thickBot="1">
      <c r="A31" s="103" t="s">
        <v>44</v>
      </c>
      <c r="B31" s="87" t="s">
        <v>384</v>
      </c>
      <c r="C31" s="178">
        <f>+C32+C33+C34</f>
        <v>0</v>
      </c>
      <c r="E31" s="228" t="e">
        <f>#REF!+'9.2.2. sz.  mell'!C31+#REF!</f>
        <v>#REF!</v>
      </c>
      <c r="F31" s="760" t="e">
        <f t="shared" si="0"/>
        <v>#REF!</v>
      </c>
    </row>
    <row r="32" spans="1:6" s="284" customFormat="1" ht="12" customHeight="1">
      <c r="A32" s="277" t="s">
        <v>109</v>
      </c>
      <c r="B32" s="278" t="s">
        <v>267</v>
      </c>
      <c r="C32" s="51"/>
      <c r="E32" s="228" t="e">
        <f>#REF!+'9.2.2. sz.  mell'!C32+#REF!</f>
        <v>#REF!</v>
      </c>
      <c r="F32" s="760" t="e">
        <f t="shared" si="0"/>
        <v>#REF!</v>
      </c>
    </row>
    <row r="33" spans="1:6" s="284" customFormat="1" ht="12" customHeight="1">
      <c r="A33" s="277" t="s">
        <v>110</v>
      </c>
      <c r="B33" s="279" t="s">
        <v>268</v>
      </c>
      <c r="C33" s="179"/>
      <c r="E33" s="228" t="e">
        <f>#REF!+'9.2.2. sz.  mell'!C33+#REF!</f>
        <v>#REF!</v>
      </c>
      <c r="F33" s="760" t="e">
        <f t="shared" si="0"/>
        <v>#REF!</v>
      </c>
    </row>
    <row r="34" spans="1:6" s="284" customFormat="1" ht="12" customHeight="1" thickBot="1">
      <c r="A34" s="276" t="s">
        <v>111</v>
      </c>
      <c r="B34" s="90" t="s">
        <v>269</v>
      </c>
      <c r="C34" s="54"/>
      <c r="E34" s="228" t="e">
        <f>#REF!+'9.2.2. sz.  mell'!C34+#REF!</f>
        <v>#REF!</v>
      </c>
      <c r="F34" s="760" t="e">
        <f t="shared" si="0"/>
        <v>#REF!</v>
      </c>
    </row>
    <row r="35" spans="1:6" s="228" customFormat="1" ht="12" customHeight="1" thickBot="1">
      <c r="A35" s="103" t="s">
        <v>45</v>
      </c>
      <c r="B35" s="87" t="s">
        <v>355</v>
      </c>
      <c r="C35" s="203"/>
      <c r="E35" s="228" t="e">
        <f>#REF!+'9.2.2. sz.  mell'!C35+#REF!</f>
        <v>#REF!</v>
      </c>
      <c r="F35" s="760" t="e">
        <f t="shared" si="0"/>
        <v>#REF!</v>
      </c>
    </row>
    <row r="36" spans="1:6" s="228" customFormat="1" ht="12" customHeight="1" thickBot="1">
      <c r="A36" s="103" t="s">
        <v>46</v>
      </c>
      <c r="B36" s="87" t="s">
        <v>385</v>
      </c>
      <c r="C36" s="220"/>
      <c r="E36" s="228" t="e">
        <f>#REF!+'9.2.2. sz.  mell'!C36+#REF!</f>
        <v>#REF!</v>
      </c>
      <c r="F36" s="760" t="e">
        <f t="shared" si="0"/>
        <v>#REF!</v>
      </c>
    </row>
    <row r="37" spans="1:6" s="228" customFormat="1" ht="12" customHeight="1" thickBot="1">
      <c r="A37" s="100" t="s">
        <v>47</v>
      </c>
      <c r="B37" s="87" t="s">
        <v>386</v>
      </c>
      <c r="C37" s="221">
        <f>+C8+C20+C25+C26+C31+C35+C36</f>
        <v>10334792</v>
      </c>
      <c r="E37" s="228" t="e">
        <f>#REF!+'9.2.2. sz.  mell'!C37+#REF!</f>
        <v>#REF!</v>
      </c>
      <c r="F37" s="760" t="e">
        <f t="shared" si="0"/>
        <v>#REF!</v>
      </c>
    </row>
    <row r="38" spans="1:6" s="228" customFormat="1" ht="12" customHeight="1" thickBot="1">
      <c r="A38" s="134" t="s">
        <v>48</v>
      </c>
      <c r="B38" s="87" t="s">
        <v>387</v>
      </c>
      <c r="C38" s="221">
        <f>+C39+C40+C41</f>
        <v>221513880</v>
      </c>
      <c r="E38" s="228" t="e">
        <f>#REF!+'9.2.2. sz.  mell'!C38+#REF!</f>
        <v>#REF!</v>
      </c>
      <c r="F38" s="760" t="e">
        <f t="shared" si="0"/>
        <v>#REF!</v>
      </c>
    </row>
    <row r="39" spans="1:6" s="228" customFormat="1" ht="12" customHeight="1">
      <c r="A39" s="277" t="s">
        <v>388</v>
      </c>
      <c r="B39" s="278" t="s">
        <v>212</v>
      </c>
      <c r="C39" s="51">
        <v>447404</v>
      </c>
      <c r="E39" s="228" t="e">
        <f>#REF!+'9.2.2. sz.  mell'!C39+#REF!</f>
        <v>#REF!</v>
      </c>
      <c r="F39" s="760" t="e">
        <f t="shared" si="0"/>
        <v>#REF!</v>
      </c>
    </row>
    <row r="40" spans="1:6" s="228" customFormat="1" ht="12" customHeight="1">
      <c r="A40" s="277" t="s">
        <v>389</v>
      </c>
      <c r="B40" s="279" t="s">
        <v>31</v>
      </c>
      <c r="C40" s="179"/>
      <c r="E40" s="228" t="e">
        <f>#REF!+'9.2.2. sz.  mell'!C40+#REF!</f>
        <v>#REF!</v>
      </c>
      <c r="F40" s="760" t="e">
        <f t="shared" si="0"/>
        <v>#REF!</v>
      </c>
    </row>
    <row r="41" spans="1:6" s="284" customFormat="1" ht="12" customHeight="1" thickBot="1">
      <c r="A41" s="276" t="s">
        <v>390</v>
      </c>
      <c r="B41" s="90" t="s">
        <v>391</v>
      </c>
      <c r="C41" s="465">
        <f>220167476+899000</f>
        <v>221066476</v>
      </c>
      <c r="E41" s="228" t="e">
        <f>#REF!+'9.2.2. sz.  mell'!C41+#REF!</f>
        <v>#REF!</v>
      </c>
      <c r="F41" s="760" t="e">
        <f t="shared" si="0"/>
        <v>#REF!</v>
      </c>
    </row>
    <row r="42" spans="1:6" s="284" customFormat="1" ht="15" customHeight="1" thickBot="1">
      <c r="A42" s="134" t="s">
        <v>49</v>
      </c>
      <c r="B42" s="135" t="s">
        <v>392</v>
      </c>
      <c r="C42" s="224">
        <f>+C37+C38</f>
        <v>231848672</v>
      </c>
      <c r="E42" s="228" t="e">
        <f>#REF!+'9.2.2. sz.  mell'!C42+#REF!</f>
        <v>#REF!</v>
      </c>
      <c r="F42" s="760" t="e">
        <f t="shared" si="0"/>
        <v>#REF!</v>
      </c>
    </row>
    <row r="43" spans="1:6" s="284" customFormat="1" ht="15" customHeight="1">
      <c r="A43" s="136"/>
      <c r="B43" s="137"/>
      <c r="C43" s="222"/>
      <c r="E43" s="228" t="e">
        <f>#REF!+'9.2.2. sz.  mell'!C43+#REF!</f>
        <v>#REF!</v>
      </c>
      <c r="F43" s="760" t="e">
        <f t="shared" si="0"/>
        <v>#REF!</v>
      </c>
    </row>
    <row r="44" spans="1:6" ht="15.75" thickBot="1">
      <c r="A44" s="138"/>
      <c r="B44" s="139"/>
      <c r="C44" s="223"/>
      <c r="E44" s="228" t="e">
        <f>#REF!+'9.2.2. sz.  mell'!C44+#REF!</f>
        <v>#REF!</v>
      </c>
      <c r="F44" s="760" t="e">
        <f t="shared" si="0"/>
        <v>#REF!</v>
      </c>
    </row>
    <row r="45" spans="1:6" s="283" customFormat="1" ht="16.5" customHeight="1" thickBot="1">
      <c r="A45" s="140"/>
      <c r="B45" s="141" t="s">
        <v>79</v>
      </c>
      <c r="C45" s="224"/>
      <c r="E45" s="228" t="e">
        <f>#REF!+'9.2.2. sz.  mell'!C45+#REF!</f>
        <v>#REF!</v>
      </c>
      <c r="F45" s="760" t="e">
        <f t="shared" si="0"/>
        <v>#REF!</v>
      </c>
    </row>
    <row r="46" spans="1:6" s="285" customFormat="1" ht="12" customHeight="1" thickBot="1">
      <c r="A46" s="103" t="s">
        <v>40</v>
      </c>
      <c r="B46" s="87" t="s">
        <v>393</v>
      </c>
      <c r="C46" s="178">
        <f>SUM(C47:C51)</f>
        <v>229477772</v>
      </c>
      <c r="E46" s="228" t="e">
        <f>#REF!+'9.2.2. sz.  mell'!C46+#REF!</f>
        <v>#REF!</v>
      </c>
      <c r="F46" s="760" t="e">
        <f t="shared" si="0"/>
        <v>#REF!</v>
      </c>
    </row>
    <row r="47" spans="1:6" ht="12" customHeight="1">
      <c r="A47" s="276" t="s">
        <v>116</v>
      </c>
      <c r="B47" s="8" t="s">
        <v>71</v>
      </c>
      <c r="C47" s="459">
        <f>525000+118633000+54000-24000+813600+45000-250000+250000+50000+250820+515000+2500000+750000</f>
        <v>124112420</v>
      </c>
      <c r="E47" s="228" t="e">
        <f>#REF!+'9.2.2. sz.  mell'!C47+#REF!</f>
        <v>#REF!</v>
      </c>
      <c r="F47" s="760" t="e">
        <f t="shared" si="0"/>
        <v>#REF!</v>
      </c>
    </row>
    <row r="48" spans="1:6" ht="12" customHeight="1">
      <c r="A48" s="276" t="s">
        <v>117</v>
      </c>
      <c r="B48" s="7" t="s">
        <v>183</v>
      </c>
      <c r="C48" s="460">
        <f>134000+28092500+97000-10800+178992+10000+21830+55180+102000+550000+149000</f>
        <v>29379702</v>
      </c>
      <c r="E48" s="228" t="e">
        <f>#REF!+'9.2.2. sz.  mell'!C48+#REF!</f>
        <v>#REF!</v>
      </c>
      <c r="F48" s="760" t="e">
        <f t="shared" si="0"/>
        <v>#REF!</v>
      </c>
    </row>
    <row r="49" spans="1:6" ht="12" customHeight="1">
      <c r="A49" s="276" t="s">
        <v>118</v>
      </c>
      <c r="B49" s="7" t="s">
        <v>152</v>
      </c>
      <c r="C49" s="53">
        <f>4419000+490000+327500+46477000+323850-171000+59000+5000-5000+13500+209000+108500-50800-469900</f>
        <v>51735650</v>
      </c>
      <c r="E49" s="228" t="e">
        <f>#REF!+'9.2.2. sz.  mell'!C49+#REF!</f>
        <v>#REF!</v>
      </c>
      <c r="F49" s="760" t="e">
        <f t="shared" si="0"/>
        <v>#REF!</v>
      </c>
    </row>
    <row r="50" spans="1:6" ht="12" customHeight="1">
      <c r="A50" s="276" t="s">
        <v>119</v>
      </c>
      <c r="B50" s="7" t="s">
        <v>184</v>
      </c>
      <c r="C50" s="53">
        <f>24250000</f>
        <v>24250000</v>
      </c>
      <c r="E50" s="228" t="e">
        <f>#REF!+'9.2.2. sz.  mell'!C50+#REF!</f>
        <v>#REF!</v>
      </c>
      <c r="F50" s="760" t="e">
        <f t="shared" si="0"/>
        <v>#REF!</v>
      </c>
    </row>
    <row r="51" spans="1:6" ht="12" customHeight="1" thickBot="1">
      <c r="A51" s="276" t="s">
        <v>159</v>
      </c>
      <c r="B51" s="7" t="s">
        <v>185</v>
      </c>
      <c r="C51" s="53"/>
      <c r="E51" s="228" t="e">
        <f>#REF!+'9.2.2. sz.  mell'!C51+#REF!</f>
        <v>#REF!</v>
      </c>
      <c r="F51" s="760" t="e">
        <f t="shared" si="0"/>
        <v>#REF!</v>
      </c>
    </row>
    <row r="52" spans="1:6" ht="12" customHeight="1" thickBot="1">
      <c r="A52" s="103" t="s">
        <v>41</v>
      </c>
      <c r="B52" s="87" t="s">
        <v>394</v>
      </c>
      <c r="C52" s="178">
        <f>SUM(C53:C55)</f>
        <v>2370900</v>
      </c>
      <c r="E52" s="228" t="e">
        <f>#REF!+'9.2.2. sz.  mell'!C52+#REF!</f>
        <v>#REF!</v>
      </c>
      <c r="F52" s="760" t="e">
        <f t="shared" si="0"/>
        <v>#REF!</v>
      </c>
    </row>
    <row r="53" spans="1:6" s="285" customFormat="1" ht="12" customHeight="1">
      <c r="A53" s="276" t="s">
        <v>122</v>
      </c>
      <c r="B53" s="8" t="s">
        <v>203</v>
      </c>
      <c r="C53" s="51">
        <f>1901000+457200+12700</f>
        <v>2370900</v>
      </c>
      <c r="E53" s="228" t="e">
        <f>#REF!+'9.2.2. sz.  mell'!C53+#REF!</f>
        <v>#REF!</v>
      </c>
      <c r="F53" s="760" t="e">
        <f t="shared" si="0"/>
        <v>#REF!</v>
      </c>
    </row>
    <row r="54" spans="1:6" ht="12" customHeight="1">
      <c r="A54" s="276" t="s">
        <v>123</v>
      </c>
      <c r="B54" s="7" t="s">
        <v>187</v>
      </c>
      <c r="C54" s="53"/>
      <c r="E54" s="228" t="e">
        <f>#REF!+'9.2.2. sz.  mell'!C54+#REF!</f>
        <v>#REF!</v>
      </c>
      <c r="F54" s="760" t="e">
        <f t="shared" si="0"/>
        <v>#REF!</v>
      </c>
    </row>
    <row r="55" spans="1:6" ht="12" customHeight="1">
      <c r="A55" s="276" t="s">
        <v>124</v>
      </c>
      <c r="B55" s="7" t="s">
        <v>80</v>
      </c>
      <c r="C55" s="53"/>
      <c r="E55" s="228" t="e">
        <f>#REF!+'9.2.2. sz.  mell'!C55+#REF!</f>
        <v>#REF!</v>
      </c>
      <c r="F55" s="760" t="e">
        <f t="shared" si="0"/>
        <v>#REF!</v>
      </c>
    </row>
    <row r="56" spans="1:6" ht="12" customHeight="1" thickBot="1">
      <c r="A56" s="276" t="s">
        <v>125</v>
      </c>
      <c r="B56" s="7" t="s">
        <v>577</v>
      </c>
      <c r="C56" s="53"/>
      <c r="E56" s="228" t="e">
        <f>#REF!+'9.2.2. sz.  mell'!C56+#REF!</f>
        <v>#REF!</v>
      </c>
      <c r="F56" s="760" t="e">
        <f t="shared" si="0"/>
        <v>#REF!</v>
      </c>
    </row>
    <row r="57" spans="1:6" ht="12" customHeight="1" thickBot="1">
      <c r="A57" s="103" t="s">
        <v>42</v>
      </c>
      <c r="B57" s="87" t="s">
        <v>35</v>
      </c>
      <c r="C57" s="203"/>
      <c r="E57" s="228" t="e">
        <f>#REF!+'9.2.2. sz.  mell'!C57+#REF!</f>
        <v>#REF!</v>
      </c>
      <c r="F57" s="760" t="e">
        <f t="shared" si="0"/>
        <v>#REF!</v>
      </c>
    </row>
    <row r="58" spans="1:6" ht="15" customHeight="1" thickBot="1">
      <c r="A58" s="103" t="s">
        <v>43</v>
      </c>
      <c r="B58" s="142" t="s">
        <v>578</v>
      </c>
      <c r="C58" s="225">
        <f>+C46+C52+C57</f>
        <v>231848672</v>
      </c>
      <c r="E58" s="228" t="e">
        <f>#REF!+'9.2.2. sz.  mell'!C58+#REF!</f>
        <v>#REF!</v>
      </c>
      <c r="F58" s="760" t="e">
        <f t="shared" si="0"/>
        <v>#REF!</v>
      </c>
    </row>
    <row r="59" spans="3:6" ht="15.75" thickBot="1">
      <c r="C59" s="606"/>
      <c r="E59" s="228" t="e">
        <f>#REF!+'9.2.2. sz.  mell'!C59+#REF!</f>
        <v>#REF!</v>
      </c>
      <c r="F59" s="760" t="e">
        <f t="shared" si="0"/>
        <v>#REF!</v>
      </c>
    </row>
    <row r="60" spans="1:6" ht="15" customHeight="1" thickBot="1">
      <c r="A60" s="145" t="s">
        <v>570</v>
      </c>
      <c r="B60" s="146"/>
      <c r="C60" s="86">
        <v>44</v>
      </c>
      <c r="E60" s="228" t="e">
        <f>#REF!+'9.2.2. sz.  mell'!C60+#REF!</f>
        <v>#REF!</v>
      </c>
      <c r="F60" s="760" t="e">
        <f t="shared" si="0"/>
        <v>#REF!</v>
      </c>
    </row>
    <row r="61" spans="1:6" ht="14.25" customHeight="1" thickBot="1">
      <c r="A61" s="145" t="s">
        <v>199</v>
      </c>
      <c r="B61" s="146"/>
      <c r="C61" s="86">
        <v>0</v>
      </c>
      <c r="E61" s="228" t="e">
        <f>#REF!+'9.2.2. sz.  mell'!C61+#REF!</f>
        <v>#REF!</v>
      </c>
      <c r="F61" s="760" t="e">
        <f t="shared" si="0"/>
        <v>#REF!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28/2017.(X.27.)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Layout" zoomScaleNormal="130" workbookViewId="0" topLeftCell="A1">
      <selection activeCell="C1" sqref="C1"/>
    </sheetView>
  </sheetViews>
  <sheetFormatPr defaultColWidth="9.00390625" defaultRowHeight="12.75"/>
  <cols>
    <col min="1" max="1" width="13.875" style="143" customWidth="1"/>
    <col min="2" max="2" width="79.125" style="144" customWidth="1"/>
    <col min="3" max="3" width="25.00390625" style="607" customWidth="1"/>
    <col min="4" max="16384" width="9.375" style="144" customWidth="1"/>
  </cols>
  <sheetData>
    <row r="1" spans="1:3" s="123" customFormat="1" ht="21" customHeight="1" thickBot="1">
      <c r="A1" s="122"/>
      <c r="B1" s="124"/>
      <c r="C1" s="280"/>
    </row>
    <row r="2" spans="1:3" s="281" customFormat="1" ht="35.25" customHeight="1">
      <c r="A2" s="238" t="s">
        <v>197</v>
      </c>
      <c r="B2" s="213" t="s">
        <v>572</v>
      </c>
      <c r="C2" s="226" t="s">
        <v>82</v>
      </c>
    </row>
    <row r="3" spans="1:3" s="281" customFormat="1" ht="24.75" thickBot="1">
      <c r="A3" s="274" t="s">
        <v>196</v>
      </c>
      <c r="B3" s="214" t="s">
        <v>396</v>
      </c>
      <c r="C3" s="227" t="s">
        <v>83</v>
      </c>
    </row>
    <row r="4" spans="1:3" s="282" customFormat="1" ht="15.75" customHeight="1" thickBot="1">
      <c r="A4" s="126"/>
      <c r="B4" s="126"/>
      <c r="C4" s="127" t="s">
        <v>633</v>
      </c>
    </row>
    <row r="5" spans="1:3" ht="13.5" thickBot="1">
      <c r="A5" s="239" t="s">
        <v>198</v>
      </c>
      <c r="B5" s="128" t="s">
        <v>76</v>
      </c>
      <c r="C5" s="129" t="s">
        <v>77</v>
      </c>
    </row>
    <row r="6" spans="1:3" s="283" customFormat="1" ht="12.75" customHeight="1" thickBot="1">
      <c r="A6" s="100" t="s">
        <v>491</v>
      </c>
      <c r="B6" s="101" t="s">
        <v>492</v>
      </c>
      <c r="C6" s="102" t="s">
        <v>493</v>
      </c>
    </row>
    <row r="7" spans="1:3" s="283" customFormat="1" ht="15.75" customHeight="1" thickBot="1">
      <c r="A7" s="130"/>
      <c r="B7" s="131" t="s">
        <v>78</v>
      </c>
      <c r="C7" s="132"/>
    </row>
    <row r="8" spans="1:3" s="228" customFormat="1" ht="12" customHeight="1" thickBot="1">
      <c r="A8" s="100" t="s">
        <v>40</v>
      </c>
      <c r="B8" s="133" t="s">
        <v>573</v>
      </c>
      <c r="C8" s="178">
        <f>SUM(C9:C19)</f>
        <v>635000</v>
      </c>
    </row>
    <row r="9" spans="1:3" s="228" customFormat="1" ht="12" customHeight="1">
      <c r="A9" s="275" t="s">
        <v>116</v>
      </c>
      <c r="B9" s="9" t="s">
        <v>253</v>
      </c>
      <c r="C9" s="218"/>
    </row>
    <row r="10" spans="1:3" s="228" customFormat="1" ht="12" customHeight="1">
      <c r="A10" s="276" t="s">
        <v>117</v>
      </c>
      <c r="B10" s="7" t="s">
        <v>254</v>
      </c>
      <c r="C10" s="176">
        <v>500000</v>
      </c>
    </row>
    <row r="11" spans="1:3" s="228" customFormat="1" ht="12" customHeight="1">
      <c r="A11" s="276" t="s">
        <v>118</v>
      </c>
      <c r="B11" s="7" t="s">
        <v>255</v>
      </c>
      <c r="C11" s="176"/>
    </row>
    <row r="12" spans="1:3" s="228" customFormat="1" ht="12" customHeight="1">
      <c r="A12" s="276" t="s">
        <v>119</v>
      </c>
      <c r="B12" s="7" t="s">
        <v>256</v>
      </c>
      <c r="C12" s="176"/>
    </row>
    <row r="13" spans="1:3" s="228" customFormat="1" ht="12" customHeight="1">
      <c r="A13" s="276" t="s">
        <v>159</v>
      </c>
      <c r="B13" s="7" t="s">
        <v>257</v>
      </c>
      <c r="C13" s="176"/>
    </row>
    <row r="14" spans="1:3" s="228" customFormat="1" ht="12" customHeight="1">
      <c r="A14" s="276" t="s">
        <v>120</v>
      </c>
      <c r="B14" s="7" t="s">
        <v>378</v>
      </c>
      <c r="C14" s="176">
        <v>135000</v>
      </c>
    </row>
    <row r="15" spans="1:3" s="228" customFormat="1" ht="12" customHeight="1">
      <c r="A15" s="276" t="s">
        <v>121</v>
      </c>
      <c r="B15" s="6" t="s">
        <v>379</v>
      </c>
      <c r="C15" s="176"/>
    </row>
    <row r="16" spans="1:3" s="228" customFormat="1" ht="12" customHeight="1">
      <c r="A16" s="276" t="s">
        <v>131</v>
      </c>
      <c r="B16" s="7" t="s">
        <v>260</v>
      </c>
      <c r="C16" s="219"/>
    </row>
    <row r="17" spans="1:3" s="284" customFormat="1" ht="12" customHeight="1">
      <c r="A17" s="276" t="s">
        <v>132</v>
      </c>
      <c r="B17" s="7" t="s">
        <v>261</v>
      </c>
      <c r="C17" s="176"/>
    </row>
    <row r="18" spans="1:3" s="284" customFormat="1" ht="12" customHeight="1">
      <c r="A18" s="276" t="s">
        <v>133</v>
      </c>
      <c r="B18" s="7" t="s">
        <v>500</v>
      </c>
      <c r="C18" s="177"/>
    </row>
    <row r="19" spans="1:3" s="284" customFormat="1" ht="12" customHeight="1" thickBot="1">
      <c r="A19" s="276" t="s">
        <v>134</v>
      </c>
      <c r="B19" s="6" t="s">
        <v>262</v>
      </c>
      <c r="C19" s="177"/>
    </row>
    <row r="20" spans="1:3" s="228" customFormat="1" ht="12" customHeight="1" thickBot="1">
      <c r="A20" s="100" t="s">
        <v>41</v>
      </c>
      <c r="B20" s="133" t="s">
        <v>380</v>
      </c>
      <c r="C20" s="178">
        <f>SUM(C21:C23)</f>
        <v>0</v>
      </c>
    </row>
    <row r="21" spans="1:3" s="284" customFormat="1" ht="12" customHeight="1">
      <c r="A21" s="276" t="s">
        <v>122</v>
      </c>
      <c r="B21" s="8" t="s">
        <v>230</v>
      </c>
      <c r="C21" s="176"/>
    </row>
    <row r="22" spans="1:3" s="284" customFormat="1" ht="12" customHeight="1">
      <c r="A22" s="276" t="s">
        <v>123</v>
      </c>
      <c r="B22" s="7" t="s">
        <v>381</v>
      </c>
      <c r="C22" s="176"/>
    </row>
    <row r="23" spans="1:3" s="284" customFormat="1" ht="12" customHeight="1">
      <c r="A23" s="276" t="s">
        <v>124</v>
      </c>
      <c r="B23" s="7" t="s">
        <v>382</v>
      </c>
      <c r="C23" s="176"/>
    </row>
    <row r="24" spans="1:3" s="284" customFormat="1" ht="12" customHeight="1" thickBot="1">
      <c r="A24" s="276" t="s">
        <v>125</v>
      </c>
      <c r="B24" s="7" t="s">
        <v>574</v>
      </c>
      <c r="C24" s="176"/>
    </row>
    <row r="25" spans="1:3" s="284" customFormat="1" ht="12" customHeight="1" thickBot="1">
      <c r="A25" s="103" t="s">
        <v>42</v>
      </c>
      <c r="B25" s="87" t="s">
        <v>174</v>
      </c>
      <c r="C25" s="203"/>
    </row>
    <row r="26" spans="1:3" s="284" customFormat="1" ht="12" customHeight="1" thickBot="1">
      <c r="A26" s="103" t="s">
        <v>43</v>
      </c>
      <c r="B26" s="87" t="s">
        <v>575</v>
      </c>
      <c r="C26" s="178">
        <f>+C27+C28+C29</f>
        <v>0</v>
      </c>
    </row>
    <row r="27" spans="1:3" s="284" customFormat="1" ht="12" customHeight="1">
      <c r="A27" s="277" t="s">
        <v>240</v>
      </c>
      <c r="B27" s="278" t="s">
        <v>235</v>
      </c>
      <c r="C27" s="51"/>
    </row>
    <row r="28" spans="1:3" s="284" customFormat="1" ht="12" customHeight="1">
      <c r="A28" s="277" t="s">
        <v>243</v>
      </c>
      <c r="B28" s="278" t="s">
        <v>381</v>
      </c>
      <c r="C28" s="176"/>
    </row>
    <row r="29" spans="1:3" s="284" customFormat="1" ht="12" customHeight="1">
      <c r="A29" s="277" t="s">
        <v>244</v>
      </c>
      <c r="B29" s="279" t="s">
        <v>383</v>
      </c>
      <c r="C29" s="176"/>
    </row>
    <row r="30" spans="1:3" s="284" customFormat="1" ht="12" customHeight="1" thickBot="1">
      <c r="A30" s="276" t="s">
        <v>245</v>
      </c>
      <c r="B30" s="90" t="s">
        <v>576</v>
      </c>
      <c r="C30" s="54"/>
    </row>
    <row r="31" spans="1:3" s="284" customFormat="1" ht="12" customHeight="1" thickBot="1">
      <c r="A31" s="103" t="s">
        <v>44</v>
      </c>
      <c r="B31" s="87" t="s">
        <v>384</v>
      </c>
      <c r="C31" s="178">
        <f>+C32+C33+C34</f>
        <v>0</v>
      </c>
    </row>
    <row r="32" spans="1:3" s="284" customFormat="1" ht="12" customHeight="1">
      <c r="A32" s="277" t="s">
        <v>109</v>
      </c>
      <c r="B32" s="278" t="s">
        <v>267</v>
      </c>
      <c r="C32" s="51"/>
    </row>
    <row r="33" spans="1:3" s="284" customFormat="1" ht="12" customHeight="1">
      <c r="A33" s="277" t="s">
        <v>110</v>
      </c>
      <c r="B33" s="279" t="s">
        <v>268</v>
      </c>
      <c r="C33" s="179"/>
    </row>
    <row r="34" spans="1:3" s="284" customFormat="1" ht="12" customHeight="1" thickBot="1">
      <c r="A34" s="276" t="s">
        <v>111</v>
      </c>
      <c r="B34" s="90" t="s">
        <v>269</v>
      </c>
      <c r="C34" s="54"/>
    </row>
    <row r="35" spans="1:3" s="228" customFormat="1" ht="12" customHeight="1" thickBot="1">
      <c r="A35" s="103" t="s">
        <v>45</v>
      </c>
      <c r="B35" s="87" t="s">
        <v>355</v>
      </c>
      <c r="C35" s="203"/>
    </row>
    <row r="36" spans="1:3" s="228" customFormat="1" ht="12" customHeight="1" thickBot="1">
      <c r="A36" s="103" t="s">
        <v>46</v>
      </c>
      <c r="B36" s="87" t="s">
        <v>385</v>
      </c>
      <c r="C36" s="220"/>
    </row>
    <row r="37" spans="1:3" s="228" customFormat="1" ht="12" customHeight="1" thickBot="1">
      <c r="A37" s="100" t="s">
        <v>47</v>
      </c>
      <c r="B37" s="87" t="s">
        <v>386</v>
      </c>
      <c r="C37" s="221">
        <f>+C8+C20+C25+C26+C31+C35+C36</f>
        <v>635000</v>
      </c>
    </row>
    <row r="38" spans="1:3" s="228" customFormat="1" ht="12" customHeight="1" thickBot="1">
      <c r="A38" s="134" t="s">
        <v>48</v>
      </c>
      <c r="B38" s="87" t="s">
        <v>387</v>
      </c>
      <c r="C38" s="221">
        <f>+C39+C40+C41</f>
        <v>5300000</v>
      </c>
    </row>
    <row r="39" spans="1:3" s="228" customFormat="1" ht="12" customHeight="1">
      <c r="A39" s="277" t="s">
        <v>388</v>
      </c>
      <c r="B39" s="278" t="s">
        <v>212</v>
      </c>
      <c r="C39" s="51"/>
    </row>
    <row r="40" spans="1:3" s="228" customFormat="1" ht="12" customHeight="1">
      <c r="A40" s="277" t="s">
        <v>389</v>
      </c>
      <c r="B40" s="279" t="s">
        <v>31</v>
      </c>
      <c r="C40" s="179"/>
    </row>
    <row r="41" spans="1:3" s="284" customFormat="1" ht="12" customHeight="1" thickBot="1">
      <c r="A41" s="276" t="s">
        <v>390</v>
      </c>
      <c r="B41" s="90" t="s">
        <v>391</v>
      </c>
      <c r="C41" s="465">
        <f>4401000+899000</f>
        <v>5300000</v>
      </c>
    </row>
    <row r="42" spans="1:3" s="284" customFormat="1" ht="15" customHeight="1" thickBot="1">
      <c r="A42" s="134" t="s">
        <v>49</v>
      </c>
      <c r="B42" s="135" t="s">
        <v>392</v>
      </c>
      <c r="C42" s="224">
        <f>+C37+C38</f>
        <v>5935000</v>
      </c>
    </row>
    <row r="43" spans="1:3" s="284" customFormat="1" ht="15" customHeight="1">
      <c r="A43" s="136"/>
      <c r="B43" s="137"/>
      <c r="C43" s="222"/>
    </row>
    <row r="44" spans="1:3" ht="13.5" thickBot="1">
      <c r="A44" s="138"/>
      <c r="B44" s="139"/>
      <c r="C44" s="223"/>
    </row>
    <row r="45" spans="1:3" s="283" customFormat="1" ht="16.5" customHeight="1" thickBot="1">
      <c r="A45" s="140"/>
      <c r="B45" s="141" t="s">
        <v>79</v>
      </c>
      <c r="C45" s="224"/>
    </row>
    <row r="46" spans="1:3" s="285" customFormat="1" ht="12" customHeight="1" thickBot="1">
      <c r="A46" s="103" t="s">
        <v>40</v>
      </c>
      <c r="B46" s="87" t="s">
        <v>393</v>
      </c>
      <c r="C46" s="178">
        <f>SUM(C47:C51)</f>
        <v>5935000</v>
      </c>
    </row>
    <row r="47" spans="1:3" ht="12" customHeight="1">
      <c r="A47" s="276" t="s">
        <v>116</v>
      </c>
      <c r="B47" s="8" t="s">
        <v>71</v>
      </c>
      <c r="C47" s="459">
        <f>515000+750000</f>
        <v>1265000</v>
      </c>
    </row>
    <row r="48" spans="1:3" ht="12" customHeight="1">
      <c r="A48" s="276" t="s">
        <v>117</v>
      </c>
      <c r="B48" s="7" t="s">
        <v>183</v>
      </c>
      <c r="C48" s="460">
        <f>102000+149000</f>
        <v>251000</v>
      </c>
    </row>
    <row r="49" spans="1:3" ht="12" customHeight="1">
      <c r="A49" s="276" t="s">
        <v>118</v>
      </c>
      <c r="B49" s="7" t="s">
        <v>152</v>
      </c>
      <c r="C49" s="53">
        <v>4419000</v>
      </c>
    </row>
    <row r="50" spans="1:3" ht="12" customHeight="1">
      <c r="A50" s="276" t="s">
        <v>119</v>
      </c>
      <c r="B50" s="7" t="s">
        <v>184</v>
      </c>
      <c r="C50" s="53"/>
    </row>
    <row r="51" spans="1:3" ht="12" customHeight="1" thickBot="1">
      <c r="A51" s="276" t="s">
        <v>159</v>
      </c>
      <c r="B51" s="7" t="s">
        <v>185</v>
      </c>
      <c r="C51" s="53"/>
    </row>
    <row r="52" spans="1:3" ht="12" customHeight="1" thickBot="1">
      <c r="A52" s="103" t="s">
        <v>41</v>
      </c>
      <c r="B52" s="87" t="s">
        <v>394</v>
      </c>
      <c r="C52" s="178">
        <f>SUM(C53:C55)</f>
        <v>0</v>
      </c>
    </row>
    <row r="53" spans="1:3" s="285" customFormat="1" ht="12" customHeight="1">
      <c r="A53" s="276" t="s">
        <v>122</v>
      </c>
      <c r="B53" s="8" t="s">
        <v>203</v>
      </c>
      <c r="C53" s="51"/>
    </row>
    <row r="54" spans="1:3" ht="12" customHeight="1">
      <c r="A54" s="276" t="s">
        <v>123</v>
      </c>
      <c r="B54" s="7" t="s">
        <v>187</v>
      </c>
      <c r="C54" s="53"/>
    </row>
    <row r="55" spans="1:3" ht="12" customHeight="1">
      <c r="A55" s="276" t="s">
        <v>124</v>
      </c>
      <c r="B55" s="7" t="s">
        <v>80</v>
      </c>
      <c r="C55" s="53"/>
    </row>
    <row r="56" spans="1:3" ht="12" customHeight="1" thickBot="1">
      <c r="A56" s="276" t="s">
        <v>125</v>
      </c>
      <c r="B56" s="7" t="s">
        <v>577</v>
      </c>
      <c r="C56" s="53"/>
    </row>
    <row r="57" spans="1:3" ht="15" customHeight="1" thickBot="1">
      <c r="A57" s="103" t="s">
        <v>42</v>
      </c>
      <c r="B57" s="87" t="s">
        <v>35</v>
      </c>
      <c r="C57" s="203"/>
    </row>
    <row r="58" spans="1:3" ht="13.5" thickBot="1">
      <c r="A58" s="103" t="s">
        <v>43</v>
      </c>
      <c r="B58" s="142" t="s">
        <v>578</v>
      </c>
      <c r="C58" s="225">
        <f>+C46+C52+C57</f>
        <v>5935000</v>
      </c>
    </row>
    <row r="59" ht="15" customHeight="1" thickBot="1">
      <c r="C59" s="606"/>
    </row>
    <row r="60" spans="1:3" ht="14.25" customHeight="1" thickBot="1">
      <c r="A60" s="145" t="s">
        <v>570</v>
      </c>
      <c r="B60" s="146"/>
      <c r="C60" s="86">
        <v>0</v>
      </c>
    </row>
    <row r="61" spans="1:3" ht="13.5" thickBot="1">
      <c r="A61" s="145" t="s">
        <v>199</v>
      </c>
      <c r="B61" s="146"/>
      <c r="C61" s="8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28/2017.(X.27.)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143" customWidth="1"/>
    <col min="2" max="2" width="79.125" style="144" customWidth="1"/>
    <col min="3" max="3" width="25.00390625" style="788" customWidth="1"/>
    <col min="4" max="16384" width="9.375" style="144" customWidth="1"/>
  </cols>
  <sheetData>
    <row r="1" spans="1:3" s="123" customFormat="1" ht="21" customHeight="1" thickBot="1">
      <c r="A1" s="122"/>
      <c r="B1" s="124"/>
      <c r="C1" s="761" t="e">
        <f>+CONCATENATE("9.3. melléklet a ……/",LEFT(#REF!,4),". (….) önkormányzati rendelethez")</f>
        <v>#REF!</v>
      </c>
    </row>
    <row r="2" spans="1:3" s="281" customFormat="1" ht="33" customHeight="1">
      <c r="A2" s="238" t="s">
        <v>197</v>
      </c>
      <c r="B2" s="213" t="s">
        <v>436</v>
      </c>
      <c r="C2" s="762" t="s">
        <v>83</v>
      </c>
    </row>
    <row r="3" spans="1:3" s="281" customFormat="1" ht="24.75" thickBot="1">
      <c r="A3" s="274" t="s">
        <v>196</v>
      </c>
      <c r="B3" s="214" t="s">
        <v>377</v>
      </c>
      <c r="C3" s="763" t="s">
        <v>75</v>
      </c>
    </row>
    <row r="4" spans="1:3" s="282" customFormat="1" ht="15.75" customHeight="1" thickBot="1">
      <c r="A4" s="126"/>
      <c r="B4" s="126"/>
      <c r="C4" s="764" t="s">
        <v>633</v>
      </c>
    </row>
    <row r="5" spans="1:3" ht="13.5" thickBot="1">
      <c r="A5" s="239" t="s">
        <v>198</v>
      </c>
      <c r="B5" s="128" t="s">
        <v>76</v>
      </c>
      <c r="C5" s="765" t="s">
        <v>77</v>
      </c>
    </row>
    <row r="6" spans="1:3" s="283" customFormat="1" ht="12.75" customHeight="1" thickBot="1">
      <c r="A6" s="100" t="s">
        <v>491</v>
      </c>
      <c r="B6" s="101" t="s">
        <v>492</v>
      </c>
      <c r="C6" s="766" t="s">
        <v>493</v>
      </c>
    </row>
    <row r="7" spans="1:3" s="283" customFormat="1" ht="15.75" customHeight="1" thickBot="1">
      <c r="A7" s="130"/>
      <c r="B7" s="131" t="s">
        <v>78</v>
      </c>
      <c r="C7" s="767"/>
    </row>
    <row r="8" spans="1:3" s="228" customFormat="1" ht="12" customHeight="1" thickBot="1">
      <c r="A8" s="100" t="s">
        <v>40</v>
      </c>
      <c r="B8" s="133" t="s">
        <v>573</v>
      </c>
      <c r="C8" s="768">
        <f>SUM(C9:C19)</f>
        <v>12849854</v>
      </c>
    </row>
    <row r="9" spans="1:3" s="228" customFormat="1" ht="12" customHeight="1">
      <c r="A9" s="275" t="s">
        <v>116</v>
      </c>
      <c r="B9" s="9" t="s">
        <v>253</v>
      </c>
      <c r="C9" s="769"/>
    </row>
    <row r="10" spans="1:3" s="228" customFormat="1" ht="12" customHeight="1">
      <c r="A10" s="276" t="s">
        <v>117</v>
      </c>
      <c r="B10" s="7" t="s">
        <v>254</v>
      </c>
      <c r="C10" s="770">
        <v>600000</v>
      </c>
    </row>
    <row r="11" spans="1:3" s="228" customFormat="1" ht="12" customHeight="1">
      <c r="A11" s="276" t="s">
        <v>118</v>
      </c>
      <c r="B11" s="7" t="s">
        <v>255</v>
      </c>
      <c r="C11" s="770">
        <f>4100000+700000</f>
        <v>4800000</v>
      </c>
    </row>
    <row r="12" spans="1:3" s="228" customFormat="1" ht="12" customHeight="1">
      <c r="A12" s="276" t="s">
        <v>119</v>
      </c>
      <c r="B12" s="7" t="s">
        <v>256</v>
      </c>
      <c r="C12" s="770"/>
    </row>
    <row r="13" spans="1:3" s="228" customFormat="1" ht="12" customHeight="1">
      <c r="A13" s="276" t="s">
        <v>159</v>
      </c>
      <c r="B13" s="7" t="s">
        <v>257</v>
      </c>
      <c r="C13" s="770">
        <v>1409334</v>
      </c>
    </row>
    <row r="14" spans="1:3" s="228" customFormat="1" ht="12" customHeight="1">
      <c r="A14" s="276" t="s">
        <v>120</v>
      </c>
      <c r="B14" s="7" t="s">
        <v>378</v>
      </c>
      <c r="C14" s="770">
        <f>1649520+189000</f>
        <v>1838520</v>
      </c>
    </row>
    <row r="15" spans="1:3" s="228" customFormat="1" ht="12" customHeight="1">
      <c r="A15" s="276" t="s">
        <v>121</v>
      </c>
      <c r="B15" s="6" t="s">
        <v>379</v>
      </c>
      <c r="C15" s="770">
        <v>4192000</v>
      </c>
    </row>
    <row r="16" spans="1:3" s="228" customFormat="1" ht="12" customHeight="1">
      <c r="A16" s="276" t="s">
        <v>131</v>
      </c>
      <c r="B16" s="7" t="s">
        <v>260</v>
      </c>
      <c r="C16" s="771">
        <v>10000</v>
      </c>
    </row>
    <row r="17" spans="1:3" s="284" customFormat="1" ht="12" customHeight="1">
      <c r="A17" s="276" t="s">
        <v>132</v>
      </c>
      <c r="B17" s="7" t="s">
        <v>261</v>
      </c>
      <c r="C17" s="770"/>
    </row>
    <row r="18" spans="1:3" s="284" customFormat="1" ht="12" customHeight="1">
      <c r="A18" s="276" t="s">
        <v>133</v>
      </c>
      <c r="B18" s="7" t="s">
        <v>500</v>
      </c>
      <c r="C18" s="772"/>
    </row>
    <row r="19" spans="1:3" s="284" customFormat="1" ht="12" customHeight="1" thickBot="1">
      <c r="A19" s="276" t="s">
        <v>134</v>
      </c>
      <c r="B19" s="6" t="s">
        <v>262</v>
      </c>
      <c r="C19" s="772"/>
    </row>
    <row r="20" spans="1:3" s="228" customFormat="1" ht="12" customHeight="1" thickBot="1">
      <c r="A20" s="100" t="s">
        <v>41</v>
      </c>
      <c r="B20" s="133" t="s">
        <v>380</v>
      </c>
      <c r="C20" s="768">
        <f>SUM(C21:C23)</f>
        <v>0</v>
      </c>
    </row>
    <row r="21" spans="1:3" s="284" customFormat="1" ht="12" customHeight="1">
      <c r="A21" s="276" t="s">
        <v>122</v>
      </c>
      <c r="B21" s="8" t="s">
        <v>230</v>
      </c>
      <c r="C21" s="770"/>
    </row>
    <row r="22" spans="1:3" s="284" customFormat="1" ht="12" customHeight="1">
      <c r="A22" s="276" t="s">
        <v>123</v>
      </c>
      <c r="B22" s="7" t="s">
        <v>381</v>
      </c>
      <c r="C22" s="770"/>
    </row>
    <row r="23" spans="1:3" s="284" customFormat="1" ht="12" customHeight="1">
      <c r="A23" s="276" t="s">
        <v>124</v>
      </c>
      <c r="B23" s="7" t="s">
        <v>382</v>
      </c>
      <c r="C23" s="770"/>
    </row>
    <row r="24" spans="1:3" s="284" customFormat="1" ht="12" customHeight="1" thickBot="1">
      <c r="A24" s="276" t="s">
        <v>125</v>
      </c>
      <c r="B24" s="7" t="s">
        <v>580</v>
      </c>
      <c r="C24" s="770"/>
    </row>
    <row r="25" spans="1:3" s="284" customFormat="1" ht="12" customHeight="1" thickBot="1">
      <c r="A25" s="103" t="s">
        <v>42</v>
      </c>
      <c r="B25" s="87" t="s">
        <v>174</v>
      </c>
      <c r="C25" s="773"/>
    </row>
    <row r="26" spans="1:3" s="284" customFormat="1" ht="12" customHeight="1" thickBot="1">
      <c r="A26" s="103" t="s">
        <v>43</v>
      </c>
      <c r="B26" s="87" t="s">
        <v>581</v>
      </c>
      <c r="C26" s="768">
        <f>+C27+C28</f>
        <v>0</v>
      </c>
    </row>
    <row r="27" spans="1:3" s="284" customFormat="1" ht="12" customHeight="1">
      <c r="A27" s="277" t="s">
        <v>240</v>
      </c>
      <c r="B27" s="278" t="s">
        <v>381</v>
      </c>
      <c r="C27" s="774"/>
    </row>
    <row r="28" spans="1:3" s="284" customFormat="1" ht="12" customHeight="1">
      <c r="A28" s="277" t="s">
        <v>243</v>
      </c>
      <c r="B28" s="279" t="s">
        <v>383</v>
      </c>
      <c r="C28" s="775"/>
    </row>
    <row r="29" spans="1:3" s="284" customFormat="1" ht="12" customHeight="1" thickBot="1">
      <c r="A29" s="276" t="s">
        <v>244</v>
      </c>
      <c r="B29" s="90" t="s">
        <v>582</v>
      </c>
      <c r="C29" s="776"/>
    </row>
    <row r="30" spans="1:3" s="284" customFormat="1" ht="12" customHeight="1" thickBot="1">
      <c r="A30" s="103" t="s">
        <v>44</v>
      </c>
      <c r="B30" s="87" t="s">
        <v>384</v>
      </c>
      <c r="C30" s="768">
        <f>+C31+C32+C33</f>
        <v>0</v>
      </c>
    </row>
    <row r="31" spans="1:3" s="284" customFormat="1" ht="12" customHeight="1">
      <c r="A31" s="277" t="s">
        <v>109</v>
      </c>
      <c r="B31" s="278" t="s">
        <v>267</v>
      </c>
      <c r="C31" s="774"/>
    </row>
    <row r="32" spans="1:3" s="284" customFormat="1" ht="12" customHeight="1">
      <c r="A32" s="277" t="s">
        <v>110</v>
      </c>
      <c r="B32" s="279" t="s">
        <v>268</v>
      </c>
      <c r="C32" s="775"/>
    </row>
    <row r="33" spans="1:3" s="284" customFormat="1" ht="12" customHeight="1" thickBot="1">
      <c r="A33" s="276" t="s">
        <v>111</v>
      </c>
      <c r="B33" s="90" t="s">
        <v>269</v>
      </c>
      <c r="C33" s="776"/>
    </row>
    <row r="34" spans="1:3" s="228" customFormat="1" ht="12" customHeight="1" thickBot="1">
      <c r="A34" s="103" t="s">
        <v>45</v>
      </c>
      <c r="B34" s="87" t="s">
        <v>355</v>
      </c>
      <c r="C34" s="773">
        <v>80000</v>
      </c>
    </row>
    <row r="35" spans="1:3" s="228" customFormat="1" ht="12" customHeight="1" thickBot="1">
      <c r="A35" s="103" t="s">
        <v>46</v>
      </c>
      <c r="B35" s="87" t="s">
        <v>385</v>
      </c>
      <c r="C35" s="777"/>
    </row>
    <row r="36" spans="1:3" s="228" customFormat="1" ht="12" customHeight="1" thickBot="1">
      <c r="A36" s="100" t="s">
        <v>47</v>
      </c>
      <c r="B36" s="87" t="s">
        <v>583</v>
      </c>
      <c r="C36" s="778">
        <f>+C8+C20+C25+C26+C30+C34+C35</f>
        <v>12929854</v>
      </c>
    </row>
    <row r="37" spans="1:3" s="228" customFormat="1" ht="12" customHeight="1" thickBot="1">
      <c r="A37" s="134" t="s">
        <v>48</v>
      </c>
      <c r="B37" s="87" t="s">
        <v>387</v>
      </c>
      <c r="C37" s="778">
        <f>+C38+C39+C40</f>
        <v>282027844</v>
      </c>
    </row>
    <row r="38" spans="1:3" s="228" customFormat="1" ht="12" customHeight="1">
      <c r="A38" s="277" t="s">
        <v>388</v>
      </c>
      <c r="B38" s="278" t="s">
        <v>212</v>
      </c>
      <c r="C38" s="774">
        <v>291569</v>
      </c>
    </row>
    <row r="39" spans="1:3" s="228" customFormat="1" ht="12" customHeight="1">
      <c r="A39" s="277" t="s">
        <v>389</v>
      </c>
      <c r="B39" s="279" t="s">
        <v>31</v>
      </c>
      <c r="C39" s="775"/>
    </row>
    <row r="40" spans="1:3" s="284" customFormat="1" ht="12" customHeight="1" thickBot="1">
      <c r="A40" s="276" t="s">
        <v>390</v>
      </c>
      <c r="B40" s="90" t="s">
        <v>391</v>
      </c>
      <c r="C40" s="466">
        <f>275320023+18952+840344+578000+157000+30000+600000+200000+1156849-80000+190500+1627295+390400+531912+80000+95000</f>
        <v>281736275</v>
      </c>
    </row>
    <row r="41" spans="1:3" s="284" customFormat="1" ht="15" customHeight="1" thickBot="1">
      <c r="A41" s="134" t="s">
        <v>49</v>
      </c>
      <c r="B41" s="135" t="s">
        <v>392</v>
      </c>
      <c r="C41" s="779">
        <f>+C36+C37</f>
        <v>294957698</v>
      </c>
    </row>
    <row r="42" spans="1:3" s="284" customFormat="1" ht="15" customHeight="1">
      <c r="A42" s="136"/>
      <c r="B42" s="137"/>
      <c r="C42" s="780"/>
    </row>
    <row r="43" spans="1:3" ht="13.5" thickBot="1">
      <c r="A43" s="138"/>
      <c r="B43" s="139"/>
      <c r="C43" s="781"/>
    </row>
    <row r="44" spans="1:3" s="283" customFormat="1" ht="16.5" customHeight="1" thickBot="1">
      <c r="A44" s="140"/>
      <c r="B44" s="141" t="s">
        <v>79</v>
      </c>
      <c r="C44" s="782"/>
    </row>
    <row r="45" spans="1:3" s="285" customFormat="1" ht="12" customHeight="1" thickBot="1">
      <c r="A45" s="103" t="s">
        <v>40</v>
      </c>
      <c r="B45" s="87" t="s">
        <v>393</v>
      </c>
      <c r="C45" s="783">
        <f>SUM(C46:C50)</f>
        <v>292047623</v>
      </c>
    </row>
    <row r="46" spans="1:3" ht="12" customHeight="1">
      <c r="A46" s="276" t="s">
        <v>116</v>
      </c>
      <c r="B46" s="8" t="s">
        <v>71</v>
      </c>
      <c r="C46" s="467">
        <f>175696049+14952+155200+948237+1653848-80000+444000+80000</f>
        <v>178912286</v>
      </c>
    </row>
    <row r="47" spans="1:3" ht="12" customHeight="1">
      <c r="A47" s="276" t="s">
        <v>117</v>
      </c>
      <c r="B47" s="7" t="s">
        <v>183</v>
      </c>
      <c r="C47" s="468">
        <f>41986053+4000+34144+208612+363847+87912</f>
        <v>42684568</v>
      </c>
    </row>
    <row r="48" spans="1:3" ht="12" customHeight="1">
      <c r="A48" s="276" t="s">
        <v>118</v>
      </c>
      <c r="B48" s="7" t="s">
        <v>152</v>
      </c>
      <c r="C48" s="468">
        <f>68610269+651000+30000+190500+889000+80000</f>
        <v>70450769</v>
      </c>
    </row>
    <row r="49" spans="1:3" ht="12" customHeight="1">
      <c r="A49" s="276" t="s">
        <v>119</v>
      </c>
      <c r="B49" s="7" t="s">
        <v>184</v>
      </c>
      <c r="C49" s="784"/>
    </row>
    <row r="50" spans="1:3" ht="12" customHeight="1" thickBot="1">
      <c r="A50" s="276" t="s">
        <v>159</v>
      </c>
      <c r="B50" s="7" t="s">
        <v>185</v>
      </c>
      <c r="C50" s="784"/>
    </row>
    <row r="51" spans="1:3" ht="12" customHeight="1" thickBot="1">
      <c r="A51" s="103" t="s">
        <v>41</v>
      </c>
      <c r="B51" s="87" t="s">
        <v>394</v>
      </c>
      <c r="C51" s="783">
        <f>SUM(C52:C54)</f>
        <v>2910075</v>
      </c>
    </row>
    <row r="52" spans="1:3" s="285" customFormat="1" ht="12" customHeight="1">
      <c r="A52" s="276" t="s">
        <v>122</v>
      </c>
      <c r="B52" s="8" t="s">
        <v>203</v>
      </c>
      <c r="C52" s="459">
        <f>1280075+95000</f>
        <v>1375075</v>
      </c>
    </row>
    <row r="53" spans="1:3" ht="12" customHeight="1">
      <c r="A53" s="276" t="s">
        <v>123</v>
      </c>
      <c r="B53" s="7" t="s">
        <v>187</v>
      </c>
      <c r="C53" s="784">
        <f>578000+157000+600000+200000</f>
        <v>1535000</v>
      </c>
    </row>
    <row r="54" spans="1:3" ht="12" customHeight="1">
      <c r="A54" s="276" t="s">
        <v>124</v>
      </c>
      <c r="B54" s="7" t="s">
        <v>80</v>
      </c>
      <c r="C54" s="784"/>
    </row>
    <row r="55" spans="1:3" ht="12" customHeight="1" thickBot="1">
      <c r="A55" s="276" t="s">
        <v>125</v>
      </c>
      <c r="B55" s="7" t="s">
        <v>577</v>
      </c>
      <c r="C55" s="784"/>
    </row>
    <row r="56" spans="1:3" ht="15" customHeight="1" thickBot="1">
      <c r="A56" s="103" t="s">
        <v>42</v>
      </c>
      <c r="B56" s="87" t="s">
        <v>35</v>
      </c>
      <c r="C56" s="773"/>
    </row>
    <row r="57" spans="1:3" ht="13.5" thickBot="1">
      <c r="A57" s="103" t="s">
        <v>43</v>
      </c>
      <c r="B57" s="142" t="s">
        <v>578</v>
      </c>
      <c r="C57" s="785">
        <f>+C45+C51+C56</f>
        <v>294957698</v>
      </c>
    </row>
    <row r="58" ht="15" customHeight="1" thickBot="1">
      <c r="C58" s="786"/>
    </row>
    <row r="59" spans="1:3" ht="14.25" customHeight="1" thickBot="1">
      <c r="A59" s="145" t="s">
        <v>570</v>
      </c>
      <c r="B59" s="146"/>
      <c r="C59" s="787">
        <v>54</v>
      </c>
    </row>
    <row r="60" spans="1:3" ht="13.5" thickBot="1">
      <c r="A60" s="145" t="s">
        <v>199</v>
      </c>
      <c r="B60" s="146"/>
      <c r="C60" s="78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28/2017.(X.27.)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18" sqref="C18"/>
    </sheetView>
  </sheetViews>
  <sheetFormatPr defaultColWidth="9.00390625" defaultRowHeight="12.75"/>
  <cols>
    <col min="1" max="1" width="13.875" style="143" customWidth="1"/>
    <col min="2" max="2" width="79.125" style="144" customWidth="1"/>
    <col min="3" max="3" width="25.00390625" style="788" customWidth="1"/>
    <col min="4" max="16384" width="9.375" style="144" customWidth="1"/>
  </cols>
  <sheetData>
    <row r="1" spans="1:3" s="123" customFormat="1" ht="21" customHeight="1" thickBot="1">
      <c r="A1" s="122"/>
      <c r="B1" s="124"/>
      <c r="C1" s="761" t="e">
        <f>+CONCATENATE("9.3.1. melléklet a ……/",LEFT(#REF!,4),". (….) önkormányzati rendelethez")</f>
        <v>#REF!</v>
      </c>
    </row>
    <row r="2" spans="1:3" s="281" customFormat="1" ht="33.75" customHeight="1">
      <c r="A2" s="238" t="s">
        <v>197</v>
      </c>
      <c r="B2" s="213" t="s">
        <v>436</v>
      </c>
      <c r="C2" s="762" t="s">
        <v>83</v>
      </c>
    </row>
    <row r="3" spans="1:3" s="281" customFormat="1" ht="24.75" thickBot="1">
      <c r="A3" s="274" t="s">
        <v>196</v>
      </c>
      <c r="B3" s="214" t="s">
        <v>395</v>
      </c>
      <c r="C3" s="763" t="s">
        <v>82</v>
      </c>
    </row>
    <row r="4" spans="1:3" s="282" customFormat="1" ht="15.75" customHeight="1" thickBot="1">
      <c r="A4" s="126"/>
      <c r="B4" s="126"/>
      <c r="C4" s="764" t="s">
        <v>633</v>
      </c>
    </row>
    <row r="5" spans="1:3" ht="13.5" thickBot="1">
      <c r="A5" s="239" t="s">
        <v>198</v>
      </c>
      <c r="B5" s="128" t="s">
        <v>76</v>
      </c>
      <c r="C5" s="765" t="s">
        <v>77</v>
      </c>
    </row>
    <row r="6" spans="1:3" s="283" customFormat="1" ht="12.75" customHeight="1" thickBot="1">
      <c r="A6" s="100" t="s">
        <v>491</v>
      </c>
      <c r="B6" s="101" t="s">
        <v>492</v>
      </c>
      <c r="C6" s="766" t="s">
        <v>493</v>
      </c>
    </row>
    <row r="7" spans="1:3" s="283" customFormat="1" ht="15.75" customHeight="1" thickBot="1">
      <c r="A7" s="130"/>
      <c r="B7" s="131" t="s">
        <v>78</v>
      </c>
      <c r="C7" s="767"/>
    </row>
    <row r="8" spans="1:3" s="228" customFormat="1" ht="12" customHeight="1" thickBot="1">
      <c r="A8" s="100" t="s">
        <v>40</v>
      </c>
      <c r="B8" s="133" t="s">
        <v>573</v>
      </c>
      <c r="C8" s="768">
        <f>SUM(C9:C19)</f>
        <v>12849854</v>
      </c>
    </row>
    <row r="9" spans="1:3" s="228" customFormat="1" ht="12" customHeight="1">
      <c r="A9" s="275" t="s">
        <v>116</v>
      </c>
      <c r="B9" s="9" t="s">
        <v>253</v>
      </c>
      <c r="C9" s="769"/>
    </row>
    <row r="10" spans="1:3" s="228" customFormat="1" ht="12" customHeight="1">
      <c r="A10" s="276" t="s">
        <v>117</v>
      </c>
      <c r="B10" s="7" t="s">
        <v>254</v>
      </c>
      <c r="C10" s="770">
        <f>'9.3. sz. mell'!C10</f>
        <v>600000</v>
      </c>
    </row>
    <row r="11" spans="1:3" s="228" customFormat="1" ht="12" customHeight="1">
      <c r="A11" s="276" t="s">
        <v>118</v>
      </c>
      <c r="B11" s="7" t="s">
        <v>255</v>
      </c>
      <c r="C11" s="770">
        <f>'9.3. sz. mell'!C11</f>
        <v>4800000</v>
      </c>
    </row>
    <row r="12" spans="1:3" s="228" customFormat="1" ht="12" customHeight="1">
      <c r="A12" s="276" t="s">
        <v>119</v>
      </c>
      <c r="B12" s="7" t="s">
        <v>256</v>
      </c>
      <c r="C12" s="770">
        <f>'9.3. sz. mell'!C12</f>
        <v>0</v>
      </c>
    </row>
    <row r="13" spans="1:3" s="228" customFormat="1" ht="12" customHeight="1">
      <c r="A13" s="276" t="s">
        <v>159</v>
      </c>
      <c r="B13" s="7" t="s">
        <v>257</v>
      </c>
      <c r="C13" s="770">
        <f>'9.3. sz. mell'!C13</f>
        <v>1409334</v>
      </c>
    </row>
    <row r="14" spans="1:3" s="228" customFormat="1" ht="12" customHeight="1">
      <c r="A14" s="276" t="s">
        <v>120</v>
      </c>
      <c r="B14" s="7" t="s">
        <v>378</v>
      </c>
      <c r="C14" s="770">
        <f>'9.3. sz. mell'!C14</f>
        <v>1838520</v>
      </c>
    </row>
    <row r="15" spans="1:3" s="228" customFormat="1" ht="12" customHeight="1">
      <c r="A15" s="276" t="s">
        <v>121</v>
      </c>
      <c r="B15" s="6" t="s">
        <v>379</v>
      </c>
      <c r="C15" s="770">
        <f>'9.3. sz. mell'!C15</f>
        <v>4192000</v>
      </c>
    </row>
    <row r="16" spans="1:3" s="228" customFormat="1" ht="12" customHeight="1">
      <c r="A16" s="276" t="s">
        <v>131</v>
      </c>
      <c r="B16" s="7" t="s">
        <v>260</v>
      </c>
      <c r="C16" s="770">
        <f>'9.3. sz. mell'!C16</f>
        <v>10000</v>
      </c>
    </row>
    <row r="17" spans="1:3" s="284" customFormat="1" ht="12" customHeight="1">
      <c r="A17" s="276" t="s">
        <v>132</v>
      </c>
      <c r="B17" s="7" t="s">
        <v>261</v>
      </c>
      <c r="C17" s="770">
        <f>'9.3. sz. mell'!C17</f>
        <v>0</v>
      </c>
    </row>
    <row r="18" spans="1:3" s="284" customFormat="1" ht="12" customHeight="1">
      <c r="A18" s="276" t="s">
        <v>133</v>
      </c>
      <c r="B18" s="7" t="s">
        <v>500</v>
      </c>
      <c r="C18" s="770">
        <f>'9.3. sz. mell'!C18</f>
        <v>0</v>
      </c>
    </row>
    <row r="19" spans="1:3" s="284" customFormat="1" ht="12" customHeight="1" thickBot="1">
      <c r="A19" s="276" t="s">
        <v>134</v>
      </c>
      <c r="B19" s="6" t="s">
        <v>262</v>
      </c>
      <c r="C19" s="772"/>
    </row>
    <row r="20" spans="1:3" s="228" customFormat="1" ht="12" customHeight="1" thickBot="1">
      <c r="A20" s="100" t="s">
        <v>41</v>
      </c>
      <c r="B20" s="133" t="s">
        <v>380</v>
      </c>
      <c r="C20" s="768">
        <f>SUM(C21:C23)</f>
        <v>0</v>
      </c>
    </row>
    <row r="21" spans="1:3" s="284" customFormat="1" ht="12" customHeight="1">
      <c r="A21" s="276" t="s">
        <v>122</v>
      </c>
      <c r="B21" s="8" t="s">
        <v>230</v>
      </c>
      <c r="C21" s="770"/>
    </row>
    <row r="22" spans="1:3" s="284" customFormat="1" ht="12" customHeight="1">
      <c r="A22" s="276" t="s">
        <v>123</v>
      </c>
      <c r="B22" s="7" t="s">
        <v>381</v>
      </c>
      <c r="C22" s="770"/>
    </row>
    <row r="23" spans="1:3" s="284" customFormat="1" ht="12" customHeight="1">
      <c r="A23" s="276" t="s">
        <v>124</v>
      </c>
      <c r="B23" s="7" t="s">
        <v>382</v>
      </c>
      <c r="C23" s="770"/>
    </row>
    <row r="24" spans="1:3" s="284" customFormat="1" ht="12" customHeight="1" thickBot="1">
      <c r="A24" s="276" t="s">
        <v>125</v>
      </c>
      <c r="B24" s="7" t="s">
        <v>580</v>
      </c>
      <c r="C24" s="770"/>
    </row>
    <row r="25" spans="1:3" s="284" customFormat="1" ht="12" customHeight="1" thickBot="1">
      <c r="A25" s="103" t="s">
        <v>42</v>
      </c>
      <c r="B25" s="87" t="s">
        <v>174</v>
      </c>
      <c r="C25" s="773"/>
    </row>
    <row r="26" spans="1:3" s="284" customFormat="1" ht="12" customHeight="1" thickBot="1">
      <c r="A26" s="103" t="s">
        <v>43</v>
      </c>
      <c r="B26" s="87" t="s">
        <v>581</v>
      </c>
      <c r="C26" s="768">
        <f>+C27+C28</f>
        <v>0</v>
      </c>
    </row>
    <row r="27" spans="1:3" s="284" customFormat="1" ht="12" customHeight="1">
      <c r="A27" s="277" t="s">
        <v>240</v>
      </c>
      <c r="B27" s="278" t="s">
        <v>381</v>
      </c>
      <c r="C27" s="774"/>
    </row>
    <row r="28" spans="1:3" s="284" customFormat="1" ht="12" customHeight="1">
      <c r="A28" s="277" t="s">
        <v>243</v>
      </c>
      <c r="B28" s="279" t="s">
        <v>383</v>
      </c>
      <c r="C28" s="775"/>
    </row>
    <row r="29" spans="1:3" s="284" customFormat="1" ht="12" customHeight="1" thickBot="1">
      <c r="A29" s="276" t="s">
        <v>244</v>
      </c>
      <c r="B29" s="90" t="s">
        <v>582</v>
      </c>
      <c r="C29" s="776"/>
    </row>
    <row r="30" spans="1:3" s="284" customFormat="1" ht="12" customHeight="1" thickBot="1">
      <c r="A30" s="103" t="s">
        <v>44</v>
      </c>
      <c r="B30" s="87" t="s">
        <v>384</v>
      </c>
      <c r="C30" s="768">
        <f>+C31+C32+C33</f>
        <v>0</v>
      </c>
    </row>
    <row r="31" spans="1:3" s="284" customFormat="1" ht="12" customHeight="1">
      <c r="A31" s="277" t="s">
        <v>109</v>
      </c>
      <c r="B31" s="278" t="s">
        <v>267</v>
      </c>
      <c r="C31" s="774"/>
    </row>
    <row r="32" spans="1:3" s="284" customFormat="1" ht="12" customHeight="1">
      <c r="A32" s="277" t="s">
        <v>110</v>
      </c>
      <c r="B32" s="279" t="s">
        <v>268</v>
      </c>
      <c r="C32" s="775"/>
    </row>
    <row r="33" spans="1:3" s="284" customFormat="1" ht="12" customHeight="1" thickBot="1">
      <c r="A33" s="276" t="s">
        <v>111</v>
      </c>
      <c r="B33" s="90" t="s">
        <v>269</v>
      </c>
      <c r="C33" s="776"/>
    </row>
    <row r="34" spans="1:3" s="228" customFormat="1" ht="12" customHeight="1" thickBot="1">
      <c r="A34" s="103" t="s">
        <v>45</v>
      </c>
      <c r="B34" s="87" t="s">
        <v>355</v>
      </c>
      <c r="C34" s="770">
        <f>'9.3. sz. mell'!C34</f>
        <v>80000</v>
      </c>
    </row>
    <row r="35" spans="1:3" s="228" customFormat="1" ht="12" customHeight="1" thickBot="1">
      <c r="A35" s="103" t="s">
        <v>46</v>
      </c>
      <c r="B35" s="87" t="s">
        <v>385</v>
      </c>
      <c r="C35" s="777"/>
    </row>
    <row r="36" spans="1:3" s="228" customFormat="1" ht="12" customHeight="1" thickBot="1">
      <c r="A36" s="100" t="s">
        <v>47</v>
      </c>
      <c r="B36" s="87" t="s">
        <v>583</v>
      </c>
      <c r="C36" s="778">
        <f>+C8+C20+C25+C26+C30+C34+C35</f>
        <v>12929854</v>
      </c>
    </row>
    <row r="37" spans="1:3" s="228" customFormat="1" ht="12" customHeight="1" thickBot="1">
      <c r="A37" s="134" t="s">
        <v>48</v>
      </c>
      <c r="B37" s="87" t="s">
        <v>387</v>
      </c>
      <c r="C37" s="778">
        <f>+C38+C39+C40</f>
        <v>282027844</v>
      </c>
    </row>
    <row r="38" spans="1:3" s="228" customFormat="1" ht="12" customHeight="1">
      <c r="A38" s="277" t="s">
        <v>388</v>
      </c>
      <c r="B38" s="278" t="s">
        <v>212</v>
      </c>
      <c r="C38" s="774">
        <v>291569</v>
      </c>
    </row>
    <row r="39" spans="1:3" s="228" customFormat="1" ht="12" customHeight="1">
      <c r="A39" s="277" t="s">
        <v>389</v>
      </c>
      <c r="B39" s="279" t="s">
        <v>31</v>
      </c>
      <c r="C39" s="775"/>
    </row>
    <row r="40" spans="1:3" s="284" customFormat="1" ht="12" customHeight="1" thickBot="1">
      <c r="A40" s="276" t="s">
        <v>390</v>
      </c>
      <c r="B40" s="90" t="s">
        <v>391</v>
      </c>
      <c r="C40" s="469">
        <f>'9.3. sz. mell'!C40</f>
        <v>281736275</v>
      </c>
    </row>
    <row r="41" spans="1:3" s="284" customFormat="1" ht="15" customHeight="1" thickBot="1">
      <c r="A41" s="134" t="s">
        <v>49</v>
      </c>
      <c r="B41" s="135" t="s">
        <v>392</v>
      </c>
      <c r="C41" s="779">
        <f>+C36+C37</f>
        <v>294957698</v>
      </c>
    </row>
    <row r="42" spans="1:3" s="284" customFormat="1" ht="15" customHeight="1">
      <c r="A42" s="136"/>
      <c r="B42" s="137"/>
      <c r="C42" s="780"/>
    </row>
    <row r="43" spans="1:3" ht="13.5" thickBot="1">
      <c r="A43" s="138"/>
      <c r="B43" s="139"/>
      <c r="C43" s="781"/>
    </row>
    <row r="44" spans="1:3" s="283" customFormat="1" ht="16.5" customHeight="1" thickBot="1">
      <c r="A44" s="140"/>
      <c r="B44" s="141" t="s">
        <v>79</v>
      </c>
      <c r="C44" s="782"/>
    </row>
    <row r="45" spans="1:3" s="285" customFormat="1" ht="12" customHeight="1" thickBot="1">
      <c r="A45" s="103" t="s">
        <v>40</v>
      </c>
      <c r="B45" s="87" t="s">
        <v>393</v>
      </c>
      <c r="C45" s="783">
        <f>SUM(C46:C50)</f>
        <v>292047623</v>
      </c>
    </row>
    <row r="46" spans="1:3" ht="12" customHeight="1">
      <c r="A46" s="276" t="s">
        <v>116</v>
      </c>
      <c r="B46" s="8" t="s">
        <v>71</v>
      </c>
      <c r="C46" s="467">
        <f>'9.3. sz. mell'!C46</f>
        <v>178912286</v>
      </c>
    </row>
    <row r="47" spans="1:3" ht="12" customHeight="1">
      <c r="A47" s="276" t="s">
        <v>117</v>
      </c>
      <c r="B47" s="7" t="s">
        <v>183</v>
      </c>
      <c r="C47" s="467">
        <f>'9.3. sz. mell'!C47</f>
        <v>42684568</v>
      </c>
    </row>
    <row r="48" spans="1:3" ht="12" customHeight="1">
      <c r="A48" s="276" t="s">
        <v>118</v>
      </c>
      <c r="B48" s="7" t="s">
        <v>152</v>
      </c>
      <c r="C48" s="467">
        <f>'9.3. sz. mell'!C48</f>
        <v>70450769</v>
      </c>
    </row>
    <row r="49" spans="1:3" ht="12" customHeight="1">
      <c r="A49" s="276" t="s">
        <v>119</v>
      </c>
      <c r="B49" s="7" t="s">
        <v>184</v>
      </c>
      <c r="C49" s="784"/>
    </row>
    <row r="50" spans="1:3" ht="12" customHeight="1" thickBot="1">
      <c r="A50" s="276" t="s">
        <v>159</v>
      </c>
      <c r="B50" s="7" t="s">
        <v>185</v>
      </c>
      <c r="C50" s="784"/>
    </row>
    <row r="51" spans="1:3" ht="12" customHeight="1" thickBot="1">
      <c r="A51" s="103" t="s">
        <v>41</v>
      </c>
      <c r="B51" s="87" t="s">
        <v>394</v>
      </c>
      <c r="C51" s="783">
        <f>SUM(C52:C54)</f>
        <v>2910075</v>
      </c>
    </row>
    <row r="52" spans="1:3" s="285" customFormat="1" ht="12" customHeight="1">
      <c r="A52" s="276" t="s">
        <v>122</v>
      </c>
      <c r="B52" s="8" t="s">
        <v>203</v>
      </c>
      <c r="C52" s="459">
        <f>1280075+95000</f>
        <v>1375075</v>
      </c>
    </row>
    <row r="53" spans="1:3" ht="12" customHeight="1">
      <c r="A53" s="276" t="s">
        <v>123</v>
      </c>
      <c r="B53" s="7" t="s">
        <v>187</v>
      </c>
      <c r="C53" s="784">
        <f>578000+157000+600000+200000</f>
        <v>1535000</v>
      </c>
    </row>
    <row r="54" spans="1:3" ht="12" customHeight="1">
      <c r="A54" s="276" t="s">
        <v>124</v>
      </c>
      <c r="B54" s="7" t="s">
        <v>80</v>
      </c>
      <c r="C54" s="784"/>
    </row>
    <row r="55" spans="1:3" ht="12" customHeight="1" thickBot="1">
      <c r="A55" s="276" t="s">
        <v>125</v>
      </c>
      <c r="B55" s="7" t="s">
        <v>577</v>
      </c>
      <c r="C55" s="784"/>
    </row>
    <row r="56" spans="1:3" ht="15" customHeight="1" thickBot="1">
      <c r="A56" s="103" t="s">
        <v>42</v>
      </c>
      <c r="B56" s="87" t="s">
        <v>35</v>
      </c>
      <c r="C56" s="773"/>
    </row>
    <row r="57" spans="1:3" ht="13.5" thickBot="1">
      <c r="A57" s="103" t="s">
        <v>43</v>
      </c>
      <c r="B57" s="142" t="s">
        <v>578</v>
      </c>
      <c r="C57" s="785">
        <f>+C45+C51+C56</f>
        <v>294957698</v>
      </c>
    </row>
    <row r="58" ht="15" customHeight="1" thickBot="1">
      <c r="C58" s="786"/>
    </row>
    <row r="59" spans="1:3" ht="14.25" customHeight="1" thickBot="1">
      <c r="A59" s="145" t="s">
        <v>570</v>
      </c>
      <c r="B59" s="146"/>
      <c r="C59" s="787">
        <v>54</v>
      </c>
    </row>
    <row r="60" spans="1:3" ht="13.5" thickBot="1">
      <c r="A60" s="145" t="s">
        <v>199</v>
      </c>
      <c r="B60" s="146"/>
      <c r="C60" s="78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28/2017.(X.27.)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143" customWidth="1"/>
    <col min="2" max="2" width="79.125" style="144" customWidth="1"/>
    <col min="3" max="3" width="25.00390625" style="788" customWidth="1"/>
    <col min="4" max="16384" width="9.375" style="144" customWidth="1"/>
  </cols>
  <sheetData>
    <row r="1" spans="1:3" s="123" customFormat="1" ht="21" customHeight="1" thickBot="1">
      <c r="A1" s="122"/>
      <c r="B1" s="124"/>
      <c r="C1" s="761" t="e">
        <f>+CONCATENATE("9.3. melléklet a ……/",LEFT(#REF!,4),". (….) önkormányzati rendelethez")</f>
        <v>#REF!</v>
      </c>
    </row>
    <row r="2" spans="1:3" s="281" customFormat="1" ht="36" customHeight="1">
      <c r="A2" s="238" t="s">
        <v>197</v>
      </c>
      <c r="B2" s="213" t="s">
        <v>629</v>
      </c>
      <c r="C2" s="762" t="s">
        <v>83</v>
      </c>
    </row>
    <row r="3" spans="1:3" s="281" customFormat="1" ht="24.75" thickBot="1">
      <c r="A3" s="274" t="s">
        <v>196</v>
      </c>
      <c r="B3" s="214" t="s">
        <v>377</v>
      </c>
      <c r="C3" s="763" t="s">
        <v>75</v>
      </c>
    </row>
    <row r="4" spans="1:3" s="282" customFormat="1" ht="15.75" customHeight="1" thickBot="1">
      <c r="A4" s="126"/>
      <c r="B4" s="126"/>
      <c r="C4" s="764" t="s">
        <v>633</v>
      </c>
    </row>
    <row r="5" spans="1:3" ht="13.5" thickBot="1">
      <c r="A5" s="239" t="s">
        <v>198</v>
      </c>
      <c r="B5" s="128" t="s">
        <v>76</v>
      </c>
      <c r="C5" s="765" t="s">
        <v>77</v>
      </c>
    </row>
    <row r="6" spans="1:3" s="283" customFormat="1" ht="12.75" customHeight="1" thickBot="1">
      <c r="A6" s="100" t="s">
        <v>491</v>
      </c>
      <c r="B6" s="101" t="s">
        <v>492</v>
      </c>
      <c r="C6" s="766" t="s">
        <v>493</v>
      </c>
    </row>
    <row r="7" spans="1:3" s="283" customFormat="1" ht="15.75" customHeight="1" thickBot="1">
      <c r="A7" s="130"/>
      <c r="B7" s="131" t="s">
        <v>78</v>
      </c>
      <c r="C7" s="767"/>
    </row>
    <row r="8" spans="1:3" s="228" customFormat="1" ht="12" customHeight="1" thickBot="1">
      <c r="A8" s="100" t="s">
        <v>40</v>
      </c>
      <c r="B8" s="133" t="s">
        <v>573</v>
      </c>
      <c r="C8" s="768">
        <f>SUM(C9:C19)</f>
        <v>15000250</v>
      </c>
    </row>
    <row r="9" spans="1:3" s="228" customFormat="1" ht="12" customHeight="1">
      <c r="A9" s="275" t="s">
        <v>116</v>
      </c>
      <c r="B9" s="9" t="s">
        <v>253</v>
      </c>
      <c r="C9" s="769">
        <f>150000-130000</f>
        <v>20000</v>
      </c>
    </row>
    <row r="10" spans="1:3" s="228" customFormat="1" ht="12" customHeight="1">
      <c r="A10" s="276" t="s">
        <v>117</v>
      </c>
      <c r="B10" s="7" t="s">
        <v>254</v>
      </c>
      <c r="C10" s="770">
        <f>10400000+862205-250000</f>
        <v>11012205</v>
      </c>
    </row>
    <row r="11" spans="1:3" s="228" customFormat="1" ht="12" customHeight="1">
      <c r="A11" s="276" t="s">
        <v>118</v>
      </c>
      <c r="B11" s="7" t="s">
        <v>255</v>
      </c>
      <c r="C11" s="770">
        <v>900000</v>
      </c>
    </row>
    <row r="12" spans="1:3" s="228" customFormat="1" ht="12" customHeight="1">
      <c r="A12" s="276" t="s">
        <v>119</v>
      </c>
      <c r="B12" s="7" t="s">
        <v>256</v>
      </c>
      <c r="C12" s="770"/>
    </row>
    <row r="13" spans="1:3" s="228" customFormat="1" ht="12" customHeight="1">
      <c r="A13" s="276" t="s">
        <v>159</v>
      </c>
      <c r="B13" s="7" t="s">
        <v>257</v>
      </c>
      <c r="C13" s="770"/>
    </row>
    <row r="14" spans="1:3" s="228" customFormat="1" ht="12" customHeight="1">
      <c r="A14" s="276" t="s">
        <v>120</v>
      </c>
      <c r="B14" s="7" t="s">
        <v>378</v>
      </c>
      <c r="C14" s="770">
        <f>1661250+232795-74000</f>
        <v>1820045</v>
      </c>
    </row>
    <row r="15" spans="1:3" s="228" customFormat="1" ht="12" customHeight="1">
      <c r="A15" s="276" t="s">
        <v>121</v>
      </c>
      <c r="B15" s="6" t="s">
        <v>379</v>
      </c>
      <c r="C15" s="770">
        <f>2534000-1286000</f>
        <v>1248000</v>
      </c>
    </row>
    <row r="16" spans="1:3" s="228" customFormat="1" ht="12" customHeight="1">
      <c r="A16" s="276" t="s">
        <v>131</v>
      </c>
      <c r="B16" s="7" t="s">
        <v>260</v>
      </c>
      <c r="C16" s="771"/>
    </row>
    <row r="17" spans="1:3" s="284" customFormat="1" ht="12" customHeight="1">
      <c r="A17" s="276" t="s">
        <v>132</v>
      </c>
      <c r="B17" s="7" t="s">
        <v>261</v>
      </c>
      <c r="C17" s="770"/>
    </row>
    <row r="18" spans="1:3" s="284" customFormat="1" ht="12" customHeight="1">
      <c r="A18" s="276" t="s">
        <v>133</v>
      </c>
      <c r="B18" s="7" t="s">
        <v>500</v>
      </c>
      <c r="C18" s="772"/>
    </row>
    <row r="19" spans="1:3" s="284" customFormat="1" ht="12" customHeight="1" thickBot="1">
      <c r="A19" s="276" t="s">
        <v>134</v>
      </c>
      <c r="B19" s="6" t="s">
        <v>262</v>
      </c>
      <c r="C19" s="772"/>
    </row>
    <row r="20" spans="1:3" s="228" customFormat="1" ht="12" customHeight="1" thickBot="1">
      <c r="A20" s="100" t="s">
        <v>41</v>
      </c>
      <c r="B20" s="133" t="s">
        <v>380</v>
      </c>
      <c r="C20" s="768">
        <f>SUM(C21:C23)</f>
        <v>0</v>
      </c>
    </row>
    <row r="21" spans="1:3" s="284" customFormat="1" ht="12" customHeight="1">
      <c r="A21" s="276" t="s">
        <v>122</v>
      </c>
      <c r="B21" s="8" t="s">
        <v>230</v>
      </c>
      <c r="C21" s="770"/>
    </row>
    <row r="22" spans="1:3" s="284" customFormat="1" ht="12" customHeight="1">
      <c r="A22" s="276" t="s">
        <v>123</v>
      </c>
      <c r="B22" s="7" t="s">
        <v>381</v>
      </c>
      <c r="C22" s="770"/>
    </row>
    <row r="23" spans="1:3" s="284" customFormat="1" ht="12" customHeight="1">
      <c r="A23" s="276" t="s">
        <v>124</v>
      </c>
      <c r="B23" s="7" t="s">
        <v>382</v>
      </c>
      <c r="C23" s="770"/>
    </row>
    <row r="24" spans="1:3" s="284" customFormat="1" ht="12" customHeight="1" thickBot="1">
      <c r="A24" s="276" t="s">
        <v>125</v>
      </c>
      <c r="B24" s="7" t="s">
        <v>580</v>
      </c>
      <c r="C24" s="770"/>
    </row>
    <row r="25" spans="1:3" s="284" customFormat="1" ht="12" customHeight="1" thickBot="1">
      <c r="A25" s="103" t="s">
        <v>42</v>
      </c>
      <c r="B25" s="87" t="s">
        <v>174</v>
      </c>
      <c r="C25" s="773"/>
    </row>
    <row r="26" spans="1:3" s="284" customFormat="1" ht="12" customHeight="1" thickBot="1">
      <c r="A26" s="103" t="s">
        <v>43</v>
      </c>
      <c r="B26" s="87" t="s">
        <v>581</v>
      </c>
      <c r="C26" s="783">
        <f>+C27+C28</f>
        <v>263590</v>
      </c>
    </row>
    <row r="27" spans="1:3" s="284" customFormat="1" ht="12" customHeight="1">
      <c r="A27" s="277" t="s">
        <v>240</v>
      </c>
      <c r="B27" s="278" t="s">
        <v>381</v>
      </c>
      <c r="C27" s="774"/>
    </row>
    <row r="28" spans="1:3" s="284" customFormat="1" ht="12" customHeight="1">
      <c r="A28" s="277" t="s">
        <v>243</v>
      </c>
      <c r="B28" s="279" t="s">
        <v>383</v>
      </c>
      <c r="C28" s="789">
        <f>123157+140433</f>
        <v>263590</v>
      </c>
    </row>
    <row r="29" spans="1:3" s="284" customFormat="1" ht="12" customHeight="1" thickBot="1">
      <c r="A29" s="276" t="s">
        <v>244</v>
      </c>
      <c r="B29" s="90" t="s">
        <v>582</v>
      </c>
      <c r="C29" s="776"/>
    </row>
    <row r="30" spans="1:3" s="284" customFormat="1" ht="12" customHeight="1" thickBot="1">
      <c r="A30" s="103" t="s">
        <v>44</v>
      </c>
      <c r="B30" s="87" t="s">
        <v>384</v>
      </c>
      <c r="C30" s="768">
        <f>+C31+C32+C33</f>
        <v>0</v>
      </c>
    </row>
    <row r="31" spans="1:3" s="284" customFormat="1" ht="12" customHeight="1">
      <c r="A31" s="277" t="s">
        <v>109</v>
      </c>
      <c r="B31" s="278" t="s">
        <v>267</v>
      </c>
      <c r="C31" s="774"/>
    </row>
    <row r="32" spans="1:3" s="284" customFormat="1" ht="12" customHeight="1">
      <c r="A32" s="277" t="s">
        <v>110</v>
      </c>
      <c r="B32" s="279" t="s">
        <v>268</v>
      </c>
      <c r="C32" s="775"/>
    </row>
    <row r="33" spans="1:3" s="284" customFormat="1" ht="12" customHeight="1" thickBot="1">
      <c r="A33" s="276" t="s">
        <v>111</v>
      </c>
      <c r="B33" s="90" t="s">
        <v>269</v>
      </c>
      <c r="C33" s="776"/>
    </row>
    <row r="34" spans="1:3" s="228" customFormat="1" ht="12" customHeight="1" thickBot="1">
      <c r="A34" s="103" t="s">
        <v>45</v>
      </c>
      <c r="B34" s="87" t="s">
        <v>355</v>
      </c>
      <c r="C34" s="773"/>
    </row>
    <row r="35" spans="1:3" s="228" customFormat="1" ht="12" customHeight="1" thickBot="1">
      <c r="A35" s="103" t="s">
        <v>46</v>
      </c>
      <c r="B35" s="87" t="s">
        <v>385</v>
      </c>
      <c r="C35" s="777"/>
    </row>
    <row r="36" spans="1:3" s="228" customFormat="1" ht="12" customHeight="1" thickBot="1">
      <c r="A36" s="100" t="s">
        <v>47</v>
      </c>
      <c r="B36" s="87" t="s">
        <v>583</v>
      </c>
      <c r="C36" s="790">
        <f>+C8+C20+C25+C26+C30+C34+C35</f>
        <v>15263840</v>
      </c>
    </row>
    <row r="37" spans="1:3" s="228" customFormat="1" ht="12" customHeight="1" thickBot="1">
      <c r="A37" s="134" t="s">
        <v>48</v>
      </c>
      <c r="B37" s="87" t="s">
        <v>387</v>
      </c>
      <c r="C37" s="778">
        <f>+C38+C39+C40</f>
        <v>85888024</v>
      </c>
    </row>
    <row r="38" spans="1:3" s="228" customFormat="1" ht="12" customHeight="1">
      <c r="A38" s="277" t="s">
        <v>388</v>
      </c>
      <c r="B38" s="278" t="s">
        <v>212</v>
      </c>
      <c r="C38" s="774">
        <v>178326</v>
      </c>
    </row>
    <row r="39" spans="1:3" s="228" customFormat="1" ht="12" customHeight="1">
      <c r="A39" s="277" t="s">
        <v>389</v>
      </c>
      <c r="B39" s="279" t="s">
        <v>31</v>
      </c>
      <c r="C39" s="775"/>
    </row>
    <row r="40" spans="1:3" s="284" customFormat="1" ht="12" customHeight="1" thickBot="1">
      <c r="A40" s="276" t="s">
        <v>390</v>
      </c>
      <c r="B40" s="90" t="s">
        <v>391</v>
      </c>
      <c r="C40" s="466">
        <f>78947681+800303-184544+80000-1588816+258878+101222+1095000+142726+158136+635000+1238248+1905000+143660+1740000+237204</f>
        <v>85709698</v>
      </c>
    </row>
    <row r="41" spans="1:3" s="284" customFormat="1" ht="15" customHeight="1" thickBot="1">
      <c r="A41" s="134" t="s">
        <v>49</v>
      </c>
      <c r="B41" s="135" t="s">
        <v>392</v>
      </c>
      <c r="C41" s="779">
        <f>+C36+C37</f>
        <v>101151864</v>
      </c>
    </row>
    <row r="42" spans="1:3" s="284" customFormat="1" ht="15" customHeight="1">
      <c r="A42" s="136"/>
      <c r="B42" s="137"/>
      <c r="C42" s="780"/>
    </row>
    <row r="43" spans="1:3" ht="13.5" thickBot="1">
      <c r="A43" s="138"/>
      <c r="B43" s="139"/>
      <c r="C43" s="781"/>
    </row>
    <row r="44" spans="1:3" s="283" customFormat="1" ht="16.5" customHeight="1" thickBot="1">
      <c r="A44" s="140"/>
      <c r="B44" s="141" t="s">
        <v>79</v>
      </c>
      <c r="C44" s="782"/>
    </row>
    <row r="45" spans="1:3" s="285" customFormat="1" ht="12" customHeight="1" thickBot="1">
      <c r="A45" s="103" t="s">
        <v>40</v>
      </c>
      <c r="B45" s="87" t="s">
        <v>393</v>
      </c>
      <c r="C45" s="783">
        <f>SUM(C46:C50)</f>
        <v>96778487</v>
      </c>
    </row>
    <row r="46" spans="1:3" ht="12" customHeight="1">
      <c r="A46" s="276" t="s">
        <v>116</v>
      </c>
      <c r="B46" s="8" t="s">
        <v>71</v>
      </c>
      <c r="C46" s="774">
        <f>41027225+658050-382364-1132008-170300+60000+80000+900040+101222+142726+42775+100000-18339</f>
        <v>41409027</v>
      </c>
    </row>
    <row r="47" spans="1:3" ht="12" customHeight="1">
      <c r="A47" s="276" t="s">
        <v>117</v>
      </c>
      <c r="B47" s="7" t="s">
        <v>183</v>
      </c>
      <c r="C47" s="784">
        <f>9482677+142253-84120-249042-37466+11880+39984+177100+24990+43660</f>
        <v>9551916</v>
      </c>
    </row>
    <row r="48" spans="1:3" ht="12" customHeight="1">
      <c r="A48" s="276" t="s">
        <v>118</v>
      </c>
      <c r="B48" s="7" t="s">
        <v>152</v>
      </c>
      <c r="C48" s="468">
        <f>41615701+281940+80000-71880-119984+276738+1035000+158136-95650+635000+1905000+7339-27000+237204-100000</f>
        <v>45817544</v>
      </c>
    </row>
    <row r="49" spans="1:3" ht="12" customHeight="1">
      <c r="A49" s="276" t="s">
        <v>119</v>
      </c>
      <c r="B49" s="7" t="s">
        <v>184</v>
      </c>
      <c r="C49" s="784"/>
    </row>
    <row r="50" spans="1:3" ht="12" customHeight="1" thickBot="1">
      <c r="A50" s="276" t="s">
        <v>159</v>
      </c>
      <c r="B50" s="7" t="s">
        <v>185</v>
      </c>
      <c r="C50" s="784"/>
    </row>
    <row r="51" spans="1:3" ht="12" customHeight="1" thickBot="1">
      <c r="A51" s="103" t="s">
        <v>41</v>
      </c>
      <c r="B51" s="87" t="s">
        <v>394</v>
      </c>
      <c r="C51" s="783">
        <f>SUM(C52:C54)</f>
        <v>4373377</v>
      </c>
    </row>
    <row r="52" spans="1:3" s="285" customFormat="1" ht="12" customHeight="1">
      <c r="A52" s="276" t="s">
        <v>122</v>
      </c>
      <c r="B52" s="8" t="s">
        <v>203</v>
      </c>
      <c r="C52" s="459">
        <f>2645654+60000+151042+1238248+11000+167433+100000</f>
        <v>4373377</v>
      </c>
    </row>
    <row r="53" spans="1:3" ht="12" customHeight="1">
      <c r="A53" s="276" t="s">
        <v>123</v>
      </c>
      <c r="B53" s="7" t="s">
        <v>187</v>
      </c>
      <c r="C53" s="784"/>
    </row>
    <row r="54" spans="1:3" ht="12" customHeight="1">
      <c r="A54" s="276" t="s">
        <v>124</v>
      </c>
      <c r="B54" s="7" t="s">
        <v>80</v>
      </c>
      <c r="C54" s="784"/>
    </row>
    <row r="55" spans="1:3" ht="12" customHeight="1" thickBot="1">
      <c r="A55" s="276" t="s">
        <v>125</v>
      </c>
      <c r="B55" s="7" t="s">
        <v>577</v>
      </c>
      <c r="C55" s="784"/>
    </row>
    <row r="56" spans="1:3" ht="15" customHeight="1" thickBot="1">
      <c r="A56" s="103" t="s">
        <v>42</v>
      </c>
      <c r="B56" s="87" t="s">
        <v>35</v>
      </c>
      <c r="C56" s="773"/>
    </row>
    <row r="57" spans="1:3" ht="13.5" thickBot="1">
      <c r="A57" s="103" t="s">
        <v>43</v>
      </c>
      <c r="B57" s="142" t="s">
        <v>578</v>
      </c>
      <c r="C57" s="785">
        <f>+C45+C51+C56</f>
        <v>101151864</v>
      </c>
    </row>
    <row r="58" ht="15" customHeight="1" thickBot="1">
      <c r="C58" s="786"/>
    </row>
    <row r="59" spans="1:3" ht="14.25" customHeight="1" thickBot="1">
      <c r="A59" s="145" t="s">
        <v>570</v>
      </c>
      <c r="B59" s="146"/>
      <c r="C59" s="791">
        <v>16.75</v>
      </c>
    </row>
    <row r="60" spans="1:3" ht="13.5" thickBot="1">
      <c r="A60" s="145" t="s">
        <v>199</v>
      </c>
      <c r="B60" s="146"/>
      <c r="C60" s="7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28/2017.(X.27.)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143" customWidth="1"/>
    <col min="2" max="2" width="79.125" style="144" customWidth="1"/>
    <col min="3" max="3" width="25.00390625" style="788" customWidth="1"/>
    <col min="4" max="16384" width="9.375" style="144" customWidth="1"/>
  </cols>
  <sheetData>
    <row r="1" spans="1:3" s="123" customFormat="1" ht="21" customHeight="1" thickBot="1">
      <c r="A1" s="122"/>
      <c r="B1" s="124"/>
      <c r="C1" s="761" t="e">
        <f>+CONCATENATE("9.3.1. melléklet a ……/",LEFT(#REF!,4),". (….) önkormányzati rendelethez")</f>
        <v>#REF!</v>
      </c>
    </row>
    <row r="2" spans="1:3" s="281" customFormat="1" ht="33" customHeight="1">
      <c r="A2" s="238" t="s">
        <v>197</v>
      </c>
      <c r="B2" s="213" t="s">
        <v>629</v>
      </c>
      <c r="C2" s="762" t="s">
        <v>83</v>
      </c>
    </row>
    <row r="3" spans="1:3" s="281" customFormat="1" ht="24.75" thickBot="1">
      <c r="A3" s="274" t="s">
        <v>196</v>
      </c>
      <c r="B3" s="214" t="s">
        <v>395</v>
      </c>
      <c r="C3" s="763" t="s">
        <v>82</v>
      </c>
    </row>
    <row r="4" spans="1:3" s="282" customFormat="1" ht="15.75" customHeight="1" thickBot="1">
      <c r="A4" s="126"/>
      <c r="B4" s="126"/>
      <c r="C4" s="764" t="s">
        <v>633</v>
      </c>
    </row>
    <row r="5" spans="1:3" ht="13.5" thickBot="1">
      <c r="A5" s="239" t="s">
        <v>198</v>
      </c>
      <c r="B5" s="128" t="s">
        <v>76</v>
      </c>
      <c r="C5" s="765" t="s">
        <v>77</v>
      </c>
    </row>
    <row r="6" spans="1:3" s="283" customFormat="1" ht="12.75" customHeight="1" thickBot="1">
      <c r="A6" s="100" t="s">
        <v>491</v>
      </c>
      <c r="B6" s="101" t="s">
        <v>492</v>
      </c>
      <c r="C6" s="766" t="s">
        <v>493</v>
      </c>
    </row>
    <row r="7" spans="1:3" s="283" customFormat="1" ht="15.75" customHeight="1" thickBot="1">
      <c r="A7" s="130"/>
      <c r="B7" s="131" t="s">
        <v>78</v>
      </c>
      <c r="C7" s="767"/>
    </row>
    <row r="8" spans="1:3" s="228" customFormat="1" ht="12" customHeight="1" thickBot="1">
      <c r="A8" s="100" t="s">
        <v>40</v>
      </c>
      <c r="B8" s="133" t="s">
        <v>573</v>
      </c>
      <c r="C8" s="768">
        <f>SUM(C9:C19)</f>
        <v>13905250</v>
      </c>
    </row>
    <row r="9" spans="1:3" s="228" customFormat="1" ht="12" customHeight="1">
      <c r="A9" s="275" t="s">
        <v>116</v>
      </c>
      <c r="B9" s="9" t="s">
        <v>253</v>
      </c>
      <c r="C9" s="769">
        <f>150000-130000</f>
        <v>20000</v>
      </c>
    </row>
    <row r="10" spans="1:3" s="228" customFormat="1" ht="12" customHeight="1">
      <c r="A10" s="276" t="s">
        <v>117</v>
      </c>
      <c r="B10" s="7" t="s">
        <v>254</v>
      </c>
      <c r="C10" s="770">
        <f>10400000-250000</f>
        <v>10150000</v>
      </c>
    </row>
    <row r="11" spans="1:3" s="228" customFormat="1" ht="12" customHeight="1">
      <c r="A11" s="276" t="s">
        <v>118</v>
      </c>
      <c r="B11" s="7" t="s">
        <v>255</v>
      </c>
      <c r="C11" s="770">
        <v>900000</v>
      </c>
    </row>
    <row r="12" spans="1:3" s="228" customFormat="1" ht="12" customHeight="1">
      <c r="A12" s="276" t="s">
        <v>119</v>
      </c>
      <c r="B12" s="7" t="s">
        <v>256</v>
      </c>
      <c r="C12" s="770"/>
    </row>
    <row r="13" spans="1:3" s="228" customFormat="1" ht="12" customHeight="1">
      <c r="A13" s="276" t="s">
        <v>159</v>
      </c>
      <c r="B13" s="7" t="s">
        <v>257</v>
      </c>
      <c r="C13" s="770"/>
    </row>
    <row r="14" spans="1:3" s="228" customFormat="1" ht="12" customHeight="1">
      <c r="A14" s="276" t="s">
        <v>120</v>
      </c>
      <c r="B14" s="7" t="s">
        <v>378</v>
      </c>
      <c r="C14" s="770">
        <f>1661250-74000</f>
        <v>1587250</v>
      </c>
    </row>
    <row r="15" spans="1:3" s="228" customFormat="1" ht="12" customHeight="1">
      <c r="A15" s="276" t="s">
        <v>121</v>
      </c>
      <c r="B15" s="6" t="s">
        <v>379</v>
      </c>
      <c r="C15" s="770">
        <f>2534000-1286000</f>
        <v>1248000</v>
      </c>
    </row>
    <row r="16" spans="1:3" s="228" customFormat="1" ht="12" customHeight="1">
      <c r="A16" s="276" t="s">
        <v>131</v>
      </c>
      <c r="B16" s="7" t="s">
        <v>260</v>
      </c>
      <c r="C16" s="771"/>
    </row>
    <row r="17" spans="1:3" s="284" customFormat="1" ht="12" customHeight="1">
      <c r="A17" s="276" t="s">
        <v>132</v>
      </c>
      <c r="B17" s="7" t="s">
        <v>261</v>
      </c>
      <c r="C17" s="770"/>
    </row>
    <row r="18" spans="1:3" s="284" customFormat="1" ht="12" customHeight="1">
      <c r="A18" s="276" t="s">
        <v>133</v>
      </c>
      <c r="B18" s="7" t="s">
        <v>500</v>
      </c>
      <c r="C18" s="772"/>
    </row>
    <row r="19" spans="1:3" s="284" customFormat="1" ht="12" customHeight="1" thickBot="1">
      <c r="A19" s="276" t="s">
        <v>134</v>
      </c>
      <c r="B19" s="6" t="s">
        <v>262</v>
      </c>
      <c r="C19" s="772"/>
    </row>
    <row r="20" spans="1:3" s="228" customFormat="1" ht="12" customHeight="1" thickBot="1">
      <c r="A20" s="100" t="s">
        <v>41</v>
      </c>
      <c r="B20" s="133" t="s">
        <v>380</v>
      </c>
      <c r="C20" s="768">
        <f>SUM(C21:C23)</f>
        <v>0</v>
      </c>
    </row>
    <row r="21" spans="1:3" s="284" customFormat="1" ht="12" customHeight="1">
      <c r="A21" s="276" t="s">
        <v>122</v>
      </c>
      <c r="B21" s="8" t="s">
        <v>230</v>
      </c>
      <c r="C21" s="770"/>
    </row>
    <row r="22" spans="1:3" s="284" customFormat="1" ht="12" customHeight="1">
      <c r="A22" s="276" t="s">
        <v>123</v>
      </c>
      <c r="B22" s="7" t="s">
        <v>381</v>
      </c>
      <c r="C22" s="770"/>
    </row>
    <row r="23" spans="1:3" s="284" customFormat="1" ht="12" customHeight="1">
      <c r="A23" s="276" t="s">
        <v>124</v>
      </c>
      <c r="B23" s="7" t="s">
        <v>382</v>
      </c>
      <c r="C23" s="770"/>
    </row>
    <row r="24" spans="1:3" s="284" customFormat="1" ht="12" customHeight="1" thickBot="1">
      <c r="A24" s="276" t="s">
        <v>125</v>
      </c>
      <c r="B24" s="7" t="s">
        <v>580</v>
      </c>
      <c r="C24" s="770"/>
    </row>
    <row r="25" spans="1:3" s="284" customFormat="1" ht="12" customHeight="1" thickBot="1">
      <c r="A25" s="103" t="s">
        <v>42</v>
      </c>
      <c r="B25" s="87" t="s">
        <v>174</v>
      </c>
      <c r="C25" s="773"/>
    </row>
    <row r="26" spans="1:3" s="284" customFormat="1" ht="12" customHeight="1" thickBot="1">
      <c r="A26" s="103" t="s">
        <v>43</v>
      </c>
      <c r="B26" s="87" t="s">
        <v>581</v>
      </c>
      <c r="C26" s="783">
        <f>+C27+C28</f>
        <v>263590</v>
      </c>
    </row>
    <row r="27" spans="1:3" s="284" customFormat="1" ht="12" customHeight="1">
      <c r="A27" s="277" t="s">
        <v>240</v>
      </c>
      <c r="B27" s="278" t="s">
        <v>381</v>
      </c>
      <c r="C27" s="774"/>
    </row>
    <row r="28" spans="1:3" s="284" customFormat="1" ht="12" customHeight="1">
      <c r="A28" s="277" t="s">
        <v>243</v>
      </c>
      <c r="B28" s="279" t="s">
        <v>383</v>
      </c>
      <c r="C28" s="789">
        <f>123157+140433</f>
        <v>263590</v>
      </c>
    </row>
    <row r="29" spans="1:3" s="284" customFormat="1" ht="12" customHeight="1" thickBot="1">
      <c r="A29" s="276" t="s">
        <v>244</v>
      </c>
      <c r="B29" s="90" t="s">
        <v>582</v>
      </c>
      <c r="C29" s="776"/>
    </row>
    <row r="30" spans="1:3" s="284" customFormat="1" ht="12" customHeight="1" thickBot="1">
      <c r="A30" s="103" t="s">
        <v>44</v>
      </c>
      <c r="B30" s="87" t="s">
        <v>384</v>
      </c>
      <c r="C30" s="768">
        <f>+C31+C32+C33</f>
        <v>0</v>
      </c>
    </row>
    <row r="31" spans="1:3" s="284" customFormat="1" ht="12" customHeight="1">
      <c r="A31" s="277" t="s">
        <v>109</v>
      </c>
      <c r="B31" s="278" t="s">
        <v>267</v>
      </c>
      <c r="C31" s="774"/>
    </row>
    <row r="32" spans="1:3" s="284" customFormat="1" ht="12" customHeight="1">
      <c r="A32" s="277" t="s">
        <v>110</v>
      </c>
      <c r="B32" s="279" t="s">
        <v>268</v>
      </c>
      <c r="C32" s="775"/>
    </row>
    <row r="33" spans="1:3" s="284" customFormat="1" ht="12" customHeight="1" thickBot="1">
      <c r="A33" s="276" t="s">
        <v>111</v>
      </c>
      <c r="B33" s="90" t="s">
        <v>269</v>
      </c>
      <c r="C33" s="776"/>
    </row>
    <row r="34" spans="1:3" s="228" customFormat="1" ht="12" customHeight="1" thickBot="1">
      <c r="A34" s="103" t="s">
        <v>45</v>
      </c>
      <c r="B34" s="87" t="s">
        <v>355</v>
      </c>
      <c r="C34" s="773"/>
    </row>
    <row r="35" spans="1:3" s="228" customFormat="1" ht="12" customHeight="1" thickBot="1">
      <c r="A35" s="103" t="s">
        <v>46</v>
      </c>
      <c r="B35" s="87" t="s">
        <v>385</v>
      </c>
      <c r="C35" s="777"/>
    </row>
    <row r="36" spans="1:3" s="228" customFormat="1" ht="12" customHeight="1" thickBot="1">
      <c r="A36" s="100" t="s">
        <v>47</v>
      </c>
      <c r="B36" s="87" t="s">
        <v>583</v>
      </c>
      <c r="C36" s="790">
        <f>+C8+C20+C25+C26+C30+C34+C35</f>
        <v>14168840</v>
      </c>
    </row>
    <row r="37" spans="1:3" s="228" customFormat="1" ht="12" customHeight="1" thickBot="1">
      <c r="A37" s="134" t="s">
        <v>48</v>
      </c>
      <c r="B37" s="87" t="s">
        <v>387</v>
      </c>
      <c r="C37" s="778">
        <f>+C38+C39+C40</f>
        <v>85888024</v>
      </c>
    </row>
    <row r="38" spans="1:3" s="228" customFormat="1" ht="12" customHeight="1">
      <c r="A38" s="277" t="s">
        <v>388</v>
      </c>
      <c r="B38" s="278" t="s">
        <v>212</v>
      </c>
      <c r="C38" s="774">
        <v>178326</v>
      </c>
    </row>
    <row r="39" spans="1:3" s="228" customFormat="1" ht="12" customHeight="1">
      <c r="A39" s="277" t="s">
        <v>389</v>
      </c>
      <c r="B39" s="279" t="s">
        <v>31</v>
      </c>
      <c r="C39" s="775"/>
    </row>
    <row r="40" spans="1:3" s="284" customFormat="1" ht="12" customHeight="1" thickBot="1">
      <c r="A40" s="276" t="s">
        <v>390</v>
      </c>
      <c r="B40" s="90" t="s">
        <v>391</v>
      </c>
      <c r="C40" s="466">
        <f>78947681+800303-184544+80000-1588816+1353878+101222+142726+158136+635000+1238248+3788660+237204</f>
        <v>85709698</v>
      </c>
    </row>
    <row r="41" spans="1:3" s="284" customFormat="1" ht="15" customHeight="1" thickBot="1">
      <c r="A41" s="134" t="s">
        <v>49</v>
      </c>
      <c r="B41" s="135" t="s">
        <v>392</v>
      </c>
      <c r="C41" s="790">
        <f>+C36+C37</f>
        <v>100056864</v>
      </c>
    </row>
    <row r="42" spans="1:3" s="284" customFormat="1" ht="15" customHeight="1">
      <c r="A42" s="136"/>
      <c r="B42" s="137"/>
      <c r="C42" s="780"/>
    </row>
    <row r="43" spans="1:3" ht="13.5" thickBot="1">
      <c r="A43" s="138"/>
      <c r="B43" s="139"/>
      <c r="C43" s="781"/>
    </row>
    <row r="44" spans="1:3" s="283" customFormat="1" ht="16.5" customHeight="1" thickBot="1">
      <c r="A44" s="140"/>
      <c r="B44" s="141" t="s">
        <v>79</v>
      </c>
      <c r="C44" s="782"/>
    </row>
    <row r="45" spans="1:3" s="285" customFormat="1" ht="12" customHeight="1" thickBot="1">
      <c r="A45" s="103" t="s">
        <v>40</v>
      </c>
      <c r="B45" s="87" t="s">
        <v>393</v>
      </c>
      <c r="C45" s="783">
        <f>SUM(C46:C50)</f>
        <v>95743487</v>
      </c>
    </row>
    <row r="46" spans="1:3" ht="12" customHeight="1">
      <c r="A46" s="276" t="s">
        <v>116</v>
      </c>
      <c r="B46" s="8" t="s">
        <v>71</v>
      </c>
      <c r="C46" s="774">
        <f>41027225+658050-382364-1132008-170300+60000+80000+900040+101222+142726+42775+100000-18339</f>
        <v>41409027</v>
      </c>
    </row>
    <row r="47" spans="1:3" ht="12" customHeight="1">
      <c r="A47" s="276" t="s">
        <v>117</v>
      </c>
      <c r="B47" s="7" t="s">
        <v>183</v>
      </c>
      <c r="C47" s="784">
        <f>9482677+142253-84120-249042-37466+11880+39984+177100+24990+43660</f>
        <v>9551916</v>
      </c>
    </row>
    <row r="48" spans="1:3" ht="12" customHeight="1">
      <c r="A48" s="276" t="s">
        <v>118</v>
      </c>
      <c r="B48" s="7" t="s">
        <v>152</v>
      </c>
      <c r="C48" s="468">
        <f>41615701+281940+80000-71880-119984+276738+158136-95650+635000+1905000+7339+237204-27000-100000</f>
        <v>44782544</v>
      </c>
    </row>
    <row r="49" spans="1:3" ht="12" customHeight="1">
      <c r="A49" s="276" t="s">
        <v>119</v>
      </c>
      <c r="B49" s="7" t="s">
        <v>184</v>
      </c>
      <c r="C49" s="784"/>
    </row>
    <row r="50" spans="1:3" ht="12" customHeight="1" thickBot="1">
      <c r="A50" s="276" t="s">
        <v>159</v>
      </c>
      <c r="B50" s="7" t="s">
        <v>185</v>
      </c>
      <c r="C50" s="784"/>
    </row>
    <row r="51" spans="1:3" ht="12" customHeight="1" thickBot="1">
      <c r="A51" s="103" t="s">
        <v>41</v>
      </c>
      <c r="B51" s="87" t="s">
        <v>394</v>
      </c>
      <c r="C51" s="783">
        <f>SUM(C52:C54)</f>
        <v>4313377</v>
      </c>
    </row>
    <row r="52" spans="1:3" s="285" customFormat="1" ht="12" customHeight="1">
      <c r="A52" s="276" t="s">
        <v>122</v>
      </c>
      <c r="B52" s="8" t="s">
        <v>203</v>
      </c>
      <c r="C52" s="459">
        <f>2645654+151042+1238248+11000+167433+100000</f>
        <v>4313377</v>
      </c>
    </row>
    <row r="53" spans="1:3" ht="12" customHeight="1">
      <c r="A53" s="276" t="s">
        <v>123</v>
      </c>
      <c r="B53" s="7" t="s">
        <v>187</v>
      </c>
      <c r="C53" s="784"/>
    </row>
    <row r="54" spans="1:3" ht="12" customHeight="1">
      <c r="A54" s="276" t="s">
        <v>124</v>
      </c>
      <c r="B54" s="7" t="s">
        <v>80</v>
      </c>
      <c r="C54" s="784"/>
    </row>
    <row r="55" spans="1:3" ht="12" customHeight="1" thickBot="1">
      <c r="A55" s="276" t="s">
        <v>125</v>
      </c>
      <c r="B55" s="7" t="s">
        <v>577</v>
      </c>
      <c r="C55" s="784"/>
    </row>
    <row r="56" spans="1:3" ht="15" customHeight="1" thickBot="1">
      <c r="A56" s="103" t="s">
        <v>42</v>
      </c>
      <c r="B56" s="87" t="s">
        <v>35</v>
      </c>
      <c r="C56" s="773"/>
    </row>
    <row r="57" spans="1:3" ht="13.5" thickBot="1">
      <c r="A57" s="103" t="s">
        <v>43</v>
      </c>
      <c r="B57" s="142" t="s">
        <v>578</v>
      </c>
      <c r="C57" s="785">
        <f>+C45+C51+C56</f>
        <v>100056864</v>
      </c>
    </row>
    <row r="58" ht="15" customHeight="1" thickBot="1">
      <c r="C58" s="786"/>
    </row>
    <row r="59" spans="1:3" ht="14.25" customHeight="1" thickBot="1">
      <c r="A59" s="145" t="s">
        <v>570</v>
      </c>
      <c r="B59" s="146"/>
      <c r="C59" s="792">
        <v>16.75</v>
      </c>
    </row>
    <row r="60" spans="1:3" ht="13.5" thickBot="1">
      <c r="A60" s="145" t="s">
        <v>199</v>
      </c>
      <c r="B60" s="146"/>
      <c r="C60" s="7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28/2017.(X.27.)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143" customWidth="1"/>
    <col min="2" max="2" width="79.125" style="144" customWidth="1"/>
    <col min="3" max="3" width="25.00390625" style="788" customWidth="1"/>
    <col min="4" max="16384" width="9.375" style="144" customWidth="1"/>
  </cols>
  <sheetData>
    <row r="1" spans="1:3" s="123" customFormat="1" ht="21" customHeight="1" thickBot="1">
      <c r="A1" s="122"/>
      <c r="B1" s="124"/>
      <c r="C1" s="761" t="e">
        <f>+CONCATENATE("9.3. melléklet a ……/",LEFT(#REF!,4),". (….) önkormányzati rendelethez")</f>
        <v>#REF!</v>
      </c>
    </row>
    <row r="2" spans="1:3" s="281" customFormat="1" ht="36" customHeight="1">
      <c r="A2" s="238" t="s">
        <v>197</v>
      </c>
      <c r="B2" s="213" t="s">
        <v>584</v>
      </c>
      <c r="C2" s="762" t="s">
        <v>83</v>
      </c>
    </row>
    <row r="3" spans="1:3" s="281" customFormat="1" ht="24.75" thickBot="1">
      <c r="A3" s="274" t="s">
        <v>196</v>
      </c>
      <c r="B3" s="214" t="s">
        <v>377</v>
      </c>
      <c r="C3" s="763" t="s">
        <v>75</v>
      </c>
    </row>
    <row r="4" spans="1:3" s="282" customFormat="1" ht="15.75" customHeight="1" thickBot="1">
      <c r="A4" s="126"/>
      <c r="B4" s="126"/>
      <c r="C4" s="764" t="s">
        <v>633</v>
      </c>
    </row>
    <row r="5" spans="1:3" ht="13.5" thickBot="1">
      <c r="A5" s="239" t="s">
        <v>198</v>
      </c>
      <c r="B5" s="128" t="s">
        <v>76</v>
      </c>
      <c r="C5" s="765" t="s">
        <v>77</v>
      </c>
    </row>
    <row r="6" spans="1:3" s="283" customFormat="1" ht="12.75" customHeight="1" thickBot="1">
      <c r="A6" s="100" t="s">
        <v>491</v>
      </c>
      <c r="B6" s="101" t="s">
        <v>492</v>
      </c>
      <c r="C6" s="766" t="s">
        <v>493</v>
      </c>
    </row>
    <row r="7" spans="1:3" s="283" customFormat="1" ht="15.75" customHeight="1" thickBot="1">
      <c r="A7" s="130"/>
      <c r="B7" s="131" t="s">
        <v>78</v>
      </c>
      <c r="C7" s="767"/>
    </row>
    <row r="8" spans="1:3" s="228" customFormat="1" ht="12" customHeight="1" thickBot="1">
      <c r="A8" s="100" t="s">
        <v>40</v>
      </c>
      <c r="B8" s="133" t="s">
        <v>573</v>
      </c>
      <c r="C8" s="768">
        <f>SUM(C9:C19)</f>
        <v>164997804</v>
      </c>
    </row>
    <row r="9" spans="1:3" s="228" customFormat="1" ht="12" customHeight="1">
      <c r="A9" s="275" t="s">
        <v>116</v>
      </c>
      <c r="B9" s="9" t="s">
        <v>253</v>
      </c>
      <c r="C9" s="769">
        <f>222694+52677</f>
        <v>275371</v>
      </c>
    </row>
    <row r="10" spans="1:3" s="228" customFormat="1" ht="12" customHeight="1">
      <c r="A10" s="276" t="s">
        <v>117</v>
      </c>
      <c r="B10" s="7" t="s">
        <v>254</v>
      </c>
      <c r="C10" s="770">
        <f>31214302+33071+3500000</f>
        <v>34747373</v>
      </c>
    </row>
    <row r="11" spans="1:3" s="228" customFormat="1" ht="12" customHeight="1">
      <c r="A11" s="276" t="s">
        <v>118</v>
      </c>
      <c r="B11" s="7" t="s">
        <v>255</v>
      </c>
      <c r="C11" s="770">
        <f>70218340+143307+157480</f>
        <v>70519127</v>
      </c>
    </row>
    <row r="12" spans="1:3" s="228" customFormat="1" ht="12" customHeight="1">
      <c r="A12" s="276" t="s">
        <v>119</v>
      </c>
      <c r="B12" s="7" t="s">
        <v>256</v>
      </c>
      <c r="C12" s="770"/>
    </row>
    <row r="13" spans="1:3" s="228" customFormat="1" ht="12" customHeight="1">
      <c r="A13" s="276" t="s">
        <v>159</v>
      </c>
      <c r="B13" s="7" t="s">
        <v>257</v>
      </c>
      <c r="C13" s="770">
        <v>20539068</v>
      </c>
    </row>
    <row r="14" spans="1:3" s="228" customFormat="1" ht="12" customHeight="1">
      <c r="A14" s="276" t="s">
        <v>120</v>
      </c>
      <c r="B14" s="7" t="s">
        <v>378</v>
      </c>
      <c r="C14" s="770">
        <f>24504500+8929+38693+14223+42520</f>
        <v>24608865</v>
      </c>
    </row>
    <row r="15" spans="1:3" s="228" customFormat="1" ht="12" customHeight="1">
      <c r="A15" s="276" t="s">
        <v>121</v>
      </c>
      <c r="B15" s="6" t="s">
        <v>379</v>
      </c>
      <c r="C15" s="770">
        <v>14308000</v>
      </c>
    </row>
    <row r="16" spans="1:3" s="228" customFormat="1" ht="12" customHeight="1">
      <c r="A16" s="276" t="s">
        <v>131</v>
      </c>
      <c r="B16" s="7" t="s">
        <v>260</v>
      </c>
      <c r="C16" s="771"/>
    </row>
    <row r="17" spans="1:3" s="284" customFormat="1" ht="12" customHeight="1">
      <c r="A17" s="276" t="s">
        <v>132</v>
      </c>
      <c r="B17" s="7" t="s">
        <v>261</v>
      </c>
      <c r="C17" s="770"/>
    </row>
    <row r="18" spans="1:3" s="284" customFormat="1" ht="12" customHeight="1">
      <c r="A18" s="276" t="s">
        <v>133</v>
      </c>
      <c r="B18" s="7" t="s">
        <v>500</v>
      </c>
      <c r="C18" s="772"/>
    </row>
    <row r="19" spans="1:3" s="284" customFormat="1" ht="12" customHeight="1" thickBot="1">
      <c r="A19" s="276" t="s">
        <v>134</v>
      </c>
      <c r="B19" s="6" t="s">
        <v>262</v>
      </c>
      <c r="C19" s="772"/>
    </row>
    <row r="20" spans="1:3" s="228" customFormat="1" ht="12" customHeight="1" thickBot="1">
      <c r="A20" s="100" t="s">
        <v>41</v>
      </c>
      <c r="B20" s="133" t="s">
        <v>380</v>
      </c>
      <c r="C20" s="768">
        <f>SUM(C21:C23)</f>
        <v>0</v>
      </c>
    </row>
    <row r="21" spans="1:3" s="284" customFormat="1" ht="12" customHeight="1">
      <c r="A21" s="276" t="s">
        <v>122</v>
      </c>
      <c r="B21" s="8" t="s">
        <v>230</v>
      </c>
      <c r="C21" s="770"/>
    </row>
    <row r="22" spans="1:3" s="284" customFormat="1" ht="12" customHeight="1">
      <c r="A22" s="276" t="s">
        <v>123</v>
      </c>
      <c r="B22" s="7" t="s">
        <v>381</v>
      </c>
      <c r="C22" s="770"/>
    </row>
    <row r="23" spans="1:3" s="284" customFormat="1" ht="12" customHeight="1">
      <c r="A23" s="276" t="s">
        <v>124</v>
      </c>
      <c r="B23" s="7" t="s">
        <v>382</v>
      </c>
      <c r="C23" s="770"/>
    </row>
    <row r="24" spans="1:3" s="284" customFormat="1" ht="12" customHeight="1" thickBot="1">
      <c r="A24" s="276" t="s">
        <v>125</v>
      </c>
      <c r="B24" s="7" t="s">
        <v>580</v>
      </c>
      <c r="C24" s="770"/>
    </row>
    <row r="25" spans="1:3" s="284" customFormat="1" ht="12" customHeight="1" thickBot="1">
      <c r="A25" s="103" t="s">
        <v>42</v>
      </c>
      <c r="B25" s="87" t="s">
        <v>174</v>
      </c>
      <c r="C25" s="773"/>
    </row>
    <row r="26" spans="1:3" s="284" customFormat="1" ht="12" customHeight="1" thickBot="1">
      <c r="A26" s="103" t="s">
        <v>43</v>
      </c>
      <c r="B26" s="87" t="s">
        <v>581</v>
      </c>
      <c r="C26" s="768">
        <f>+C27+C28</f>
        <v>0</v>
      </c>
    </row>
    <row r="27" spans="1:3" s="284" customFormat="1" ht="12" customHeight="1">
      <c r="A27" s="277" t="s">
        <v>240</v>
      </c>
      <c r="B27" s="278" t="s">
        <v>381</v>
      </c>
      <c r="C27" s="774"/>
    </row>
    <row r="28" spans="1:3" s="284" customFormat="1" ht="12" customHeight="1">
      <c r="A28" s="277" t="s">
        <v>243</v>
      </c>
      <c r="B28" s="279" t="s">
        <v>383</v>
      </c>
      <c r="C28" s="775"/>
    </row>
    <row r="29" spans="1:3" s="284" customFormat="1" ht="12" customHeight="1" thickBot="1">
      <c r="A29" s="276" t="s">
        <v>244</v>
      </c>
      <c r="B29" s="90" t="s">
        <v>582</v>
      </c>
      <c r="C29" s="776"/>
    </row>
    <row r="30" spans="1:3" s="284" customFormat="1" ht="12" customHeight="1" thickBot="1">
      <c r="A30" s="103" t="s">
        <v>44</v>
      </c>
      <c r="B30" s="87" t="s">
        <v>384</v>
      </c>
      <c r="C30" s="768">
        <f>+C31+C32+C33</f>
        <v>0</v>
      </c>
    </row>
    <row r="31" spans="1:3" s="284" customFormat="1" ht="12" customHeight="1">
      <c r="A31" s="277" t="s">
        <v>109</v>
      </c>
      <c r="B31" s="278" t="s">
        <v>267</v>
      </c>
      <c r="C31" s="774"/>
    </row>
    <row r="32" spans="1:3" s="284" customFormat="1" ht="12" customHeight="1">
      <c r="A32" s="277" t="s">
        <v>110</v>
      </c>
      <c r="B32" s="279" t="s">
        <v>268</v>
      </c>
      <c r="C32" s="775"/>
    </row>
    <row r="33" spans="1:3" s="284" customFormat="1" ht="12" customHeight="1" thickBot="1">
      <c r="A33" s="276" t="s">
        <v>111</v>
      </c>
      <c r="B33" s="90" t="s">
        <v>269</v>
      </c>
      <c r="C33" s="776"/>
    </row>
    <row r="34" spans="1:3" s="228" customFormat="1" ht="12" customHeight="1" thickBot="1">
      <c r="A34" s="103" t="s">
        <v>45</v>
      </c>
      <c r="B34" s="87" t="s">
        <v>355</v>
      </c>
      <c r="C34" s="773"/>
    </row>
    <row r="35" spans="1:3" s="228" customFormat="1" ht="12" customHeight="1" thickBot="1">
      <c r="A35" s="103" t="s">
        <v>46</v>
      </c>
      <c r="B35" s="87" t="s">
        <v>385</v>
      </c>
      <c r="C35" s="777"/>
    </row>
    <row r="36" spans="1:3" s="228" customFormat="1" ht="12" customHeight="1" thickBot="1">
      <c r="A36" s="100" t="s">
        <v>47</v>
      </c>
      <c r="B36" s="87" t="s">
        <v>583</v>
      </c>
      <c r="C36" s="778">
        <f>+C8+C20+C25+C26+C30+C34+C35</f>
        <v>164997804</v>
      </c>
    </row>
    <row r="37" spans="1:3" s="228" customFormat="1" ht="12" customHeight="1" thickBot="1">
      <c r="A37" s="134" t="s">
        <v>48</v>
      </c>
      <c r="B37" s="87" t="s">
        <v>387</v>
      </c>
      <c r="C37" s="778">
        <f>+C38+C39+C40</f>
        <v>165003299</v>
      </c>
    </row>
    <row r="38" spans="1:3" s="228" customFormat="1" ht="12" customHeight="1">
      <c r="A38" s="277" t="s">
        <v>388</v>
      </c>
      <c r="B38" s="278" t="s">
        <v>212</v>
      </c>
      <c r="C38" s="774">
        <v>2265992</v>
      </c>
    </row>
    <row r="39" spans="1:3" s="228" customFormat="1" ht="12" customHeight="1">
      <c r="A39" s="277" t="s">
        <v>389</v>
      </c>
      <c r="B39" s="279" t="s">
        <v>31</v>
      </c>
      <c r="C39" s="775"/>
    </row>
    <row r="40" spans="1:3" s="284" customFormat="1" ht="12" customHeight="1" thickBot="1">
      <c r="A40" s="276" t="s">
        <v>390</v>
      </c>
      <c r="B40" s="90" t="s">
        <v>391</v>
      </c>
      <c r="C40" s="466">
        <f>202169674+215612-34745860-464966+381000-3500000+270367-2749880+133000+1028360</f>
        <v>162737307</v>
      </c>
    </row>
    <row r="41" spans="1:3" s="284" customFormat="1" ht="15" customHeight="1" thickBot="1">
      <c r="A41" s="134" t="s">
        <v>49</v>
      </c>
      <c r="B41" s="135" t="s">
        <v>392</v>
      </c>
      <c r="C41" s="779">
        <f>+C36+C37</f>
        <v>330001103</v>
      </c>
    </row>
    <row r="42" spans="1:3" s="284" customFormat="1" ht="15" customHeight="1">
      <c r="A42" s="136"/>
      <c r="B42" s="137"/>
      <c r="C42" s="780"/>
    </row>
    <row r="43" spans="1:3" ht="13.5" thickBot="1">
      <c r="A43" s="138"/>
      <c r="B43" s="139"/>
      <c r="C43" s="781"/>
    </row>
    <row r="44" spans="1:3" s="283" customFormat="1" ht="16.5" customHeight="1" thickBot="1">
      <c r="A44" s="140"/>
      <c r="B44" s="141" t="s">
        <v>79</v>
      </c>
      <c r="C44" s="782"/>
    </row>
    <row r="45" spans="1:3" s="285" customFormat="1" ht="12" customHeight="1" thickBot="1">
      <c r="A45" s="103" t="s">
        <v>40</v>
      </c>
      <c r="B45" s="87" t="s">
        <v>393</v>
      </c>
      <c r="C45" s="783">
        <f>SUM(C46:C50)</f>
        <v>328230672</v>
      </c>
    </row>
    <row r="46" spans="1:3" ht="12" customHeight="1">
      <c r="A46" s="276" t="s">
        <v>116</v>
      </c>
      <c r="B46" s="8" t="s">
        <v>71</v>
      </c>
      <c r="C46" s="774">
        <f>81034160+181808+112360-15308800+105973+124089-2254000</f>
        <v>63995590</v>
      </c>
    </row>
    <row r="47" spans="1:3" ht="12" customHeight="1">
      <c r="A47" s="276" t="s">
        <v>117</v>
      </c>
      <c r="B47" s="7" t="s">
        <v>183</v>
      </c>
      <c r="C47" s="784">
        <f>20018301+33804+22247-3360936+69499-495880</f>
        <v>16287035</v>
      </c>
    </row>
    <row r="48" spans="1:3" ht="12" customHeight="1">
      <c r="A48" s="276" t="s">
        <v>118</v>
      </c>
      <c r="B48" s="7" t="s">
        <v>152</v>
      </c>
      <c r="C48" s="468">
        <f>262391117-15811124-133428-124245+381000+470367-254000+1028360</f>
        <v>247948047</v>
      </c>
    </row>
    <row r="49" spans="1:3" ht="12" customHeight="1">
      <c r="A49" s="276" t="s">
        <v>119</v>
      </c>
      <c r="B49" s="7" t="s">
        <v>184</v>
      </c>
      <c r="C49" s="784"/>
    </row>
    <row r="50" spans="1:3" ht="12" customHeight="1" thickBot="1">
      <c r="A50" s="276" t="s">
        <v>159</v>
      </c>
      <c r="B50" s="7" t="s">
        <v>185</v>
      </c>
      <c r="C50" s="784"/>
    </row>
    <row r="51" spans="1:3" ht="12" customHeight="1" thickBot="1">
      <c r="A51" s="103" t="s">
        <v>41</v>
      </c>
      <c r="B51" s="87" t="s">
        <v>394</v>
      </c>
      <c r="C51" s="768">
        <f>SUM(C52:C54)</f>
        <v>1770431</v>
      </c>
    </row>
    <row r="52" spans="1:3" s="285" customFormat="1" ht="12" customHeight="1">
      <c r="A52" s="276" t="s">
        <v>122</v>
      </c>
      <c r="B52" s="8" t="s">
        <v>203</v>
      </c>
      <c r="C52" s="467">
        <f>1276298-265000+66900+133000+254000</f>
        <v>1465198</v>
      </c>
    </row>
    <row r="53" spans="1:3" ht="12" customHeight="1">
      <c r="A53" s="276" t="s">
        <v>123</v>
      </c>
      <c r="B53" s="7" t="s">
        <v>187</v>
      </c>
      <c r="C53" s="784">
        <f>500000-134607-60160</f>
        <v>305233</v>
      </c>
    </row>
    <row r="54" spans="1:3" ht="12" customHeight="1">
      <c r="A54" s="276" t="s">
        <v>124</v>
      </c>
      <c r="B54" s="7" t="s">
        <v>80</v>
      </c>
      <c r="C54" s="784"/>
    </row>
    <row r="55" spans="1:3" ht="12" customHeight="1" thickBot="1">
      <c r="A55" s="276" t="s">
        <v>125</v>
      </c>
      <c r="B55" s="7" t="s">
        <v>577</v>
      </c>
      <c r="C55" s="784"/>
    </row>
    <row r="56" spans="1:3" ht="15" customHeight="1" thickBot="1">
      <c r="A56" s="103" t="s">
        <v>42</v>
      </c>
      <c r="B56" s="87" t="s">
        <v>35</v>
      </c>
      <c r="C56" s="773"/>
    </row>
    <row r="57" spans="1:3" ht="13.5" thickBot="1">
      <c r="A57" s="103" t="s">
        <v>43</v>
      </c>
      <c r="B57" s="142" t="s">
        <v>578</v>
      </c>
      <c r="C57" s="785">
        <f>+C45+C51+C56</f>
        <v>330001103</v>
      </c>
    </row>
    <row r="58" ht="15" customHeight="1" thickBot="1">
      <c r="C58" s="786"/>
    </row>
    <row r="59" spans="1:3" ht="14.25" customHeight="1" thickBot="1">
      <c r="A59" s="145" t="s">
        <v>570</v>
      </c>
      <c r="B59" s="146"/>
      <c r="C59" s="787">
        <v>25</v>
      </c>
    </row>
    <row r="60" spans="1:3" ht="13.5" thickBot="1">
      <c r="A60" s="145" t="s">
        <v>199</v>
      </c>
      <c r="B60" s="146"/>
      <c r="C60" s="78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28/2017.(X.27.)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143" customWidth="1"/>
    <col min="2" max="2" width="79.125" style="144" customWidth="1"/>
    <col min="3" max="3" width="25.00390625" style="788" customWidth="1"/>
    <col min="4" max="16384" width="9.375" style="144" customWidth="1"/>
  </cols>
  <sheetData>
    <row r="1" spans="1:3" s="123" customFormat="1" ht="21" customHeight="1" thickBot="1">
      <c r="A1" s="122"/>
      <c r="B1" s="124"/>
      <c r="C1" s="761" t="e">
        <f>+CONCATENATE("9.3.1. melléklet a ……/",LEFT(#REF!,4),". (….) önkormányzati rendelethez")</f>
        <v>#REF!</v>
      </c>
    </row>
    <row r="2" spans="1:3" s="281" customFormat="1" ht="34.5" customHeight="1">
      <c r="A2" s="238" t="s">
        <v>197</v>
      </c>
      <c r="B2" s="213" t="s">
        <v>584</v>
      </c>
      <c r="C2" s="762" t="s">
        <v>83</v>
      </c>
    </row>
    <row r="3" spans="1:3" s="281" customFormat="1" ht="24.75" thickBot="1">
      <c r="A3" s="274" t="s">
        <v>196</v>
      </c>
      <c r="B3" s="214" t="s">
        <v>395</v>
      </c>
      <c r="C3" s="763" t="s">
        <v>82</v>
      </c>
    </row>
    <row r="4" spans="1:3" s="282" customFormat="1" ht="15.75" customHeight="1" thickBot="1">
      <c r="A4" s="126"/>
      <c r="B4" s="126"/>
      <c r="C4" s="764" t="s">
        <v>633</v>
      </c>
    </row>
    <row r="5" spans="1:3" ht="13.5" thickBot="1">
      <c r="A5" s="239" t="s">
        <v>198</v>
      </c>
      <c r="B5" s="128" t="s">
        <v>76</v>
      </c>
      <c r="C5" s="765" t="s">
        <v>77</v>
      </c>
    </row>
    <row r="6" spans="1:3" s="283" customFormat="1" ht="12.75" customHeight="1" thickBot="1">
      <c r="A6" s="100" t="s">
        <v>491</v>
      </c>
      <c r="B6" s="101" t="s">
        <v>492</v>
      </c>
      <c r="C6" s="766" t="s">
        <v>493</v>
      </c>
    </row>
    <row r="7" spans="1:3" s="283" customFormat="1" ht="15.75" customHeight="1" thickBot="1">
      <c r="A7" s="130"/>
      <c r="B7" s="131" t="s">
        <v>78</v>
      </c>
      <c r="C7" s="767"/>
    </row>
    <row r="8" spans="1:3" s="228" customFormat="1" ht="12" customHeight="1" thickBot="1">
      <c r="A8" s="100" t="s">
        <v>40</v>
      </c>
      <c r="B8" s="133" t="s">
        <v>573</v>
      </c>
      <c r="C8" s="768">
        <f>SUM(C9:C19)</f>
        <v>144697158</v>
      </c>
    </row>
    <row r="9" spans="1:3" s="228" customFormat="1" ht="12" customHeight="1">
      <c r="A9" s="275" t="s">
        <v>116</v>
      </c>
      <c r="B9" s="9" t="s">
        <v>253</v>
      </c>
      <c r="C9" s="769">
        <v>222694</v>
      </c>
    </row>
    <row r="10" spans="1:3" s="228" customFormat="1" ht="12" customHeight="1">
      <c r="A10" s="276" t="s">
        <v>117</v>
      </c>
      <c r="B10" s="7" t="s">
        <v>254</v>
      </c>
      <c r="C10" s="770">
        <f>14512306+33071</f>
        <v>14545377</v>
      </c>
    </row>
    <row r="11" spans="1:3" s="228" customFormat="1" ht="12" customHeight="1">
      <c r="A11" s="276" t="s">
        <v>118</v>
      </c>
      <c r="B11" s="7" t="s">
        <v>255</v>
      </c>
      <c r="C11" s="770">
        <f>70193340+143307+157480</f>
        <v>70494127</v>
      </c>
    </row>
    <row r="12" spans="1:3" s="228" customFormat="1" ht="12" customHeight="1">
      <c r="A12" s="276" t="s">
        <v>119</v>
      </c>
      <c r="B12" s="7" t="s">
        <v>256</v>
      </c>
      <c r="C12" s="770"/>
    </row>
    <row r="13" spans="1:3" s="228" customFormat="1" ht="12" customHeight="1">
      <c r="A13" s="276" t="s">
        <v>159</v>
      </c>
      <c r="B13" s="7" t="s">
        <v>257</v>
      </c>
      <c r="C13" s="770">
        <v>20539068</v>
      </c>
    </row>
    <row r="14" spans="1:3" s="228" customFormat="1" ht="12" customHeight="1">
      <c r="A14" s="276" t="s">
        <v>120</v>
      </c>
      <c r="B14" s="7" t="s">
        <v>378</v>
      </c>
      <c r="C14" s="770">
        <f>24497750+8929+38693+42520</f>
        <v>24587892</v>
      </c>
    </row>
    <row r="15" spans="1:3" s="228" customFormat="1" ht="12" customHeight="1">
      <c r="A15" s="276" t="s">
        <v>121</v>
      </c>
      <c r="B15" s="6" t="s">
        <v>379</v>
      </c>
      <c r="C15" s="770">
        <v>14308000</v>
      </c>
    </row>
    <row r="16" spans="1:3" s="228" customFormat="1" ht="12" customHeight="1">
      <c r="A16" s="276" t="s">
        <v>131</v>
      </c>
      <c r="B16" s="7" t="s">
        <v>260</v>
      </c>
      <c r="C16" s="771"/>
    </row>
    <row r="17" spans="1:3" s="284" customFormat="1" ht="12" customHeight="1">
      <c r="A17" s="276" t="s">
        <v>132</v>
      </c>
      <c r="B17" s="7" t="s">
        <v>261</v>
      </c>
      <c r="C17" s="770"/>
    </row>
    <row r="18" spans="1:3" s="284" customFormat="1" ht="12" customHeight="1">
      <c r="A18" s="276" t="s">
        <v>133</v>
      </c>
      <c r="B18" s="7" t="s">
        <v>500</v>
      </c>
      <c r="C18" s="772"/>
    </row>
    <row r="19" spans="1:3" s="284" customFormat="1" ht="12" customHeight="1" thickBot="1">
      <c r="A19" s="276" t="s">
        <v>134</v>
      </c>
      <c r="B19" s="6" t="s">
        <v>262</v>
      </c>
      <c r="C19" s="772"/>
    </row>
    <row r="20" spans="1:3" s="228" customFormat="1" ht="12" customHeight="1" thickBot="1">
      <c r="A20" s="100" t="s">
        <v>41</v>
      </c>
      <c r="B20" s="133" t="s">
        <v>380</v>
      </c>
      <c r="C20" s="768">
        <f>SUM(C21:C23)</f>
        <v>0</v>
      </c>
    </row>
    <row r="21" spans="1:3" s="284" customFormat="1" ht="12" customHeight="1">
      <c r="A21" s="276" t="s">
        <v>122</v>
      </c>
      <c r="B21" s="8" t="s">
        <v>230</v>
      </c>
      <c r="C21" s="770"/>
    </row>
    <row r="22" spans="1:3" s="284" customFormat="1" ht="12" customHeight="1">
      <c r="A22" s="276" t="s">
        <v>123</v>
      </c>
      <c r="B22" s="7" t="s">
        <v>381</v>
      </c>
      <c r="C22" s="770"/>
    </row>
    <row r="23" spans="1:3" s="284" customFormat="1" ht="12" customHeight="1">
      <c r="A23" s="276" t="s">
        <v>124</v>
      </c>
      <c r="B23" s="7" t="s">
        <v>382</v>
      </c>
      <c r="C23" s="770"/>
    </row>
    <row r="24" spans="1:3" s="284" customFormat="1" ht="12" customHeight="1" thickBot="1">
      <c r="A24" s="276" t="s">
        <v>125</v>
      </c>
      <c r="B24" s="7" t="s">
        <v>580</v>
      </c>
      <c r="C24" s="770"/>
    </row>
    <row r="25" spans="1:3" s="284" customFormat="1" ht="12" customHeight="1" thickBot="1">
      <c r="A25" s="103" t="s">
        <v>42</v>
      </c>
      <c r="B25" s="87" t="s">
        <v>174</v>
      </c>
      <c r="C25" s="773"/>
    </row>
    <row r="26" spans="1:3" s="284" customFormat="1" ht="12" customHeight="1" thickBot="1">
      <c r="A26" s="103" t="s">
        <v>43</v>
      </c>
      <c r="B26" s="87" t="s">
        <v>581</v>
      </c>
      <c r="C26" s="768">
        <f>+C27+C28</f>
        <v>0</v>
      </c>
    </row>
    <row r="27" spans="1:3" s="284" customFormat="1" ht="12" customHeight="1">
      <c r="A27" s="277" t="s">
        <v>240</v>
      </c>
      <c r="B27" s="278" t="s">
        <v>381</v>
      </c>
      <c r="C27" s="774"/>
    </row>
    <row r="28" spans="1:3" s="284" customFormat="1" ht="12" customHeight="1">
      <c r="A28" s="277" t="s">
        <v>243</v>
      </c>
      <c r="B28" s="279" t="s">
        <v>383</v>
      </c>
      <c r="C28" s="775"/>
    </row>
    <row r="29" spans="1:3" s="284" customFormat="1" ht="12" customHeight="1" thickBot="1">
      <c r="A29" s="276" t="s">
        <v>244</v>
      </c>
      <c r="B29" s="90" t="s">
        <v>582</v>
      </c>
      <c r="C29" s="776"/>
    </row>
    <row r="30" spans="1:3" s="284" customFormat="1" ht="12" customHeight="1" thickBot="1">
      <c r="A30" s="103" t="s">
        <v>44</v>
      </c>
      <c r="B30" s="87" t="s">
        <v>384</v>
      </c>
      <c r="C30" s="768">
        <f>+C31+C32+C33</f>
        <v>0</v>
      </c>
    </row>
    <row r="31" spans="1:3" s="284" customFormat="1" ht="12" customHeight="1">
      <c r="A31" s="277" t="s">
        <v>109</v>
      </c>
      <c r="B31" s="278" t="s">
        <v>267</v>
      </c>
      <c r="C31" s="774"/>
    </row>
    <row r="32" spans="1:3" s="284" customFormat="1" ht="12" customHeight="1">
      <c r="A32" s="277" t="s">
        <v>110</v>
      </c>
      <c r="B32" s="279" t="s">
        <v>268</v>
      </c>
      <c r="C32" s="775"/>
    </row>
    <row r="33" spans="1:3" s="284" customFormat="1" ht="12" customHeight="1" thickBot="1">
      <c r="A33" s="276" t="s">
        <v>111</v>
      </c>
      <c r="B33" s="90" t="s">
        <v>269</v>
      </c>
      <c r="C33" s="776"/>
    </row>
    <row r="34" spans="1:3" s="228" customFormat="1" ht="12" customHeight="1" thickBot="1">
      <c r="A34" s="103" t="s">
        <v>45</v>
      </c>
      <c r="B34" s="87" t="s">
        <v>355</v>
      </c>
      <c r="C34" s="773"/>
    </row>
    <row r="35" spans="1:3" s="228" customFormat="1" ht="12" customHeight="1" thickBot="1">
      <c r="A35" s="103" t="s">
        <v>46</v>
      </c>
      <c r="B35" s="87" t="s">
        <v>385</v>
      </c>
      <c r="C35" s="777"/>
    </row>
    <row r="36" spans="1:3" s="228" customFormat="1" ht="12" customHeight="1" thickBot="1">
      <c r="A36" s="100" t="s">
        <v>47</v>
      </c>
      <c r="B36" s="87" t="s">
        <v>583</v>
      </c>
      <c r="C36" s="778">
        <f>+C8+C20+C25+C26+C30+C34+C35</f>
        <v>144697158</v>
      </c>
    </row>
    <row r="37" spans="1:3" s="228" customFormat="1" ht="12" customHeight="1" thickBot="1">
      <c r="A37" s="134" t="s">
        <v>48</v>
      </c>
      <c r="B37" s="87" t="s">
        <v>387</v>
      </c>
      <c r="C37" s="790">
        <f>+C38+C39+C40</f>
        <v>159049661</v>
      </c>
    </row>
    <row r="38" spans="1:3" s="228" customFormat="1" ht="12" customHeight="1">
      <c r="A38" s="277" t="s">
        <v>388</v>
      </c>
      <c r="B38" s="278" t="s">
        <v>212</v>
      </c>
      <c r="C38" s="774">
        <v>2265992</v>
      </c>
    </row>
    <row r="39" spans="1:3" s="228" customFormat="1" ht="12" customHeight="1">
      <c r="A39" s="277" t="s">
        <v>389</v>
      </c>
      <c r="B39" s="279" t="s">
        <v>31</v>
      </c>
      <c r="C39" s="775"/>
    </row>
    <row r="40" spans="1:3" s="284" customFormat="1" ht="12" customHeight="1" thickBot="1">
      <c r="A40" s="276" t="s">
        <v>390</v>
      </c>
      <c r="B40" s="90" t="s">
        <v>391</v>
      </c>
      <c r="C40" s="466">
        <f>192787844+170800-26996-34745860-464966+381000+270367-2749880+133000+1028360</f>
        <v>156783669</v>
      </c>
    </row>
    <row r="41" spans="1:3" s="284" customFormat="1" ht="15" customHeight="1" thickBot="1">
      <c r="A41" s="134" t="s">
        <v>49</v>
      </c>
      <c r="B41" s="135" t="s">
        <v>392</v>
      </c>
      <c r="C41" s="790">
        <f>+C36+C37</f>
        <v>303746819</v>
      </c>
    </row>
    <row r="42" spans="1:3" s="284" customFormat="1" ht="15" customHeight="1">
      <c r="A42" s="136"/>
      <c r="B42" s="137"/>
      <c r="C42" s="780"/>
    </row>
    <row r="43" spans="1:3" ht="13.5" thickBot="1">
      <c r="A43" s="138"/>
      <c r="B43" s="139"/>
      <c r="C43" s="781"/>
    </row>
    <row r="44" spans="1:3" s="283" customFormat="1" ht="16.5" customHeight="1" thickBot="1">
      <c r="A44" s="140"/>
      <c r="B44" s="141" t="s">
        <v>79</v>
      </c>
      <c r="C44" s="782"/>
    </row>
    <row r="45" spans="1:3" s="285" customFormat="1" ht="12" customHeight="1" thickBot="1">
      <c r="A45" s="103" t="s">
        <v>40</v>
      </c>
      <c r="B45" s="87" t="s">
        <v>393</v>
      </c>
      <c r="C45" s="783">
        <f>SUM(C46:C50)</f>
        <v>302043288</v>
      </c>
    </row>
    <row r="46" spans="1:3" ht="12" customHeight="1">
      <c r="A46" s="276" t="s">
        <v>116</v>
      </c>
      <c r="B46" s="8" t="s">
        <v>71</v>
      </c>
      <c r="C46" s="774">
        <f>75543661+140000-18000+112360-15308800+105973+124089-2254000</f>
        <v>58445283</v>
      </c>
    </row>
    <row r="47" spans="1:3" ht="12" customHeight="1">
      <c r="A47" s="276" t="s">
        <v>117</v>
      </c>
      <c r="B47" s="7" t="s">
        <v>183</v>
      </c>
      <c r="C47" s="784">
        <f>18790516+30800-8996+22247-3360936+69499-495880</f>
        <v>15047250</v>
      </c>
    </row>
    <row r="48" spans="1:3" ht="12" customHeight="1">
      <c r="A48" s="276" t="s">
        <v>118</v>
      </c>
      <c r="B48" s="7" t="s">
        <v>152</v>
      </c>
      <c r="C48" s="468">
        <f>242993825-15811124-124245-133428+381000+470367-254000+1028360</f>
        <v>228550755</v>
      </c>
    </row>
    <row r="49" spans="1:3" ht="12" customHeight="1">
      <c r="A49" s="276" t="s">
        <v>119</v>
      </c>
      <c r="B49" s="7" t="s">
        <v>184</v>
      </c>
      <c r="C49" s="784"/>
    </row>
    <row r="50" spans="1:3" ht="12" customHeight="1" thickBot="1">
      <c r="A50" s="276" t="s">
        <v>159</v>
      </c>
      <c r="B50" s="7" t="s">
        <v>185</v>
      </c>
      <c r="C50" s="784"/>
    </row>
    <row r="51" spans="1:3" ht="12" customHeight="1" thickBot="1">
      <c r="A51" s="103" t="s">
        <v>41</v>
      </c>
      <c r="B51" s="87" t="s">
        <v>394</v>
      </c>
      <c r="C51" s="768">
        <f>SUM(C52:C54)</f>
        <v>1703531</v>
      </c>
    </row>
    <row r="52" spans="1:3" s="285" customFormat="1" ht="12" customHeight="1">
      <c r="A52" s="276" t="s">
        <v>122</v>
      </c>
      <c r="B52" s="8" t="s">
        <v>203</v>
      </c>
      <c r="C52" s="467">
        <f>1276298-265000+133000+254000</f>
        <v>1398298</v>
      </c>
    </row>
    <row r="53" spans="1:3" ht="12" customHeight="1">
      <c r="A53" s="276" t="s">
        <v>123</v>
      </c>
      <c r="B53" s="7" t="s">
        <v>187</v>
      </c>
      <c r="C53" s="784">
        <f>500000-134607-60160</f>
        <v>305233</v>
      </c>
    </row>
    <row r="54" spans="1:3" ht="12" customHeight="1">
      <c r="A54" s="276" t="s">
        <v>124</v>
      </c>
      <c r="B54" s="7" t="s">
        <v>80</v>
      </c>
      <c r="C54" s="784"/>
    </row>
    <row r="55" spans="1:3" ht="12" customHeight="1" thickBot="1">
      <c r="A55" s="276" t="s">
        <v>125</v>
      </c>
      <c r="B55" s="7" t="s">
        <v>577</v>
      </c>
      <c r="C55" s="784"/>
    </row>
    <row r="56" spans="1:3" ht="15" customHeight="1" thickBot="1">
      <c r="A56" s="103" t="s">
        <v>42</v>
      </c>
      <c r="B56" s="87" t="s">
        <v>35</v>
      </c>
      <c r="C56" s="773"/>
    </row>
    <row r="57" spans="1:3" ht="13.5" thickBot="1">
      <c r="A57" s="103" t="s">
        <v>43</v>
      </c>
      <c r="B57" s="142" t="s">
        <v>578</v>
      </c>
      <c r="C57" s="785">
        <f>+C45+C51+C56</f>
        <v>303746819</v>
      </c>
    </row>
    <row r="58" ht="15" customHeight="1" thickBot="1">
      <c r="C58" s="786"/>
    </row>
    <row r="59" spans="1:3" ht="14.25" customHeight="1" thickBot="1">
      <c r="A59" s="145" t="s">
        <v>570</v>
      </c>
      <c r="B59" s="146"/>
      <c r="C59" s="793">
        <v>21.5</v>
      </c>
    </row>
    <row r="60" spans="1:3" ht="13.5" thickBot="1">
      <c r="A60" s="145" t="s">
        <v>199</v>
      </c>
      <c r="B60" s="146"/>
      <c r="C60" s="78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28/2017.(X.27.)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Layout" zoomScaleNormal="115" zoomScaleSheetLayoutView="100" workbookViewId="0" topLeftCell="B1">
      <selection activeCell="G3" sqref="G3"/>
    </sheetView>
  </sheetViews>
  <sheetFormatPr defaultColWidth="9.00390625" defaultRowHeight="12.75"/>
  <cols>
    <col min="1" max="1" width="9.50390625" style="234" customWidth="1"/>
    <col min="2" max="2" width="79.00390625" style="234" customWidth="1"/>
    <col min="3" max="3" width="21.625" style="415" customWidth="1"/>
    <col min="4" max="4" width="19.375" style="245" hidden="1" customWidth="1"/>
    <col min="5" max="5" width="15.875" style="245" hidden="1" customWidth="1"/>
    <col min="6" max="6" width="21.875" style="245" hidden="1" customWidth="1"/>
    <col min="7" max="16384" width="9.375" style="245" customWidth="1"/>
  </cols>
  <sheetData>
    <row r="1" spans="1:3" ht="15.75" customHeight="1">
      <c r="A1" s="841" t="s">
        <v>37</v>
      </c>
      <c r="B1" s="841"/>
      <c r="C1" s="841"/>
    </row>
    <row r="2" spans="1:3" ht="15.75" customHeight="1" thickBot="1">
      <c r="A2" s="842" t="s">
        <v>162</v>
      </c>
      <c r="B2" s="842"/>
      <c r="C2" s="171" t="s">
        <v>632</v>
      </c>
    </row>
    <row r="3" spans="1:6" ht="37.5" customHeight="1" thickBot="1">
      <c r="A3" s="22" t="s">
        <v>91</v>
      </c>
      <c r="B3" s="23" t="s">
        <v>39</v>
      </c>
      <c r="C3" s="35" t="s">
        <v>618</v>
      </c>
      <c r="D3" s="234" t="s">
        <v>655</v>
      </c>
      <c r="E3" s="234" t="s">
        <v>656</v>
      </c>
      <c r="F3" s="234" t="s">
        <v>657</v>
      </c>
    </row>
    <row r="4" spans="1:3" s="246" customFormat="1" ht="12" customHeight="1" thickBot="1">
      <c r="A4" s="240" t="s">
        <v>491</v>
      </c>
      <c r="B4" s="241" t="s">
        <v>492</v>
      </c>
      <c r="C4" s="242" t="s">
        <v>493</v>
      </c>
    </row>
    <row r="5" spans="1:6" s="247" customFormat="1" ht="12" customHeight="1" thickBot="1">
      <c r="A5" s="19" t="s">
        <v>40</v>
      </c>
      <c r="B5" s="20" t="s">
        <v>224</v>
      </c>
      <c r="C5" s="162">
        <f aca="true" t="shared" si="0" ref="C5:C68">SUM(D5:F5)</f>
        <v>1071189122</v>
      </c>
      <c r="D5" s="342">
        <f>+D6+D7+D8+D9+D10+D11</f>
        <v>1071189122</v>
      </c>
      <c r="E5" s="162">
        <f>+E6+E7+E8+E9+E10+E11</f>
        <v>0</v>
      </c>
      <c r="F5" s="162">
        <f>+F6+F7+F8+F9+F10+F11</f>
        <v>0</v>
      </c>
    </row>
    <row r="6" spans="1:6" s="247" customFormat="1" ht="12" customHeight="1">
      <c r="A6" s="14" t="s">
        <v>116</v>
      </c>
      <c r="B6" s="248" t="s">
        <v>225</v>
      </c>
      <c r="C6" s="382">
        <f t="shared" si="0"/>
        <v>228418282</v>
      </c>
      <c r="D6" s="349">
        <f>227512539+905743</f>
        <v>228418282</v>
      </c>
      <c r="E6" s="286"/>
      <c r="F6" s="286"/>
    </row>
    <row r="7" spans="1:6" s="247" customFormat="1" ht="12" customHeight="1">
      <c r="A7" s="13" t="s">
        <v>117</v>
      </c>
      <c r="B7" s="249" t="s">
        <v>226</v>
      </c>
      <c r="C7" s="383">
        <f t="shared" si="0"/>
        <v>219569080</v>
      </c>
      <c r="D7" s="318">
        <f>218107294+10461768-4721982-4278000</f>
        <v>219569080</v>
      </c>
      <c r="E7" s="166"/>
      <c r="F7" s="166"/>
    </row>
    <row r="8" spans="1:6" s="247" customFormat="1" ht="12" customHeight="1">
      <c r="A8" s="13" t="s">
        <v>118</v>
      </c>
      <c r="B8" s="249" t="s">
        <v>607</v>
      </c>
      <c r="C8" s="383">
        <f t="shared" si="0"/>
        <v>369494435</v>
      </c>
      <c r="D8" s="318">
        <f>121200000+67844165+177597260+4526280+11511000+24250000-35761000-1673270</f>
        <v>369494435</v>
      </c>
      <c r="E8" s="166"/>
      <c r="F8" s="166"/>
    </row>
    <row r="9" spans="1:6" s="247" customFormat="1" ht="12" customHeight="1">
      <c r="A9" s="13" t="s">
        <v>119</v>
      </c>
      <c r="B9" s="249" t="s">
        <v>228</v>
      </c>
      <c r="C9" s="383">
        <f t="shared" si="0"/>
        <v>31342308</v>
      </c>
      <c r="D9" s="318">
        <f>4412740+15262320+10629000-4412740+4412740+1038248</f>
        <v>31342308</v>
      </c>
      <c r="E9" s="166"/>
      <c r="F9" s="166"/>
    </row>
    <row r="10" spans="1:6" s="247" customFormat="1" ht="12" customHeight="1">
      <c r="A10" s="13" t="s">
        <v>159</v>
      </c>
      <c r="B10" s="158" t="s">
        <v>494</v>
      </c>
      <c r="C10" s="383">
        <f t="shared" si="0"/>
        <v>222365017</v>
      </c>
      <c r="D10" s="318">
        <f>1060845+3551000+168707597+128000+58000+13957152+413944+49094027+4501192-4412740-15000000+306000</f>
        <v>222365017</v>
      </c>
      <c r="E10" s="166"/>
      <c r="F10" s="166"/>
    </row>
    <row r="11" spans="1:6" s="247" customFormat="1" ht="12" customHeight="1" thickBot="1">
      <c r="A11" s="15" t="s">
        <v>120</v>
      </c>
      <c r="B11" s="159" t="s">
        <v>495</v>
      </c>
      <c r="C11" s="408">
        <f t="shared" si="0"/>
        <v>0</v>
      </c>
      <c r="D11" s="149"/>
      <c r="E11" s="163"/>
      <c r="F11" s="163"/>
    </row>
    <row r="12" spans="1:6" s="247" customFormat="1" ht="12" customHeight="1" thickBot="1">
      <c r="A12" s="19" t="s">
        <v>41</v>
      </c>
      <c r="B12" s="157" t="s">
        <v>229</v>
      </c>
      <c r="C12" s="162">
        <f t="shared" si="0"/>
        <v>176167657</v>
      </c>
      <c r="D12" s="342">
        <f>+D13+D14+D15+D16+D17</f>
        <v>176167657</v>
      </c>
      <c r="E12" s="162">
        <f>+E13+E14+E15+E16+E17</f>
        <v>0</v>
      </c>
      <c r="F12" s="162">
        <f>+F13+F14+F15+F16+F17</f>
        <v>0</v>
      </c>
    </row>
    <row r="13" spans="1:6" s="247" customFormat="1" ht="12" customHeight="1">
      <c r="A13" s="14" t="s">
        <v>122</v>
      </c>
      <c r="B13" s="248" t="s">
        <v>230</v>
      </c>
      <c r="C13" s="243">
        <f t="shared" si="0"/>
        <v>0</v>
      </c>
      <c r="D13" s="344"/>
      <c r="E13" s="164"/>
      <c r="F13" s="164"/>
    </row>
    <row r="14" spans="1:6" s="247" customFormat="1" ht="12" customHeight="1">
      <c r="A14" s="13" t="s">
        <v>123</v>
      </c>
      <c r="B14" s="249" t="s">
        <v>231</v>
      </c>
      <c r="C14" s="407">
        <f t="shared" si="0"/>
        <v>0</v>
      </c>
      <c r="D14" s="149"/>
      <c r="E14" s="163"/>
      <c r="F14" s="163"/>
    </row>
    <row r="15" spans="1:6" s="247" customFormat="1" ht="12" customHeight="1">
      <c r="A15" s="13" t="s">
        <v>124</v>
      </c>
      <c r="B15" s="249" t="s">
        <v>400</v>
      </c>
      <c r="C15" s="383">
        <f t="shared" si="0"/>
        <v>0</v>
      </c>
      <c r="D15" s="149"/>
      <c r="E15" s="163"/>
      <c r="F15" s="163"/>
    </row>
    <row r="16" spans="1:6" s="247" customFormat="1" ht="12" customHeight="1">
      <c r="A16" s="13" t="s">
        <v>125</v>
      </c>
      <c r="B16" s="249" t="s">
        <v>401</v>
      </c>
      <c r="C16" s="383">
        <f t="shared" si="0"/>
        <v>0</v>
      </c>
      <c r="D16" s="149"/>
      <c r="E16" s="163"/>
      <c r="F16" s="163"/>
    </row>
    <row r="17" spans="1:6" s="247" customFormat="1" ht="12" customHeight="1">
      <c r="A17" s="13" t="s">
        <v>126</v>
      </c>
      <c r="B17" s="249" t="s">
        <v>232</v>
      </c>
      <c r="C17" s="703">
        <f t="shared" si="0"/>
        <v>176167657</v>
      </c>
      <c r="D17" s="318">
        <f>210000+65342000+25310845+9303887+291175856+362000+94906504+6840000+1770000+4682000-323735435</f>
        <v>176167657</v>
      </c>
      <c r="E17" s="320"/>
      <c r="F17" s="166"/>
    </row>
    <row r="18" spans="1:6" s="247" customFormat="1" ht="12" customHeight="1" thickBot="1">
      <c r="A18" s="15" t="s">
        <v>135</v>
      </c>
      <c r="B18" s="159" t="s">
        <v>233</v>
      </c>
      <c r="C18" s="384">
        <f t="shared" si="0"/>
        <v>0</v>
      </c>
      <c r="D18" s="150"/>
      <c r="E18" s="237"/>
      <c r="F18" s="237"/>
    </row>
    <row r="19" spans="1:6" s="247" customFormat="1" ht="12" customHeight="1" thickBot="1">
      <c r="A19" s="19" t="s">
        <v>42</v>
      </c>
      <c r="B19" s="20" t="s">
        <v>234</v>
      </c>
      <c r="C19" s="162">
        <f t="shared" si="0"/>
        <v>327444368</v>
      </c>
      <c r="D19" s="342">
        <f>+D20+D21+D22+D23+D24</f>
        <v>327444368</v>
      </c>
      <c r="E19" s="162">
        <f>+E20+E21+E22+E23+E24</f>
        <v>0</v>
      </c>
      <c r="F19" s="162">
        <f>+F20+F21+F22+F23+F24</f>
        <v>0</v>
      </c>
    </row>
    <row r="20" spans="1:6" s="247" customFormat="1" ht="12" customHeight="1">
      <c r="A20" s="14" t="s">
        <v>105</v>
      </c>
      <c r="B20" s="248" t="s">
        <v>235</v>
      </c>
      <c r="C20" s="243">
        <f t="shared" si="0"/>
        <v>15690532</v>
      </c>
      <c r="D20" s="349">
        <v>15690532</v>
      </c>
      <c r="E20" s="316"/>
      <c r="F20" s="316"/>
    </row>
    <row r="21" spans="1:6" s="247" customFormat="1" ht="12" customHeight="1">
      <c r="A21" s="13" t="s">
        <v>106</v>
      </c>
      <c r="B21" s="249" t="s">
        <v>236</v>
      </c>
      <c r="C21" s="407">
        <f t="shared" si="0"/>
        <v>0</v>
      </c>
      <c r="D21" s="318"/>
      <c r="E21" s="166"/>
      <c r="F21" s="166"/>
    </row>
    <row r="22" spans="1:6" s="247" customFormat="1" ht="12" customHeight="1">
      <c r="A22" s="13" t="s">
        <v>107</v>
      </c>
      <c r="B22" s="249" t="s">
        <v>402</v>
      </c>
      <c r="C22" s="407">
        <f t="shared" si="0"/>
        <v>0</v>
      </c>
      <c r="D22" s="318"/>
      <c r="E22" s="166"/>
      <c r="F22" s="166"/>
    </row>
    <row r="23" spans="1:6" s="247" customFormat="1" ht="12" customHeight="1">
      <c r="A23" s="13" t="s">
        <v>108</v>
      </c>
      <c r="B23" s="249" t="s">
        <v>403</v>
      </c>
      <c r="C23" s="407">
        <f t="shared" si="0"/>
        <v>0</v>
      </c>
      <c r="D23" s="318"/>
      <c r="E23" s="166"/>
      <c r="F23" s="166"/>
    </row>
    <row r="24" spans="1:6" s="247" customFormat="1" ht="12" customHeight="1">
      <c r="A24" s="13" t="s">
        <v>171</v>
      </c>
      <c r="B24" s="249" t="s">
        <v>237</v>
      </c>
      <c r="C24" s="703">
        <f t="shared" si="0"/>
        <v>311753836</v>
      </c>
      <c r="D24" s="318">
        <f>3797300+15179276+2160000+75588869+15956160+214128350+123157-15179276</f>
        <v>311753836</v>
      </c>
      <c r="E24" s="166"/>
      <c r="F24" s="166"/>
    </row>
    <row r="25" spans="1:6" s="247" customFormat="1" ht="12" customHeight="1" thickBot="1">
      <c r="A25" s="15" t="s">
        <v>172</v>
      </c>
      <c r="B25" s="250" t="s">
        <v>238</v>
      </c>
      <c r="C25" s="408">
        <f t="shared" si="0"/>
        <v>309470679</v>
      </c>
      <c r="D25" s="323">
        <f>3797300+75588869+15956160+214128350</f>
        <v>309470679</v>
      </c>
      <c r="E25" s="237"/>
      <c r="F25" s="165"/>
    </row>
    <row r="26" spans="1:6" s="247" customFormat="1" ht="12" customHeight="1" thickBot="1">
      <c r="A26" s="19" t="s">
        <v>173</v>
      </c>
      <c r="B26" s="20" t="s">
        <v>239</v>
      </c>
      <c r="C26" s="162">
        <f t="shared" si="0"/>
        <v>356490000</v>
      </c>
      <c r="D26" s="346">
        <f>+D27+D31+D32+D33</f>
        <v>356490000</v>
      </c>
      <c r="E26" s="167">
        <f>+E27+E31+E32+E33</f>
        <v>0</v>
      </c>
      <c r="F26" s="167">
        <f>+F27+F31+F32+F33</f>
        <v>0</v>
      </c>
    </row>
    <row r="27" spans="1:6" s="247" customFormat="1" ht="12" customHeight="1">
      <c r="A27" s="14" t="s">
        <v>240</v>
      </c>
      <c r="B27" s="248" t="s">
        <v>496</v>
      </c>
      <c r="C27" s="243">
        <f t="shared" si="0"/>
        <v>317830000</v>
      </c>
      <c r="D27" s="372">
        <f>SUM(D28:D30)</f>
        <v>317830000</v>
      </c>
      <c r="E27" s="243"/>
      <c r="F27" s="243"/>
    </row>
    <row r="28" spans="1:6" s="247" customFormat="1" ht="12" customHeight="1">
      <c r="A28" s="13" t="s">
        <v>241</v>
      </c>
      <c r="B28" s="249" t="s">
        <v>246</v>
      </c>
      <c r="C28" s="407">
        <f t="shared" si="0"/>
        <v>78990000</v>
      </c>
      <c r="D28" s="149">
        <f>8990000+70000000</f>
        <v>78990000</v>
      </c>
      <c r="E28" s="163"/>
      <c r="F28" s="163"/>
    </row>
    <row r="29" spans="1:6" s="247" customFormat="1" ht="12" customHeight="1">
      <c r="A29" s="13" t="s">
        <v>242</v>
      </c>
      <c r="B29" s="249" t="s">
        <v>595</v>
      </c>
      <c r="C29" s="407">
        <f t="shared" si="0"/>
        <v>238840000</v>
      </c>
      <c r="D29" s="149">
        <f>203840000+35000000</f>
        <v>238840000</v>
      </c>
      <c r="E29" s="163"/>
      <c r="F29" s="163"/>
    </row>
    <row r="30" spans="1:6" s="247" customFormat="1" ht="12" customHeight="1">
      <c r="A30" s="13" t="s">
        <v>497</v>
      </c>
      <c r="B30" s="249" t="s">
        <v>592</v>
      </c>
      <c r="C30" s="407">
        <f t="shared" si="0"/>
        <v>0</v>
      </c>
      <c r="D30" s="318"/>
      <c r="E30" s="166"/>
      <c r="F30" s="166"/>
    </row>
    <row r="31" spans="1:6" s="247" customFormat="1" ht="12" customHeight="1">
      <c r="A31" s="13" t="s">
        <v>243</v>
      </c>
      <c r="B31" s="249" t="s">
        <v>248</v>
      </c>
      <c r="C31" s="407">
        <f t="shared" si="0"/>
        <v>27000000</v>
      </c>
      <c r="D31" s="149">
        <f>27000000</f>
        <v>27000000</v>
      </c>
      <c r="E31" s="163"/>
      <c r="F31" s="166"/>
    </row>
    <row r="32" spans="1:6" s="247" customFormat="1" ht="12" customHeight="1">
      <c r="A32" s="13" t="s">
        <v>244</v>
      </c>
      <c r="B32" s="249" t="s">
        <v>249</v>
      </c>
      <c r="C32" s="407">
        <f t="shared" si="0"/>
        <v>60000</v>
      </c>
      <c r="D32" s="149">
        <f>4060000-4000000</f>
        <v>60000</v>
      </c>
      <c r="E32" s="163"/>
      <c r="F32" s="166"/>
    </row>
    <row r="33" spans="1:6" s="247" customFormat="1" ht="12" customHeight="1" thickBot="1">
      <c r="A33" s="15" t="s">
        <v>245</v>
      </c>
      <c r="B33" s="250" t="s">
        <v>250</v>
      </c>
      <c r="C33" s="408">
        <f t="shared" si="0"/>
        <v>11600000</v>
      </c>
      <c r="D33" s="323">
        <f>5500000+4000000+2100000</f>
        <v>11600000</v>
      </c>
      <c r="E33" s="237"/>
      <c r="F33" s="237"/>
    </row>
    <row r="34" spans="1:6" s="247" customFormat="1" ht="12" customHeight="1" thickBot="1">
      <c r="A34" s="19" t="s">
        <v>44</v>
      </c>
      <c r="B34" s="20" t="s">
        <v>499</v>
      </c>
      <c r="C34" s="162">
        <f t="shared" si="0"/>
        <v>229780301</v>
      </c>
      <c r="D34" s="342">
        <f>SUM(D35:D45)</f>
        <v>50686025</v>
      </c>
      <c r="E34" s="162">
        <f>SUM(E35:E45)</f>
        <v>2748500</v>
      </c>
      <c r="F34" s="162">
        <f>SUM(F35:F45)</f>
        <v>176345776</v>
      </c>
    </row>
    <row r="35" spans="1:6" s="247" customFormat="1" ht="12" customHeight="1">
      <c r="A35" s="14" t="s">
        <v>109</v>
      </c>
      <c r="B35" s="248" t="s">
        <v>253</v>
      </c>
      <c r="C35" s="704">
        <f t="shared" si="0"/>
        <v>6301172</v>
      </c>
      <c r="D35" s="349">
        <f>4000000+5000000+222694-130000-2941522</f>
        <v>6151172</v>
      </c>
      <c r="E35" s="286"/>
      <c r="F35" s="286">
        <v>150000</v>
      </c>
    </row>
    <row r="36" spans="1:6" s="247" customFormat="1" ht="12" customHeight="1">
      <c r="A36" s="13" t="s">
        <v>110</v>
      </c>
      <c r="B36" s="249" t="s">
        <v>254</v>
      </c>
      <c r="C36" s="703">
        <f t="shared" si="0"/>
        <v>49860041</v>
      </c>
      <c r="D36" s="318">
        <f>100000+12004000+33071+555000-470800+7128864</f>
        <v>19350135</v>
      </c>
      <c r="E36" s="166">
        <v>2164000</v>
      </c>
      <c r="F36" s="286">
        <v>28345906</v>
      </c>
    </row>
    <row r="37" spans="1:6" s="247" customFormat="1" ht="12" customHeight="1">
      <c r="A37" s="13" t="s">
        <v>111</v>
      </c>
      <c r="B37" s="249" t="s">
        <v>255</v>
      </c>
      <c r="C37" s="383">
        <f t="shared" si="0"/>
        <v>82221218</v>
      </c>
      <c r="D37" s="318">
        <f>8458000+947000+918292+143307-195228+206000+158027+700000+157480-4705000+240000</f>
        <v>7027878</v>
      </c>
      <c r="E37" s="166"/>
      <c r="F37" s="286">
        <v>75193340</v>
      </c>
    </row>
    <row r="38" spans="1:6" s="247" customFormat="1" ht="12" customHeight="1">
      <c r="A38" s="13" t="s">
        <v>175</v>
      </c>
      <c r="B38" s="249" t="s">
        <v>256</v>
      </c>
      <c r="C38" s="383">
        <f t="shared" si="0"/>
        <v>430000</v>
      </c>
      <c r="D38" s="318">
        <f>430000</f>
        <v>430000</v>
      </c>
      <c r="E38" s="166"/>
      <c r="F38" s="286"/>
    </row>
    <row r="39" spans="1:6" s="247" customFormat="1" ht="12" customHeight="1">
      <c r="A39" s="13" t="s">
        <v>176</v>
      </c>
      <c r="B39" s="249" t="s">
        <v>257</v>
      </c>
      <c r="C39" s="383">
        <f t="shared" si="0"/>
        <v>23819682</v>
      </c>
      <c r="D39" s="318"/>
      <c r="E39" s="166"/>
      <c r="F39" s="286">
        <v>23819682</v>
      </c>
    </row>
    <row r="40" spans="1:6" s="247" customFormat="1" ht="12" customHeight="1">
      <c r="A40" s="13" t="s">
        <v>177</v>
      </c>
      <c r="B40" s="249" t="s">
        <v>258</v>
      </c>
      <c r="C40" s="703">
        <f t="shared" si="0"/>
        <v>44061077</v>
      </c>
      <c r="D40" s="318">
        <f>3242000+5853000+378000+600000+1350000+270000+682000+47622+195228+206000+40410+27000-91096+189000-516228+1924793</f>
        <v>14397729</v>
      </c>
      <c r="E40" s="166">
        <v>584500</v>
      </c>
      <c r="F40" s="286">
        <v>29078848</v>
      </c>
    </row>
    <row r="41" spans="1:6" s="247" customFormat="1" ht="12" customHeight="1">
      <c r="A41" s="13" t="s">
        <v>178</v>
      </c>
      <c r="B41" s="249" t="s">
        <v>259</v>
      </c>
      <c r="C41" s="703">
        <f t="shared" si="0"/>
        <v>21672793</v>
      </c>
      <c r="D41" s="318">
        <f>1924793</f>
        <v>1924793</v>
      </c>
      <c r="E41" s="166"/>
      <c r="F41" s="286">
        <f>21034000-1286000</f>
        <v>19748000</v>
      </c>
    </row>
    <row r="42" spans="1:6" s="247" customFormat="1" ht="12" customHeight="1">
      <c r="A42" s="13" t="s">
        <v>179</v>
      </c>
      <c r="B42" s="249" t="s">
        <v>608</v>
      </c>
      <c r="C42" s="407">
        <f t="shared" si="0"/>
        <v>10000</v>
      </c>
      <c r="D42" s="318"/>
      <c r="E42" s="166"/>
      <c r="F42" s="286">
        <v>10000</v>
      </c>
    </row>
    <row r="43" spans="1:6" s="247" customFormat="1" ht="12" customHeight="1">
      <c r="A43" s="13" t="s">
        <v>251</v>
      </c>
      <c r="B43" s="249" t="s">
        <v>261</v>
      </c>
      <c r="C43" s="407">
        <f t="shared" si="0"/>
        <v>0</v>
      </c>
      <c r="D43" s="318"/>
      <c r="E43" s="166"/>
      <c r="F43" s="286"/>
    </row>
    <row r="44" spans="1:6" s="247" customFormat="1" ht="12" customHeight="1">
      <c r="A44" s="15" t="s">
        <v>252</v>
      </c>
      <c r="B44" s="250" t="s">
        <v>500</v>
      </c>
      <c r="C44" s="407">
        <f t="shared" si="0"/>
        <v>500000</v>
      </c>
      <c r="D44" s="323">
        <f>500000</f>
        <v>500000</v>
      </c>
      <c r="E44" s="237"/>
      <c r="F44" s="237"/>
    </row>
    <row r="45" spans="1:6" s="247" customFormat="1" ht="12" customHeight="1" thickBot="1">
      <c r="A45" s="15" t="s">
        <v>501</v>
      </c>
      <c r="B45" s="159" t="s">
        <v>262</v>
      </c>
      <c r="C45" s="408">
        <f t="shared" si="0"/>
        <v>904318</v>
      </c>
      <c r="D45" s="323">
        <f>704000+200318</f>
        <v>904318</v>
      </c>
      <c r="E45" s="237"/>
      <c r="F45" s="333"/>
    </row>
    <row r="46" spans="1:6" s="247" customFormat="1" ht="12" customHeight="1" thickBot="1">
      <c r="A46" s="19" t="s">
        <v>45</v>
      </c>
      <c r="B46" s="20" t="s">
        <v>263</v>
      </c>
      <c r="C46" s="162">
        <f t="shared" si="0"/>
        <v>47179000</v>
      </c>
      <c r="D46" s="342">
        <f>SUM(D47:D51)</f>
        <v>47179000</v>
      </c>
      <c r="E46" s="162">
        <f>SUM(E47:E51)</f>
        <v>0</v>
      </c>
      <c r="F46" s="162">
        <f>SUM(F47:F51)</f>
        <v>0</v>
      </c>
    </row>
    <row r="47" spans="1:6" s="247" customFormat="1" ht="12" customHeight="1">
      <c r="A47" s="14" t="s">
        <v>112</v>
      </c>
      <c r="B47" s="248" t="s">
        <v>267</v>
      </c>
      <c r="C47" s="243">
        <f t="shared" si="0"/>
        <v>0</v>
      </c>
      <c r="D47" s="349"/>
      <c r="E47" s="286"/>
      <c r="F47" s="286"/>
    </row>
    <row r="48" spans="1:6" s="247" customFormat="1" ht="12" customHeight="1">
      <c r="A48" s="13" t="s">
        <v>113</v>
      </c>
      <c r="B48" s="249" t="s">
        <v>268</v>
      </c>
      <c r="C48" s="407">
        <f t="shared" si="0"/>
        <v>47179000</v>
      </c>
      <c r="D48" s="318">
        <f>25179000+22000000</f>
        <v>47179000</v>
      </c>
      <c r="E48" s="166"/>
      <c r="F48" s="166"/>
    </row>
    <row r="49" spans="1:6" s="247" customFormat="1" ht="12" customHeight="1">
      <c r="A49" s="13" t="s">
        <v>264</v>
      </c>
      <c r="B49" s="249" t="s">
        <v>269</v>
      </c>
      <c r="C49" s="407">
        <f t="shared" si="0"/>
        <v>0</v>
      </c>
      <c r="D49" s="318"/>
      <c r="E49" s="166"/>
      <c r="F49" s="166"/>
    </row>
    <row r="50" spans="1:6" s="247" customFormat="1" ht="12" customHeight="1">
      <c r="A50" s="13" t="s">
        <v>265</v>
      </c>
      <c r="B50" s="249" t="s">
        <v>270</v>
      </c>
      <c r="C50" s="407">
        <f t="shared" si="0"/>
        <v>0</v>
      </c>
      <c r="D50" s="318"/>
      <c r="E50" s="166"/>
      <c r="F50" s="166"/>
    </row>
    <row r="51" spans="1:6" s="247" customFormat="1" ht="12" customHeight="1" thickBot="1">
      <c r="A51" s="15" t="s">
        <v>266</v>
      </c>
      <c r="B51" s="159" t="s">
        <v>271</v>
      </c>
      <c r="C51" s="408">
        <f t="shared" si="0"/>
        <v>0</v>
      </c>
      <c r="D51" s="323"/>
      <c r="E51" s="237"/>
      <c r="F51" s="237"/>
    </row>
    <row r="52" spans="1:6" s="247" customFormat="1" ht="12" customHeight="1" thickBot="1">
      <c r="A52" s="19" t="s">
        <v>180</v>
      </c>
      <c r="B52" s="20" t="s">
        <v>272</v>
      </c>
      <c r="C52" s="162">
        <f t="shared" si="0"/>
        <v>4678433</v>
      </c>
      <c r="D52" s="342">
        <f>SUM(D53:D55)</f>
        <v>4678433</v>
      </c>
      <c r="E52" s="162">
        <f>SUM(E53:E55)</f>
        <v>0</v>
      </c>
      <c r="F52" s="162">
        <f>SUM(F53:F55)</f>
        <v>0</v>
      </c>
    </row>
    <row r="53" spans="1:6" s="247" customFormat="1" ht="12" customHeight="1">
      <c r="A53" s="14" t="s">
        <v>114</v>
      </c>
      <c r="B53" s="248" t="s">
        <v>273</v>
      </c>
      <c r="C53" s="243">
        <f t="shared" si="0"/>
        <v>0</v>
      </c>
      <c r="D53" s="344"/>
      <c r="E53" s="164"/>
      <c r="F53" s="164"/>
    </row>
    <row r="54" spans="1:6" s="247" customFormat="1" ht="12" customHeight="1">
      <c r="A54" s="13" t="s">
        <v>115</v>
      </c>
      <c r="B54" s="249" t="s">
        <v>404</v>
      </c>
      <c r="C54" s="407">
        <f t="shared" si="0"/>
        <v>383000</v>
      </c>
      <c r="D54" s="318">
        <v>383000</v>
      </c>
      <c r="E54" s="166"/>
      <c r="F54" s="166"/>
    </row>
    <row r="55" spans="1:6" s="247" customFormat="1" ht="12" customHeight="1">
      <c r="A55" s="13" t="s">
        <v>276</v>
      </c>
      <c r="B55" s="249" t="s">
        <v>274</v>
      </c>
      <c r="C55" s="703">
        <f t="shared" si="0"/>
        <v>4295433</v>
      </c>
      <c r="D55" s="318">
        <f>4075000+80000+140433</f>
        <v>4295433</v>
      </c>
      <c r="E55" s="166"/>
      <c r="F55" s="166"/>
    </row>
    <row r="56" spans="1:6" s="247" customFormat="1" ht="12" customHeight="1" thickBot="1">
      <c r="A56" s="15" t="s">
        <v>277</v>
      </c>
      <c r="B56" s="159" t="s">
        <v>275</v>
      </c>
      <c r="C56" s="408">
        <f t="shared" si="0"/>
        <v>0</v>
      </c>
      <c r="D56" s="150"/>
      <c r="E56" s="165"/>
      <c r="F56" s="165"/>
    </row>
    <row r="57" spans="1:6" s="247" customFormat="1" ht="12" customHeight="1" thickBot="1">
      <c r="A57" s="19" t="s">
        <v>47</v>
      </c>
      <c r="B57" s="157" t="s">
        <v>278</v>
      </c>
      <c r="C57" s="409">
        <f t="shared" si="0"/>
        <v>0</v>
      </c>
      <c r="D57" s="342">
        <f>SUM(D58:D60)</f>
        <v>0</v>
      </c>
      <c r="E57" s="162">
        <f>SUM(E58:E60)</f>
        <v>0</v>
      </c>
      <c r="F57" s="162">
        <f>SUM(F58:F60)</f>
        <v>0</v>
      </c>
    </row>
    <row r="58" spans="1:6" s="247" customFormat="1" ht="12" customHeight="1">
      <c r="A58" s="14" t="s">
        <v>181</v>
      </c>
      <c r="B58" s="248" t="s">
        <v>280</v>
      </c>
      <c r="C58" s="243">
        <f t="shared" si="0"/>
        <v>0</v>
      </c>
      <c r="D58" s="318"/>
      <c r="E58" s="166"/>
      <c r="F58" s="166"/>
    </row>
    <row r="59" spans="1:6" s="247" customFormat="1" ht="12" customHeight="1">
      <c r="A59" s="13" t="s">
        <v>182</v>
      </c>
      <c r="B59" s="249" t="s">
        <v>405</v>
      </c>
      <c r="C59" s="407">
        <f t="shared" si="0"/>
        <v>0</v>
      </c>
      <c r="D59" s="318"/>
      <c r="E59" s="166"/>
      <c r="F59" s="166"/>
    </row>
    <row r="60" spans="1:6" s="247" customFormat="1" ht="12" customHeight="1">
      <c r="A60" s="13" t="s">
        <v>204</v>
      </c>
      <c r="B60" s="249" t="s">
        <v>281</v>
      </c>
      <c r="C60" s="407">
        <f t="shared" si="0"/>
        <v>0</v>
      </c>
      <c r="D60" s="318"/>
      <c r="E60" s="166"/>
      <c r="F60" s="166"/>
    </row>
    <row r="61" spans="1:6" s="247" customFormat="1" ht="12" customHeight="1" thickBot="1">
      <c r="A61" s="15" t="s">
        <v>279</v>
      </c>
      <c r="B61" s="159" t="s">
        <v>282</v>
      </c>
      <c r="C61" s="408">
        <f t="shared" si="0"/>
        <v>0</v>
      </c>
      <c r="D61" s="318"/>
      <c r="E61" s="166"/>
      <c r="F61" s="166"/>
    </row>
    <row r="62" spans="1:6" s="247" customFormat="1" ht="12" customHeight="1" thickBot="1">
      <c r="A62" s="302" t="s">
        <v>502</v>
      </c>
      <c r="B62" s="20" t="s">
        <v>283</v>
      </c>
      <c r="C62" s="162">
        <f t="shared" si="0"/>
        <v>2212928881</v>
      </c>
      <c r="D62" s="346">
        <f>+D5+D12+D19+D26+D34+D46+D52+D57</f>
        <v>2033834605</v>
      </c>
      <c r="E62" s="167">
        <f>+E5+E12+E19+E26+E34+E46+E52+E57</f>
        <v>2748500</v>
      </c>
      <c r="F62" s="167">
        <f>+F5+F12+F19+F26+F34+F46+F52+F57</f>
        <v>176345776</v>
      </c>
    </row>
    <row r="63" spans="1:6" s="247" customFormat="1" ht="12" customHeight="1" thickBot="1">
      <c r="A63" s="303" t="s">
        <v>284</v>
      </c>
      <c r="B63" s="157" t="s">
        <v>285</v>
      </c>
      <c r="C63" s="409">
        <f t="shared" si="0"/>
        <v>5500000</v>
      </c>
      <c r="D63" s="342">
        <f>SUM(D64:D66)</f>
        <v>5500000</v>
      </c>
      <c r="E63" s="162">
        <f>SUM(E64:E66)</f>
        <v>0</v>
      </c>
      <c r="F63" s="162">
        <f>SUM(F64:F66)</f>
        <v>0</v>
      </c>
    </row>
    <row r="64" spans="1:6" s="247" customFormat="1" ht="12" customHeight="1">
      <c r="A64" s="14" t="s">
        <v>316</v>
      </c>
      <c r="B64" s="248" t="s">
        <v>286</v>
      </c>
      <c r="C64" s="243">
        <f t="shared" si="0"/>
        <v>5500000</v>
      </c>
      <c r="D64" s="318">
        <v>5500000</v>
      </c>
      <c r="E64" s="166"/>
      <c r="F64" s="166"/>
    </row>
    <row r="65" spans="1:6" s="247" customFormat="1" ht="12" customHeight="1">
      <c r="A65" s="13" t="s">
        <v>325</v>
      </c>
      <c r="B65" s="249" t="s">
        <v>287</v>
      </c>
      <c r="C65" s="407">
        <f t="shared" si="0"/>
        <v>0</v>
      </c>
      <c r="D65" s="318"/>
      <c r="E65" s="166"/>
      <c r="F65" s="166"/>
    </row>
    <row r="66" spans="1:6" s="247" customFormat="1" ht="12" customHeight="1" thickBot="1">
      <c r="A66" s="15" t="s">
        <v>326</v>
      </c>
      <c r="B66" s="304" t="s">
        <v>503</v>
      </c>
      <c r="C66" s="408">
        <f t="shared" si="0"/>
        <v>0</v>
      </c>
      <c r="D66" s="318"/>
      <c r="E66" s="166"/>
      <c r="F66" s="166"/>
    </row>
    <row r="67" spans="1:6" s="247" customFormat="1" ht="12" customHeight="1" thickBot="1">
      <c r="A67" s="303" t="s">
        <v>289</v>
      </c>
      <c r="B67" s="157" t="s">
        <v>290</v>
      </c>
      <c r="C67" s="409">
        <f t="shared" si="0"/>
        <v>0</v>
      </c>
      <c r="D67" s="342">
        <f>SUM(D68:D71)</f>
        <v>0</v>
      </c>
      <c r="E67" s="162">
        <f>SUM(E68:E71)</f>
        <v>0</v>
      </c>
      <c r="F67" s="162">
        <f>SUM(F68:F71)</f>
        <v>0</v>
      </c>
    </row>
    <row r="68" spans="1:6" s="247" customFormat="1" ht="12" customHeight="1">
      <c r="A68" s="14" t="s">
        <v>160</v>
      </c>
      <c r="B68" s="248" t="s">
        <v>291</v>
      </c>
      <c r="C68" s="243">
        <f t="shared" si="0"/>
        <v>0</v>
      </c>
      <c r="D68" s="318"/>
      <c r="E68" s="166"/>
      <c r="F68" s="166"/>
    </row>
    <row r="69" spans="1:6" s="247" customFormat="1" ht="12" customHeight="1">
      <c r="A69" s="13" t="s">
        <v>161</v>
      </c>
      <c r="B69" s="249" t="s">
        <v>292</v>
      </c>
      <c r="C69" s="407">
        <f aca="true" t="shared" si="1" ref="C69:C87">SUM(D69:F69)</f>
        <v>0</v>
      </c>
      <c r="D69" s="318"/>
      <c r="E69" s="166"/>
      <c r="F69" s="166"/>
    </row>
    <row r="70" spans="1:6" s="247" customFormat="1" ht="12" customHeight="1">
      <c r="A70" s="13" t="s">
        <v>317</v>
      </c>
      <c r="B70" s="249" t="s">
        <v>293</v>
      </c>
      <c r="C70" s="407">
        <f t="shared" si="1"/>
        <v>0</v>
      </c>
      <c r="D70" s="318"/>
      <c r="E70" s="166"/>
      <c r="F70" s="166"/>
    </row>
    <row r="71" spans="1:6" s="247" customFormat="1" ht="12" customHeight="1" thickBot="1">
      <c r="A71" s="15" t="s">
        <v>318</v>
      </c>
      <c r="B71" s="159" t="s">
        <v>294</v>
      </c>
      <c r="C71" s="408">
        <f t="shared" si="1"/>
        <v>0</v>
      </c>
      <c r="D71" s="318"/>
      <c r="E71" s="166"/>
      <c r="F71" s="166"/>
    </row>
    <row r="72" spans="1:6" s="247" customFormat="1" ht="12" customHeight="1" thickBot="1">
      <c r="A72" s="303" t="s">
        <v>295</v>
      </c>
      <c r="B72" s="157" t="s">
        <v>296</v>
      </c>
      <c r="C72" s="162">
        <f t="shared" si="1"/>
        <v>292133965</v>
      </c>
      <c r="D72" s="342">
        <f>SUM(D73:D74)</f>
        <v>289331423</v>
      </c>
      <c r="E72" s="162">
        <f>SUM(E73:E74)</f>
        <v>0</v>
      </c>
      <c r="F72" s="162">
        <f>SUM(F73:F74)</f>
        <v>2802542</v>
      </c>
    </row>
    <row r="73" spans="1:6" s="247" customFormat="1" ht="12" customHeight="1">
      <c r="A73" s="14" t="s">
        <v>319</v>
      </c>
      <c r="B73" s="248" t="s">
        <v>297</v>
      </c>
      <c r="C73" s="243">
        <f t="shared" si="1"/>
        <v>292133965</v>
      </c>
      <c r="D73" s="318">
        <v>289331423</v>
      </c>
      <c r="E73" s="166"/>
      <c r="F73" s="166">
        <v>2802542</v>
      </c>
    </row>
    <row r="74" spans="1:6" s="247" customFormat="1" ht="12" customHeight="1" thickBot="1">
      <c r="A74" s="15" t="s">
        <v>320</v>
      </c>
      <c r="B74" s="159" t="s">
        <v>298</v>
      </c>
      <c r="C74" s="408">
        <f t="shared" si="1"/>
        <v>0</v>
      </c>
      <c r="D74" s="318"/>
      <c r="E74" s="166"/>
      <c r="F74" s="166"/>
    </row>
    <row r="75" spans="1:6" s="247" customFormat="1" ht="12" customHeight="1" thickBot="1">
      <c r="A75" s="303" t="s">
        <v>299</v>
      </c>
      <c r="B75" s="157" t="s">
        <v>300</v>
      </c>
      <c r="C75" s="409">
        <f t="shared" si="1"/>
        <v>0</v>
      </c>
      <c r="D75" s="342">
        <f>SUM(D76:D78)</f>
        <v>0</v>
      </c>
      <c r="E75" s="162">
        <f>SUM(E76:E78)</f>
        <v>0</v>
      </c>
      <c r="F75" s="162">
        <f>SUM(F76:F78)</f>
        <v>0</v>
      </c>
    </row>
    <row r="76" spans="1:6" s="247" customFormat="1" ht="12" customHeight="1">
      <c r="A76" s="14" t="s">
        <v>321</v>
      </c>
      <c r="B76" s="248" t="s">
        <v>301</v>
      </c>
      <c r="C76" s="243">
        <f t="shared" si="1"/>
        <v>0</v>
      </c>
      <c r="D76" s="318"/>
      <c r="E76" s="166"/>
      <c r="F76" s="166"/>
    </row>
    <row r="77" spans="1:6" s="247" customFormat="1" ht="12" customHeight="1">
      <c r="A77" s="13" t="s">
        <v>322</v>
      </c>
      <c r="B77" s="249" t="s">
        <v>302</v>
      </c>
      <c r="C77" s="407">
        <f t="shared" si="1"/>
        <v>0</v>
      </c>
      <c r="D77" s="318"/>
      <c r="E77" s="166"/>
      <c r="F77" s="166"/>
    </row>
    <row r="78" spans="1:6" s="247" customFormat="1" ht="12" customHeight="1" thickBot="1">
      <c r="A78" s="15" t="s">
        <v>323</v>
      </c>
      <c r="B78" s="159" t="s">
        <v>303</v>
      </c>
      <c r="C78" s="408">
        <f t="shared" si="1"/>
        <v>0</v>
      </c>
      <c r="D78" s="318"/>
      <c r="E78" s="166"/>
      <c r="F78" s="166"/>
    </row>
    <row r="79" spans="1:6" s="247" customFormat="1" ht="12" customHeight="1" thickBot="1">
      <c r="A79" s="303" t="s">
        <v>304</v>
      </c>
      <c r="B79" s="157" t="s">
        <v>324</v>
      </c>
      <c r="C79" s="409">
        <f t="shared" si="1"/>
        <v>0</v>
      </c>
      <c r="D79" s="342">
        <f>SUM(D80:D83)</f>
        <v>0</v>
      </c>
      <c r="E79" s="162">
        <f>SUM(E80:E83)</f>
        <v>0</v>
      </c>
      <c r="F79" s="162">
        <f>SUM(F80:F83)</f>
        <v>0</v>
      </c>
    </row>
    <row r="80" spans="1:6" s="247" customFormat="1" ht="12" customHeight="1">
      <c r="A80" s="252" t="s">
        <v>305</v>
      </c>
      <c r="B80" s="248" t="s">
        <v>306</v>
      </c>
      <c r="C80" s="243">
        <f t="shared" si="1"/>
        <v>0</v>
      </c>
      <c r="D80" s="318"/>
      <c r="E80" s="166"/>
      <c r="F80" s="166"/>
    </row>
    <row r="81" spans="1:6" s="247" customFormat="1" ht="12" customHeight="1">
      <c r="A81" s="253" t="s">
        <v>307</v>
      </c>
      <c r="B81" s="249" t="s">
        <v>308</v>
      </c>
      <c r="C81" s="407">
        <f t="shared" si="1"/>
        <v>0</v>
      </c>
      <c r="D81" s="318"/>
      <c r="E81" s="166"/>
      <c r="F81" s="166"/>
    </row>
    <row r="82" spans="1:6" s="247" customFormat="1" ht="12" customHeight="1">
      <c r="A82" s="253" t="s">
        <v>309</v>
      </c>
      <c r="B82" s="249" t="s">
        <v>310</v>
      </c>
      <c r="C82" s="407">
        <f t="shared" si="1"/>
        <v>0</v>
      </c>
      <c r="D82" s="318"/>
      <c r="E82" s="166"/>
      <c r="F82" s="166"/>
    </row>
    <row r="83" spans="1:6" s="247" customFormat="1" ht="12" customHeight="1" thickBot="1">
      <c r="A83" s="254" t="s">
        <v>311</v>
      </c>
      <c r="B83" s="159" t="s">
        <v>312</v>
      </c>
      <c r="C83" s="408">
        <f t="shared" si="1"/>
        <v>0</v>
      </c>
      <c r="D83" s="318"/>
      <c r="E83" s="166"/>
      <c r="F83" s="166"/>
    </row>
    <row r="84" spans="1:6" s="247" customFormat="1" ht="12" customHeight="1" thickBot="1">
      <c r="A84" s="303" t="s">
        <v>313</v>
      </c>
      <c r="B84" s="157" t="s">
        <v>504</v>
      </c>
      <c r="C84" s="702">
        <f t="shared" si="1"/>
        <v>0</v>
      </c>
      <c r="D84" s="350"/>
      <c r="E84" s="287"/>
      <c r="F84" s="287"/>
    </row>
    <row r="85" spans="1:6" s="247" customFormat="1" ht="13.5" customHeight="1" thickBot="1">
      <c r="A85" s="303" t="s">
        <v>315</v>
      </c>
      <c r="B85" s="157" t="s">
        <v>314</v>
      </c>
      <c r="C85" s="409">
        <f t="shared" si="1"/>
        <v>0</v>
      </c>
      <c r="D85" s="350"/>
      <c r="E85" s="287"/>
      <c r="F85" s="287"/>
    </row>
    <row r="86" spans="1:6" s="247" customFormat="1" ht="15.75" customHeight="1" thickBot="1">
      <c r="A86" s="303" t="s">
        <v>327</v>
      </c>
      <c r="B86" s="255" t="s">
        <v>505</v>
      </c>
      <c r="C86" s="162">
        <f t="shared" si="1"/>
        <v>297633965</v>
      </c>
      <c r="D86" s="346">
        <f>+D63+D67+D72+D75+D79+D85+D84</f>
        <v>294831423</v>
      </c>
      <c r="E86" s="167">
        <f>+E63+E67+E72+E75+E79+E85+E84</f>
        <v>0</v>
      </c>
      <c r="F86" s="167">
        <f>+F63+F67+F72+F75+F79+F85+F84</f>
        <v>2802542</v>
      </c>
    </row>
    <row r="87" spans="1:6" s="247" customFormat="1" ht="16.5" customHeight="1" thickBot="1">
      <c r="A87" s="305" t="s">
        <v>506</v>
      </c>
      <c r="B87" s="256" t="s">
        <v>507</v>
      </c>
      <c r="C87" s="309">
        <f t="shared" si="1"/>
        <v>2510562846</v>
      </c>
      <c r="D87" s="346">
        <f>+D62+D86</f>
        <v>2328666028</v>
      </c>
      <c r="E87" s="167">
        <f>+E62+E86</f>
        <v>2748500</v>
      </c>
      <c r="F87" s="167">
        <f>+F62+F86</f>
        <v>179148318</v>
      </c>
    </row>
    <row r="88" spans="1:3" s="247" customFormat="1" ht="83.25" customHeight="1">
      <c r="A88" s="4"/>
      <c r="B88" s="5"/>
      <c r="C88" s="168"/>
    </row>
    <row r="89" spans="1:3" ht="16.5" customHeight="1">
      <c r="A89" s="841" t="s">
        <v>69</v>
      </c>
      <c r="B89" s="841"/>
      <c r="C89" s="841"/>
    </row>
    <row r="90" spans="1:3" s="257" customFormat="1" ht="16.5" customHeight="1" thickBot="1">
      <c r="A90" s="843" t="s">
        <v>163</v>
      </c>
      <c r="B90" s="843"/>
      <c r="C90" s="89" t="s">
        <v>632</v>
      </c>
    </row>
    <row r="91" spans="1:3" ht="37.5" customHeight="1" thickBot="1">
      <c r="A91" s="22" t="s">
        <v>91</v>
      </c>
      <c r="B91" s="23" t="s">
        <v>70</v>
      </c>
      <c r="C91" s="35" t="str">
        <f>+C3</f>
        <v>2017. évi előirányzat</v>
      </c>
    </row>
    <row r="92" spans="1:3" s="246" customFormat="1" ht="12" customHeight="1" thickBot="1">
      <c r="A92" s="31" t="s">
        <v>491</v>
      </c>
      <c r="B92" s="32" t="s">
        <v>492</v>
      </c>
      <c r="C92" s="242" t="s">
        <v>493</v>
      </c>
    </row>
    <row r="93" spans="1:6" ht="12" customHeight="1" thickBot="1">
      <c r="A93" s="21" t="s">
        <v>40</v>
      </c>
      <c r="B93" s="25" t="s">
        <v>545</v>
      </c>
      <c r="C93" s="162">
        <f aca="true" t="shared" si="2" ref="C93:C154">SUM(D93:F93)</f>
        <v>1668711485</v>
      </c>
      <c r="D93" s="354">
        <f>+D94+D95+D96+D97+D98+D111</f>
        <v>784536321</v>
      </c>
      <c r="E93" s="161">
        <f>+E94+E95+E96+E97+E98+E111</f>
        <v>26260350</v>
      </c>
      <c r="F93" s="370">
        <f>F94+F95+F96+F97+F98+F111</f>
        <v>857914814</v>
      </c>
    </row>
    <row r="94" spans="1:6" ht="12" customHeight="1">
      <c r="A94" s="16" t="s">
        <v>116</v>
      </c>
      <c r="B94" s="9" t="s">
        <v>71</v>
      </c>
      <c r="C94" s="704">
        <f t="shared" si="2"/>
        <v>645674582</v>
      </c>
      <c r="D94" s="373">
        <f>25364000+1932000+165142000+105000+48000+8381882+232903371+281000+326126+85501355+54000-231000-1302308+140000+50000+124089+1643675-132000-1343902+1090963-199331+2037000+101222+240000-395935-18339-279139483-198000-80000+444000+80000-388424+1577323</f>
        <v>244138284</v>
      </c>
      <c r="E94" s="328">
        <v>579000</v>
      </c>
      <c r="F94" s="348">
        <f>400743120+112360+2034476-1932658</f>
        <v>400957298</v>
      </c>
    </row>
    <row r="95" spans="1:6" ht="12" customHeight="1">
      <c r="A95" s="13" t="s">
        <v>117</v>
      </c>
      <c r="B95" s="7" t="s">
        <v>183</v>
      </c>
      <c r="C95" s="703">
        <f t="shared" si="2"/>
        <v>126124715</v>
      </c>
      <c r="D95" s="318">
        <f>5239000+425000+14000+19299000+23000+10000+922005+25618911+31000+35874+9405149+12000-45738-286508+51864+21830+69499+315700-26136-235888+208612+21425+448140+47520-65445-31590193-39204+388424+312310+720912</f>
        <v>31352063</v>
      </c>
      <c r="E95" s="166">
        <v>231000</v>
      </c>
      <c r="F95" s="347">
        <f>94550329+22247+440742-471666</f>
        <v>94541652</v>
      </c>
    </row>
    <row r="96" spans="1:6" ht="12" customHeight="1">
      <c r="A96" s="13" t="s">
        <v>118</v>
      </c>
      <c r="B96" s="7" t="s">
        <v>152</v>
      </c>
      <c r="C96" s="703">
        <f t="shared" si="2"/>
        <v>655225250</v>
      </c>
      <c r="D96" s="323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+600000-191864+30000+706000+361225+6840000+918292+13500+137360+2710661+209000-133428+570939+108500+433000+46000+8760131+1174136-2866987+1246500+68374+300000+199094+214000-4705000+254000+381000+2749550+394000+326000+454000+2267725-558800+1524000+1905000-2694940+2837893+896339-31916082+1924793+5080000+1028360+1000000-100000-201000+837694</f>
        <v>291609036</v>
      </c>
      <c r="E96" s="237">
        <f>1141350+59000</f>
        <v>1200350</v>
      </c>
      <c r="F96" s="347">
        <f>377214048+80000-14878184</f>
        <v>362415864</v>
      </c>
    </row>
    <row r="97" spans="1:6" ht="12" customHeight="1">
      <c r="A97" s="13" t="s">
        <v>119</v>
      </c>
      <c r="B97" s="7" t="s">
        <v>184</v>
      </c>
      <c r="C97" s="703">
        <f t="shared" si="2"/>
        <v>83248740</v>
      </c>
      <c r="D97" s="323">
        <f>70980000+5000-6906260-5080000</f>
        <v>58998740</v>
      </c>
      <c r="E97" s="237">
        <v>24250000</v>
      </c>
      <c r="F97" s="347"/>
    </row>
    <row r="98" spans="1:6" ht="12" customHeight="1">
      <c r="A98" s="13" t="s">
        <v>130</v>
      </c>
      <c r="B98" s="6" t="s">
        <v>185</v>
      </c>
      <c r="C98" s="383">
        <f t="shared" si="2"/>
        <v>71420007</v>
      </c>
      <c r="D98" s="323">
        <f>SUM(D99:D110)</f>
        <v>71420007</v>
      </c>
      <c r="E98" s="237">
        <f>SUM(E99:E110)</f>
        <v>0</v>
      </c>
      <c r="F98" s="237"/>
    </row>
    <row r="99" spans="1:6" ht="12" customHeight="1">
      <c r="A99" s="13" t="s">
        <v>120</v>
      </c>
      <c r="B99" s="7" t="s">
        <v>508</v>
      </c>
      <c r="C99" s="383">
        <f t="shared" si="2"/>
        <v>7358007</v>
      </c>
      <c r="D99" s="323">
        <f>1500+6098534+1143510+114463</f>
        <v>7358007</v>
      </c>
      <c r="E99" s="237"/>
      <c r="F99" s="237"/>
    </row>
    <row r="100" spans="1:6" ht="12" customHeight="1">
      <c r="A100" s="13" t="s">
        <v>121</v>
      </c>
      <c r="B100" s="93" t="s">
        <v>509</v>
      </c>
      <c r="C100" s="407">
        <f t="shared" si="2"/>
        <v>0</v>
      </c>
      <c r="D100" s="323"/>
      <c r="E100" s="237"/>
      <c r="F100" s="237"/>
    </row>
    <row r="101" spans="1:6" ht="12" customHeight="1">
      <c r="A101" s="13" t="s">
        <v>131</v>
      </c>
      <c r="B101" s="93" t="s">
        <v>510</v>
      </c>
      <c r="C101" s="407">
        <f t="shared" si="2"/>
        <v>0</v>
      </c>
      <c r="D101" s="323"/>
      <c r="E101" s="237"/>
      <c r="F101" s="237"/>
    </row>
    <row r="102" spans="1:6" ht="12" customHeight="1">
      <c r="A102" s="13" t="s">
        <v>132</v>
      </c>
      <c r="B102" s="91" t="s">
        <v>330</v>
      </c>
      <c r="C102" s="407">
        <f t="shared" si="2"/>
        <v>0</v>
      </c>
      <c r="D102" s="323"/>
      <c r="E102" s="237"/>
      <c r="F102" s="237"/>
    </row>
    <row r="103" spans="1:6" ht="12" customHeight="1">
      <c r="A103" s="13" t="s">
        <v>133</v>
      </c>
      <c r="B103" s="92" t="s">
        <v>331</v>
      </c>
      <c r="C103" s="407">
        <f t="shared" si="2"/>
        <v>0</v>
      </c>
      <c r="D103" s="323"/>
      <c r="E103" s="237"/>
      <c r="F103" s="237"/>
    </row>
    <row r="104" spans="1:6" ht="12" customHeight="1">
      <c r="A104" s="13" t="s">
        <v>134</v>
      </c>
      <c r="B104" s="92" t="s">
        <v>332</v>
      </c>
      <c r="C104" s="407">
        <f t="shared" si="2"/>
        <v>0</v>
      </c>
      <c r="D104" s="323"/>
      <c r="E104" s="237"/>
      <c r="F104" s="237"/>
    </row>
    <row r="105" spans="1:6" ht="12" customHeight="1">
      <c r="A105" s="13" t="s">
        <v>136</v>
      </c>
      <c r="B105" s="91" t="s">
        <v>333</v>
      </c>
      <c r="C105" s="407">
        <f t="shared" si="2"/>
        <v>0</v>
      </c>
      <c r="D105" s="323">
        <f>60754-60754</f>
        <v>0</v>
      </c>
      <c r="E105" s="237"/>
      <c r="F105" s="237"/>
    </row>
    <row r="106" spans="1:6" ht="12" customHeight="1">
      <c r="A106" s="13" t="s">
        <v>186</v>
      </c>
      <c r="B106" s="91" t="s">
        <v>334</v>
      </c>
      <c r="C106" s="407">
        <f t="shared" si="2"/>
        <v>0</v>
      </c>
      <c r="D106" s="381"/>
      <c r="E106" s="237"/>
      <c r="F106" s="237"/>
    </row>
    <row r="107" spans="1:6" ht="12" customHeight="1">
      <c r="A107" s="13" t="s">
        <v>328</v>
      </c>
      <c r="B107" s="92" t="s">
        <v>335</v>
      </c>
      <c r="C107" s="407">
        <f t="shared" si="2"/>
        <v>0</v>
      </c>
      <c r="D107" s="323"/>
      <c r="E107" s="237"/>
      <c r="F107" s="237"/>
    </row>
    <row r="108" spans="1:6" ht="12" customHeight="1">
      <c r="A108" s="12" t="s">
        <v>329</v>
      </c>
      <c r="B108" s="93" t="s">
        <v>336</v>
      </c>
      <c r="C108" s="407">
        <f t="shared" si="2"/>
        <v>0</v>
      </c>
      <c r="D108" s="323"/>
      <c r="E108" s="237"/>
      <c r="F108" s="237"/>
    </row>
    <row r="109" spans="1:6" ht="12" customHeight="1">
      <c r="A109" s="13" t="s">
        <v>511</v>
      </c>
      <c r="B109" s="93" t="s">
        <v>337</v>
      </c>
      <c r="C109" s="407">
        <f t="shared" si="2"/>
        <v>0</v>
      </c>
      <c r="D109" s="323"/>
      <c r="E109" s="237"/>
      <c r="F109" s="237"/>
    </row>
    <row r="110" spans="1:6" ht="12" customHeight="1">
      <c r="A110" s="15" t="s">
        <v>512</v>
      </c>
      <c r="B110" s="93" t="s">
        <v>338</v>
      </c>
      <c r="C110" s="703">
        <f t="shared" si="2"/>
        <v>64062000</v>
      </c>
      <c r="D110" s="318">
        <f>536000+1500000+500000+4000000+200000+189000+7562000+16678000+3500000+6600000+2000000+4000000+7351000+2875000+250000+3000000+60000+3261000</f>
        <v>64062000</v>
      </c>
      <c r="E110" s="166"/>
      <c r="F110" s="237"/>
    </row>
    <row r="111" spans="1:6" ht="12" customHeight="1">
      <c r="A111" s="13" t="s">
        <v>513</v>
      </c>
      <c r="B111" s="7" t="s">
        <v>72</v>
      </c>
      <c r="C111" s="407">
        <f t="shared" si="2"/>
        <v>87018191</v>
      </c>
      <c r="D111" s="318">
        <f>SUM(D112:D113)</f>
        <v>87018191</v>
      </c>
      <c r="E111" s="166"/>
      <c r="F111" s="166">
        <f>SUM(F112:F113)</f>
        <v>0</v>
      </c>
    </row>
    <row r="112" spans="1:6" ht="12" customHeight="1">
      <c r="A112" s="13" t="s">
        <v>514</v>
      </c>
      <c r="B112" s="7" t="s">
        <v>515</v>
      </c>
      <c r="C112" s="703">
        <f t="shared" si="2"/>
        <v>19789869</v>
      </c>
      <c r="D112" s="323">
        <f>20000000-9172313+8719388-4010722-1042502-1846399+5485909+1656508</f>
        <v>19789869</v>
      </c>
      <c r="E112" s="237"/>
      <c r="F112" s="166"/>
    </row>
    <row r="113" spans="1:6" ht="12" customHeight="1" thickBot="1">
      <c r="A113" s="17" t="s">
        <v>516</v>
      </c>
      <c r="B113" s="306" t="s">
        <v>517</v>
      </c>
      <c r="C113" s="705">
        <f t="shared" si="2"/>
        <v>67228322</v>
      </c>
      <c r="D113" s="374">
        <f>111113300-8373330-1600000-8539600-6323156-7948000-7343244+31158286-32066515+411581-3261000</f>
        <v>67228322</v>
      </c>
      <c r="E113" s="337"/>
      <c r="F113" s="337"/>
    </row>
    <row r="114" spans="1:6" ht="12" customHeight="1" thickBot="1">
      <c r="A114" s="307" t="s">
        <v>41</v>
      </c>
      <c r="B114" s="308" t="s">
        <v>339</v>
      </c>
      <c r="C114" s="162">
        <f t="shared" si="2"/>
        <v>509306534</v>
      </c>
      <c r="D114" s="342">
        <f>+D115+D117+D119</f>
        <v>502854114</v>
      </c>
      <c r="E114" s="162">
        <f>+E115+E117+E119</f>
        <v>0</v>
      </c>
      <c r="F114" s="309">
        <f>+F115+F117+F119</f>
        <v>6452420</v>
      </c>
    </row>
    <row r="115" spans="1:6" ht="18.75" customHeight="1">
      <c r="A115" s="14" t="s">
        <v>122</v>
      </c>
      <c r="B115" s="7" t="s">
        <v>203</v>
      </c>
      <c r="C115" s="704">
        <f t="shared" si="2"/>
        <v>354297816</v>
      </c>
      <c r="D115" s="349">
        <f>6621000+787402+10624171+3081125+529000+1654000+447000+2237000+6604000+204000+15179276+979170-1000000+90000+2160000+4226991+40000+71809476+15956160+214128350+180000+1238248+151042-2768918+2707800+12700+370002+35000+349250-127000-254000+5001260+2694940+11000-979170-14894286+95000-1889633+421433+133000+100000</f>
        <v>348945789</v>
      </c>
      <c r="E115" s="286"/>
      <c r="F115" s="286">
        <f>5617027-265000</f>
        <v>5352027</v>
      </c>
    </row>
    <row r="116" spans="1:6" ht="12" customHeight="1">
      <c r="A116" s="14" t="s">
        <v>123</v>
      </c>
      <c r="B116" s="11" t="s">
        <v>343</v>
      </c>
      <c r="C116" s="383">
        <f t="shared" si="2"/>
        <v>315386684</v>
      </c>
      <c r="D116" s="349">
        <f>14492698-1000000+71809476+15956160+214128350</f>
        <v>315386684</v>
      </c>
      <c r="E116" s="286"/>
      <c r="F116" s="286"/>
    </row>
    <row r="117" spans="1:6" ht="12" customHeight="1">
      <c r="A117" s="14" t="s">
        <v>124</v>
      </c>
      <c r="B117" s="11" t="s">
        <v>187</v>
      </c>
      <c r="C117" s="703">
        <f t="shared" si="2"/>
        <v>108104218</v>
      </c>
      <c r="D117" s="318">
        <f>53340000+1513000+2996000+809000+7509510+1000000-60160+600000+18459450+2866987+5566352+3795044+200000+5929-203244-1286510+558800+9053657+200000+80010</f>
        <v>107003825</v>
      </c>
      <c r="E117" s="166"/>
      <c r="F117" s="166">
        <f>500000-134607+578000+157000</f>
        <v>1100393</v>
      </c>
    </row>
    <row r="118" spans="1:6" ht="12" customHeight="1">
      <c r="A118" s="14" t="s">
        <v>125</v>
      </c>
      <c r="B118" s="11" t="s">
        <v>344</v>
      </c>
      <c r="C118" s="383">
        <f t="shared" si="2"/>
        <v>57931800</v>
      </c>
      <c r="D118" s="318">
        <f>53340000+1000000+3795044-203244</f>
        <v>57931800</v>
      </c>
      <c r="E118" s="330"/>
      <c r="F118" s="330"/>
    </row>
    <row r="119" spans="1:6" ht="12" customHeight="1">
      <c r="A119" s="14" t="s">
        <v>126</v>
      </c>
      <c r="B119" s="159" t="s">
        <v>205</v>
      </c>
      <c r="C119" s="383">
        <f t="shared" si="2"/>
        <v>46904500</v>
      </c>
      <c r="D119" s="323">
        <f>SUM(D120:D127)</f>
        <v>46904500</v>
      </c>
      <c r="E119" s="318"/>
      <c r="F119" s="318"/>
    </row>
    <row r="120" spans="1:6" ht="12" customHeight="1">
      <c r="A120" s="14" t="s">
        <v>135</v>
      </c>
      <c r="B120" s="158" t="s">
        <v>406</v>
      </c>
      <c r="C120" s="383">
        <f t="shared" si="2"/>
        <v>0</v>
      </c>
      <c r="D120" s="149"/>
      <c r="E120" s="149"/>
      <c r="F120" s="149"/>
    </row>
    <row r="121" spans="1:6" ht="12" customHeight="1">
      <c r="A121" s="14" t="s">
        <v>137</v>
      </c>
      <c r="B121" s="244" t="s">
        <v>349</v>
      </c>
      <c r="C121" s="407">
        <f t="shared" si="2"/>
        <v>0</v>
      </c>
      <c r="D121" s="149"/>
      <c r="E121" s="149"/>
      <c r="F121" s="149"/>
    </row>
    <row r="122" spans="1:6" ht="15.75">
      <c r="A122" s="14" t="s">
        <v>188</v>
      </c>
      <c r="B122" s="92" t="s">
        <v>332</v>
      </c>
      <c r="C122" s="407">
        <f t="shared" si="2"/>
        <v>0</v>
      </c>
      <c r="D122" s="149"/>
      <c r="E122" s="149"/>
      <c r="F122" s="149"/>
    </row>
    <row r="123" spans="1:6" ht="12" customHeight="1">
      <c r="A123" s="14" t="s">
        <v>189</v>
      </c>
      <c r="B123" s="92" t="s">
        <v>348</v>
      </c>
      <c r="C123" s="407">
        <f t="shared" si="2"/>
        <v>0</v>
      </c>
      <c r="D123" s="149"/>
      <c r="E123" s="149"/>
      <c r="F123" s="149"/>
    </row>
    <row r="124" spans="1:6" ht="12" customHeight="1">
      <c r="A124" s="14" t="s">
        <v>190</v>
      </c>
      <c r="B124" s="92" t="s">
        <v>347</v>
      </c>
      <c r="C124" s="407">
        <f t="shared" si="2"/>
        <v>0</v>
      </c>
      <c r="D124" s="149"/>
      <c r="E124" s="149"/>
      <c r="F124" s="149"/>
    </row>
    <row r="125" spans="1:6" ht="12" customHeight="1">
      <c r="A125" s="14" t="s">
        <v>340</v>
      </c>
      <c r="B125" s="92" t="s">
        <v>335</v>
      </c>
      <c r="C125" s="407">
        <f t="shared" si="2"/>
        <v>5000</v>
      </c>
      <c r="D125" s="149">
        <v>5000</v>
      </c>
      <c r="E125" s="149"/>
      <c r="F125" s="149"/>
    </row>
    <row r="126" spans="1:6" ht="12" customHeight="1">
      <c r="A126" s="14" t="s">
        <v>341</v>
      </c>
      <c r="B126" s="92" t="s">
        <v>346</v>
      </c>
      <c r="C126" s="407">
        <f t="shared" si="2"/>
        <v>0</v>
      </c>
      <c r="D126" s="149"/>
      <c r="E126" s="149"/>
      <c r="F126" s="149"/>
    </row>
    <row r="127" spans="1:6" ht="16.5" thickBot="1">
      <c r="A127" s="12" t="s">
        <v>342</v>
      </c>
      <c r="B127" s="92" t="s">
        <v>345</v>
      </c>
      <c r="C127" s="705">
        <f t="shared" si="2"/>
        <v>46899500</v>
      </c>
      <c r="D127" s="150">
        <f>42072000+2400000+1348000+1079500</f>
        <v>46899500</v>
      </c>
      <c r="E127" s="323"/>
      <c r="F127" s="150"/>
    </row>
    <row r="128" spans="1:6" ht="12" customHeight="1" thickBot="1">
      <c r="A128" s="19" t="s">
        <v>42</v>
      </c>
      <c r="B128" s="87" t="s">
        <v>518</v>
      </c>
      <c r="C128" s="162">
        <f t="shared" si="2"/>
        <v>2178018019</v>
      </c>
      <c r="D128" s="342">
        <f>+D93+D114</f>
        <v>1287390435</v>
      </c>
      <c r="E128" s="162">
        <f>+E93+E114</f>
        <v>26260350</v>
      </c>
      <c r="F128" s="162">
        <f>+F93+F114</f>
        <v>864367234</v>
      </c>
    </row>
    <row r="129" spans="1:6" ht="12" customHeight="1" thickBot="1">
      <c r="A129" s="19" t="s">
        <v>43</v>
      </c>
      <c r="B129" s="87" t="s">
        <v>519</v>
      </c>
      <c r="C129" s="409">
        <f t="shared" si="2"/>
        <v>0</v>
      </c>
      <c r="D129" s="342">
        <f>+D130+D131+D132</f>
        <v>0</v>
      </c>
      <c r="E129" s="162">
        <f>+E130+E131+E132</f>
        <v>0</v>
      </c>
      <c r="F129" s="162">
        <f>+F130+F131+F132</f>
        <v>0</v>
      </c>
    </row>
    <row r="130" spans="1:6" ht="12" customHeight="1">
      <c r="A130" s="14" t="s">
        <v>240</v>
      </c>
      <c r="B130" s="11" t="s">
        <v>520</v>
      </c>
      <c r="C130" s="243">
        <f t="shared" si="2"/>
        <v>0</v>
      </c>
      <c r="D130" s="318"/>
      <c r="E130" s="318"/>
      <c r="F130" s="318"/>
    </row>
    <row r="131" spans="1:6" ht="12" customHeight="1">
      <c r="A131" s="14" t="s">
        <v>243</v>
      </c>
      <c r="B131" s="11" t="s">
        <v>521</v>
      </c>
      <c r="C131" s="407">
        <f t="shared" si="2"/>
        <v>0</v>
      </c>
      <c r="D131" s="149"/>
      <c r="E131" s="149"/>
      <c r="F131" s="149"/>
    </row>
    <row r="132" spans="1:6" ht="12" customHeight="1" thickBot="1">
      <c r="A132" s="12" t="s">
        <v>244</v>
      </c>
      <c r="B132" s="11" t="s">
        <v>522</v>
      </c>
      <c r="C132" s="408">
        <f t="shared" si="2"/>
        <v>0</v>
      </c>
      <c r="D132" s="149"/>
      <c r="E132" s="149"/>
      <c r="F132" s="149"/>
    </row>
    <row r="133" spans="1:6" ht="12" customHeight="1" thickBot="1">
      <c r="A133" s="19" t="s">
        <v>44</v>
      </c>
      <c r="B133" s="87" t="s">
        <v>523</v>
      </c>
      <c r="C133" s="409">
        <f t="shared" si="2"/>
        <v>0</v>
      </c>
      <c r="D133" s="342">
        <f>+D134+D135+D136+D137+D138+D139</f>
        <v>0</v>
      </c>
      <c r="E133" s="162">
        <f>+E134+E135+E136+E137+E138+E139</f>
        <v>0</v>
      </c>
      <c r="F133" s="162">
        <f>SUM(F134:F139)</f>
        <v>0</v>
      </c>
    </row>
    <row r="134" spans="1:6" ht="12" customHeight="1">
      <c r="A134" s="14" t="s">
        <v>109</v>
      </c>
      <c r="B134" s="8" t="s">
        <v>524</v>
      </c>
      <c r="C134" s="243">
        <f t="shared" si="2"/>
        <v>0</v>
      </c>
      <c r="D134" s="149"/>
      <c r="E134" s="149"/>
      <c r="F134" s="149"/>
    </row>
    <row r="135" spans="1:6" ht="12" customHeight="1">
      <c r="A135" s="14" t="s">
        <v>110</v>
      </c>
      <c r="B135" s="8" t="s">
        <v>525</v>
      </c>
      <c r="C135" s="407">
        <f t="shared" si="2"/>
        <v>0</v>
      </c>
      <c r="D135" s="149"/>
      <c r="E135" s="149"/>
      <c r="F135" s="149"/>
    </row>
    <row r="136" spans="1:6" ht="12" customHeight="1">
      <c r="A136" s="14" t="s">
        <v>111</v>
      </c>
      <c r="B136" s="8" t="s">
        <v>526</v>
      </c>
      <c r="C136" s="407">
        <f t="shared" si="2"/>
        <v>0</v>
      </c>
      <c r="D136" s="149"/>
      <c r="E136" s="149"/>
      <c r="F136" s="149"/>
    </row>
    <row r="137" spans="1:6" ht="12" customHeight="1">
      <c r="A137" s="14" t="s">
        <v>175</v>
      </c>
      <c r="B137" s="8" t="s">
        <v>527</v>
      </c>
      <c r="C137" s="407">
        <f t="shared" si="2"/>
        <v>0</v>
      </c>
      <c r="D137" s="149"/>
      <c r="E137" s="149"/>
      <c r="F137" s="149"/>
    </row>
    <row r="138" spans="1:6" ht="12" customHeight="1">
      <c r="A138" s="14" t="s">
        <v>176</v>
      </c>
      <c r="B138" s="8" t="s">
        <v>528</v>
      </c>
      <c r="C138" s="407">
        <f t="shared" si="2"/>
        <v>0</v>
      </c>
      <c r="D138" s="149"/>
      <c r="E138" s="149"/>
      <c r="F138" s="149"/>
    </row>
    <row r="139" spans="1:6" ht="12" customHeight="1" thickBot="1">
      <c r="A139" s="12" t="s">
        <v>177</v>
      </c>
      <c r="B139" s="8" t="s">
        <v>529</v>
      </c>
      <c r="C139" s="408">
        <f t="shared" si="2"/>
        <v>0</v>
      </c>
      <c r="D139" s="149"/>
      <c r="E139" s="149"/>
      <c r="F139" s="149"/>
    </row>
    <row r="140" spans="1:6" ht="12" customHeight="1" thickBot="1">
      <c r="A140" s="19" t="s">
        <v>45</v>
      </c>
      <c r="B140" s="87" t="s">
        <v>530</v>
      </c>
      <c r="C140" s="162">
        <f t="shared" si="2"/>
        <v>35164932</v>
      </c>
      <c r="D140" s="346">
        <f>+D141+D142+D143+D144</f>
        <v>35164932</v>
      </c>
      <c r="E140" s="167">
        <f>+E141+E142+E143+E144</f>
        <v>0</v>
      </c>
      <c r="F140" s="167">
        <f>+F141+F142+F143+F144</f>
        <v>0</v>
      </c>
    </row>
    <row r="141" spans="1:6" ht="12" customHeight="1">
      <c r="A141" s="14" t="s">
        <v>112</v>
      </c>
      <c r="B141" s="8" t="s">
        <v>350</v>
      </c>
      <c r="C141" s="243">
        <f t="shared" si="2"/>
        <v>0</v>
      </c>
      <c r="D141" s="149"/>
      <c r="E141" s="149"/>
      <c r="F141" s="149"/>
    </row>
    <row r="142" spans="1:6" ht="12" customHeight="1">
      <c r="A142" s="14" t="s">
        <v>113</v>
      </c>
      <c r="B142" s="8" t="s">
        <v>351</v>
      </c>
      <c r="C142" s="407">
        <f t="shared" si="2"/>
        <v>35164932</v>
      </c>
      <c r="D142" s="149">
        <v>35164932</v>
      </c>
      <c r="E142" s="149"/>
      <c r="F142" s="149"/>
    </row>
    <row r="143" spans="1:6" ht="12" customHeight="1">
      <c r="A143" s="14" t="s">
        <v>264</v>
      </c>
      <c r="B143" s="8" t="s">
        <v>531</v>
      </c>
      <c r="C143" s="407">
        <f t="shared" si="2"/>
        <v>0</v>
      </c>
      <c r="D143" s="149"/>
      <c r="E143" s="149"/>
      <c r="F143" s="149"/>
    </row>
    <row r="144" spans="1:6" ht="12" customHeight="1" thickBot="1">
      <c r="A144" s="12" t="s">
        <v>265</v>
      </c>
      <c r="B144" s="6" t="s">
        <v>369</v>
      </c>
      <c r="C144" s="408">
        <f t="shared" si="2"/>
        <v>0</v>
      </c>
      <c r="D144" s="149"/>
      <c r="E144" s="149"/>
      <c r="F144" s="149"/>
    </row>
    <row r="145" spans="1:6" ht="12" customHeight="1" thickBot="1">
      <c r="A145" s="19" t="s">
        <v>46</v>
      </c>
      <c r="B145" s="87" t="s">
        <v>532</v>
      </c>
      <c r="C145" s="409">
        <f t="shared" si="2"/>
        <v>0</v>
      </c>
      <c r="D145" s="357">
        <f>+D146+D147+D148+D149+D150</f>
        <v>0</v>
      </c>
      <c r="E145" s="170">
        <f>+E146+E147+E148+E149+E150</f>
        <v>0</v>
      </c>
      <c r="F145" s="170">
        <f>SUM(F146:F150)</f>
        <v>0</v>
      </c>
    </row>
    <row r="146" spans="1:6" ht="12" customHeight="1">
      <c r="A146" s="14" t="s">
        <v>114</v>
      </c>
      <c r="B146" s="8" t="s">
        <v>533</v>
      </c>
      <c r="C146" s="243">
        <f t="shared" si="2"/>
        <v>0</v>
      </c>
      <c r="D146" s="149"/>
      <c r="E146" s="149"/>
      <c r="F146" s="149"/>
    </row>
    <row r="147" spans="1:6" ht="12" customHeight="1">
      <c r="A147" s="14" t="s">
        <v>115</v>
      </c>
      <c r="B147" s="8" t="s">
        <v>534</v>
      </c>
      <c r="C147" s="407">
        <f t="shared" si="2"/>
        <v>0</v>
      </c>
      <c r="D147" s="149"/>
      <c r="E147" s="149"/>
      <c r="F147" s="149"/>
    </row>
    <row r="148" spans="1:6" ht="12" customHeight="1">
      <c r="A148" s="14" t="s">
        <v>276</v>
      </c>
      <c r="B148" s="8" t="s">
        <v>535</v>
      </c>
      <c r="C148" s="407">
        <f t="shared" si="2"/>
        <v>0</v>
      </c>
      <c r="D148" s="149"/>
      <c r="E148" s="149"/>
      <c r="F148" s="149"/>
    </row>
    <row r="149" spans="1:6" ht="12" customHeight="1">
      <c r="A149" s="14" t="s">
        <v>277</v>
      </c>
      <c r="B149" s="8" t="s">
        <v>536</v>
      </c>
      <c r="C149" s="407">
        <f t="shared" si="2"/>
        <v>0</v>
      </c>
      <c r="D149" s="149"/>
      <c r="E149" s="149"/>
      <c r="F149" s="149"/>
    </row>
    <row r="150" spans="1:6" ht="12" customHeight="1" thickBot="1">
      <c r="A150" s="14" t="s">
        <v>537</v>
      </c>
      <c r="B150" s="8" t="s">
        <v>538</v>
      </c>
      <c r="C150" s="408">
        <f t="shared" si="2"/>
        <v>0</v>
      </c>
      <c r="D150" s="150"/>
      <c r="E150" s="150"/>
      <c r="F150" s="149"/>
    </row>
    <row r="151" spans="1:6" ht="12" customHeight="1" thickBot="1">
      <c r="A151" s="19" t="s">
        <v>47</v>
      </c>
      <c r="B151" s="87" t="s">
        <v>539</v>
      </c>
      <c r="C151" s="162">
        <f t="shared" si="2"/>
        <v>0</v>
      </c>
      <c r="D151" s="357"/>
      <c r="E151" s="170"/>
      <c r="F151" s="310"/>
    </row>
    <row r="152" spans="1:6" ht="12" customHeight="1" thickBot="1">
      <c r="A152" s="19" t="s">
        <v>48</v>
      </c>
      <c r="B152" s="87" t="s">
        <v>540</v>
      </c>
      <c r="C152" s="161">
        <f t="shared" si="2"/>
        <v>0</v>
      </c>
      <c r="D152" s="357"/>
      <c r="E152" s="170"/>
      <c r="F152" s="310"/>
    </row>
    <row r="153" spans="1:9" ht="15" customHeight="1" thickBot="1">
      <c r="A153" s="19" t="s">
        <v>49</v>
      </c>
      <c r="B153" s="87" t="s">
        <v>541</v>
      </c>
      <c r="C153" s="161">
        <f t="shared" si="2"/>
        <v>35164932</v>
      </c>
      <c r="D153" s="360">
        <f>+D129+D133+D140+D145+D151+D152</f>
        <v>35164932</v>
      </c>
      <c r="E153" s="258">
        <f>+E129+E133+E140+E145+E151+E152</f>
        <v>0</v>
      </c>
      <c r="F153" s="258">
        <f>+F129+F133+F140+F145+F151+F152</f>
        <v>0</v>
      </c>
      <c r="G153" s="259"/>
      <c r="H153" s="259"/>
      <c r="I153" s="259"/>
    </row>
    <row r="154" spans="1:6" s="247" customFormat="1" ht="12.75" customHeight="1" thickBot="1">
      <c r="A154" s="160" t="s">
        <v>50</v>
      </c>
      <c r="B154" s="233" t="s">
        <v>542</v>
      </c>
      <c r="C154" s="162">
        <f t="shared" si="2"/>
        <v>2213182951</v>
      </c>
      <c r="D154" s="360">
        <f>+D128+D153</f>
        <v>1322555367</v>
      </c>
      <c r="E154" s="258">
        <f>+E128+E153</f>
        <v>26260350</v>
      </c>
      <c r="F154" s="258">
        <f>+F128+F153</f>
        <v>864367234</v>
      </c>
    </row>
    <row r="155" ht="7.5" customHeight="1"/>
    <row r="156" spans="1:3" ht="15.75">
      <c r="A156" s="844" t="s">
        <v>352</v>
      </c>
      <c r="B156" s="844"/>
      <c r="C156" s="844"/>
    </row>
    <row r="157" spans="1:3" ht="15" customHeight="1" thickBot="1">
      <c r="A157" s="842" t="s">
        <v>164</v>
      </c>
      <c r="B157" s="842"/>
      <c r="C157" s="171" t="s">
        <v>632</v>
      </c>
    </row>
    <row r="158" spans="1:3" ht="13.5" customHeight="1" thickBot="1">
      <c r="A158" s="19">
        <v>1</v>
      </c>
      <c r="B158" s="24" t="s">
        <v>543</v>
      </c>
      <c r="C158" s="162">
        <f>+C62-C128</f>
        <v>34910862</v>
      </c>
    </row>
    <row r="159" spans="1:3" ht="27.75" customHeight="1" thickBot="1">
      <c r="A159" s="19" t="s">
        <v>41</v>
      </c>
      <c r="B159" s="24" t="s">
        <v>544</v>
      </c>
      <c r="C159" s="162">
        <f>+C86-C153</f>
        <v>262469033</v>
      </c>
    </row>
    <row r="160" ht="15.75">
      <c r="F160" s="417"/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KÖTELEZŐ FELADATAINAK MÉRLEGE &amp;R&amp;"Times New Roman CE,Félkövér dőlt"&amp;11 2. melléklet a  28/2017.(X.27.)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3"/>
  <sheetViews>
    <sheetView view="pageLayout" zoomScaleNormal="130" workbookViewId="0" topLeftCell="A1">
      <selection activeCell="C1" sqref="C1"/>
    </sheetView>
  </sheetViews>
  <sheetFormatPr defaultColWidth="9.00390625" defaultRowHeight="12.75"/>
  <cols>
    <col min="1" max="1" width="13.875" style="143" customWidth="1"/>
    <col min="2" max="2" width="79.125" style="144" customWidth="1"/>
    <col min="3" max="3" width="25.00390625" style="788" customWidth="1"/>
    <col min="4" max="16384" width="9.375" style="144" customWidth="1"/>
  </cols>
  <sheetData>
    <row r="1" spans="1:3" s="123" customFormat="1" ht="21" customHeight="1" thickBot="1">
      <c r="A1" s="122"/>
      <c r="B1" s="124"/>
      <c r="C1" s="761" t="e">
        <f>+CONCATENATE("9.3. melléklet a ……/",LEFT(#REF!,4),". (….) önkormányzati rendelethez")</f>
        <v>#REF!</v>
      </c>
    </row>
    <row r="2" spans="1:3" s="281" customFormat="1" ht="33.75" customHeight="1">
      <c r="A2" s="238" t="s">
        <v>197</v>
      </c>
      <c r="B2" s="213" t="s">
        <v>610</v>
      </c>
      <c r="C2" s="762" t="s">
        <v>83</v>
      </c>
    </row>
    <row r="3" spans="1:3" s="281" customFormat="1" ht="24.75" thickBot="1">
      <c r="A3" s="274" t="s">
        <v>196</v>
      </c>
      <c r="B3" s="214" t="s">
        <v>377</v>
      </c>
      <c r="C3" s="763" t="s">
        <v>75</v>
      </c>
    </row>
    <row r="4" spans="1:3" s="282" customFormat="1" ht="15.75" customHeight="1" thickBot="1">
      <c r="A4" s="126"/>
      <c r="B4" s="126"/>
      <c r="C4" s="764" t="s">
        <v>633</v>
      </c>
    </row>
    <row r="5" spans="1:3" ht="13.5" thickBot="1">
      <c r="A5" s="239" t="s">
        <v>198</v>
      </c>
      <c r="B5" s="128" t="s">
        <v>76</v>
      </c>
      <c r="C5" s="765" t="s">
        <v>77</v>
      </c>
    </row>
    <row r="6" spans="1:3" s="283" customFormat="1" ht="12.75" customHeight="1" thickBot="1">
      <c r="A6" s="100" t="s">
        <v>491</v>
      </c>
      <c r="B6" s="101" t="s">
        <v>492</v>
      </c>
      <c r="C6" s="766" t="s">
        <v>493</v>
      </c>
    </row>
    <row r="7" spans="1:3" s="283" customFormat="1" ht="15.75" customHeight="1" thickBot="1">
      <c r="A7" s="130"/>
      <c r="B7" s="131" t="s">
        <v>78</v>
      </c>
      <c r="C7" s="767"/>
    </row>
    <row r="8" spans="1:3" s="228" customFormat="1" ht="12" customHeight="1" thickBot="1">
      <c r="A8" s="100" t="s">
        <v>40</v>
      </c>
      <c r="B8" s="133" t="s">
        <v>573</v>
      </c>
      <c r="C8" s="768">
        <f>SUM(C9:C19)</f>
        <v>194989138</v>
      </c>
    </row>
    <row r="9" spans="1:3" s="228" customFormat="1" ht="12" customHeight="1">
      <c r="A9" s="275" t="s">
        <v>116</v>
      </c>
      <c r="B9" s="9" t="s">
        <v>253</v>
      </c>
      <c r="C9" s="769"/>
    </row>
    <row r="10" spans="1:3" s="228" customFormat="1" ht="12" customHeight="1">
      <c r="A10" s="276" t="s">
        <v>117</v>
      </c>
      <c r="B10" s="7" t="s">
        <v>254</v>
      </c>
      <c r="C10" s="770">
        <f>24562736-4705056-1200000+490000</f>
        <v>19147680</v>
      </c>
    </row>
    <row r="11" spans="1:3" s="228" customFormat="1" ht="12" customHeight="1">
      <c r="A11" s="276" t="s">
        <v>118</v>
      </c>
      <c r="B11" s="7" t="s">
        <v>255</v>
      </c>
      <c r="C11" s="770">
        <v>10500000</v>
      </c>
    </row>
    <row r="12" spans="1:3" s="228" customFormat="1" ht="12" customHeight="1">
      <c r="A12" s="276" t="s">
        <v>119</v>
      </c>
      <c r="B12" s="7" t="s">
        <v>256</v>
      </c>
      <c r="C12" s="770"/>
    </row>
    <row r="13" spans="1:3" s="228" customFormat="1" ht="12" customHeight="1">
      <c r="A13" s="276" t="s">
        <v>159</v>
      </c>
      <c r="B13" s="7" t="s">
        <v>257</v>
      </c>
      <c r="C13" s="770">
        <v>158991720</v>
      </c>
    </row>
    <row r="14" spans="1:3" s="228" customFormat="1" ht="12" customHeight="1">
      <c r="A14" s="276" t="s">
        <v>120</v>
      </c>
      <c r="B14" s="7" t="s">
        <v>378</v>
      </c>
      <c r="C14" s="770">
        <f>3217536+3804538-1221150+132300</f>
        <v>5933224</v>
      </c>
    </row>
    <row r="15" spans="1:3" s="228" customFormat="1" ht="12" customHeight="1">
      <c r="A15" s="276" t="s">
        <v>121</v>
      </c>
      <c r="B15" s="6" t="s">
        <v>379</v>
      </c>
      <c r="C15" s="770"/>
    </row>
    <row r="16" spans="1:3" s="228" customFormat="1" ht="12" customHeight="1">
      <c r="A16" s="276" t="s">
        <v>131</v>
      </c>
      <c r="B16" s="7" t="s">
        <v>260</v>
      </c>
      <c r="C16" s="771"/>
    </row>
    <row r="17" spans="1:3" s="284" customFormat="1" ht="12" customHeight="1">
      <c r="A17" s="276" t="s">
        <v>132</v>
      </c>
      <c r="B17" s="7" t="s">
        <v>261</v>
      </c>
      <c r="C17" s="770"/>
    </row>
    <row r="18" spans="1:3" s="284" customFormat="1" ht="12" customHeight="1">
      <c r="A18" s="276" t="s">
        <v>133</v>
      </c>
      <c r="B18" s="7" t="s">
        <v>500</v>
      </c>
      <c r="C18" s="772"/>
    </row>
    <row r="19" spans="1:3" s="284" customFormat="1" ht="12" customHeight="1" thickBot="1">
      <c r="A19" s="276" t="s">
        <v>134</v>
      </c>
      <c r="B19" s="6" t="s">
        <v>262</v>
      </c>
      <c r="C19" s="772">
        <v>416514</v>
      </c>
    </row>
    <row r="20" spans="1:3" s="228" customFormat="1" ht="12" customHeight="1" thickBot="1">
      <c r="A20" s="100" t="s">
        <v>41</v>
      </c>
      <c r="B20" s="133" t="s">
        <v>380</v>
      </c>
      <c r="C20" s="768">
        <f>SUM(C21:C23)</f>
        <v>27807178</v>
      </c>
    </row>
    <row r="21" spans="1:3" s="284" customFormat="1" ht="12" customHeight="1">
      <c r="A21" s="276" t="s">
        <v>122</v>
      </c>
      <c r="B21" s="8" t="s">
        <v>230</v>
      </c>
      <c r="C21" s="770"/>
    </row>
    <row r="22" spans="1:3" s="284" customFormat="1" ht="12" customHeight="1">
      <c r="A22" s="276" t="s">
        <v>123</v>
      </c>
      <c r="B22" s="7" t="s">
        <v>381</v>
      </c>
      <c r="C22" s="770"/>
    </row>
    <row r="23" spans="1:3" s="284" customFormat="1" ht="12" customHeight="1">
      <c r="A23" s="276" t="s">
        <v>124</v>
      </c>
      <c r="B23" s="7" t="s">
        <v>382</v>
      </c>
      <c r="C23" s="770">
        <f>5485000+374405+5445044+16502729</f>
        <v>27807178</v>
      </c>
    </row>
    <row r="24" spans="1:3" s="284" customFormat="1" ht="12" customHeight="1" thickBot="1">
      <c r="A24" s="276" t="s">
        <v>125</v>
      </c>
      <c r="B24" s="7" t="s">
        <v>580</v>
      </c>
      <c r="C24" s="770">
        <f>374405+16502729</f>
        <v>16877134</v>
      </c>
    </row>
    <row r="25" spans="1:3" s="284" customFormat="1" ht="12" customHeight="1" thickBot="1">
      <c r="A25" s="103" t="s">
        <v>42</v>
      </c>
      <c r="B25" s="87" t="s">
        <v>174</v>
      </c>
      <c r="C25" s="773"/>
    </row>
    <row r="26" spans="1:3" s="284" customFormat="1" ht="12" customHeight="1" thickBot="1">
      <c r="A26" s="103" t="s">
        <v>43</v>
      </c>
      <c r="B26" s="87" t="s">
        <v>581</v>
      </c>
      <c r="C26" s="768">
        <f>+C27+C28</f>
        <v>5095118</v>
      </c>
    </row>
    <row r="27" spans="1:3" s="284" customFormat="1" ht="12" customHeight="1">
      <c r="A27" s="277" t="s">
        <v>240</v>
      </c>
      <c r="B27" s="278" t="s">
        <v>381</v>
      </c>
      <c r="C27" s="774"/>
    </row>
    <row r="28" spans="1:3" s="284" customFormat="1" ht="12" customHeight="1">
      <c r="A28" s="277" t="s">
        <v>243</v>
      </c>
      <c r="B28" s="279" t="s">
        <v>383</v>
      </c>
      <c r="C28" s="775">
        <f>2665000+2430118</f>
        <v>5095118</v>
      </c>
    </row>
    <row r="29" spans="1:3" s="284" customFormat="1" ht="12" customHeight="1" thickBot="1">
      <c r="A29" s="276" t="s">
        <v>244</v>
      </c>
      <c r="B29" s="90" t="s">
        <v>582</v>
      </c>
      <c r="C29" s="776">
        <v>2430118</v>
      </c>
    </row>
    <row r="30" spans="1:3" s="284" customFormat="1" ht="12" customHeight="1" thickBot="1">
      <c r="A30" s="103" t="s">
        <v>44</v>
      </c>
      <c r="B30" s="87" t="s">
        <v>384</v>
      </c>
      <c r="C30" s="768">
        <f>+C31+C32+C33</f>
        <v>250000</v>
      </c>
    </row>
    <row r="31" spans="1:3" s="284" customFormat="1" ht="12" customHeight="1">
      <c r="A31" s="277" t="s">
        <v>109</v>
      </c>
      <c r="B31" s="278" t="s">
        <v>267</v>
      </c>
      <c r="C31" s="774"/>
    </row>
    <row r="32" spans="1:3" s="284" customFormat="1" ht="12" customHeight="1">
      <c r="A32" s="277" t="s">
        <v>110</v>
      </c>
      <c r="B32" s="279" t="s">
        <v>268</v>
      </c>
      <c r="C32" s="775"/>
    </row>
    <row r="33" spans="1:3" s="284" customFormat="1" ht="12" customHeight="1" thickBot="1">
      <c r="A33" s="276" t="s">
        <v>111</v>
      </c>
      <c r="B33" s="90" t="s">
        <v>269</v>
      </c>
      <c r="C33" s="776">
        <v>250000</v>
      </c>
    </row>
    <row r="34" spans="1:3" s="228" customFormat="1" ht="12" customHeight="1" thickBot="1">
      <c r="A34" s="103" t="s">
        <v>45</v>
      </c>
      <c r="B34" s="87" t="s">
        <v>355</v>
      </c>
      <c r="C34" s="773"/>
    </row>
    <row r="35" spans="1:3" s="228" customFormat="1" ht="12" customHeight="1" thickBot="1">
      <c r="A35" s="103" t="s">
        <v>46</v>
      </c>
      <c r="B35" s="87" t="s">
        <v>385</v>
      </c>
      <c r="C35" s="777">
        <v>1200000</v>
      </c>
    </row>
    <row r="36" spans="1:3" s="228" customFormat="1" ht="12" customHeight="1" thickBot="1">
      <c r="A36" s="100" t="s">
        <v>47</v>
      </c>
      <c r="B36" s="87" t="s">
        <v>583</v>
      </c>
      <c r="C36" s="778">
        <f>+C8+C20+C25+C26+C30+C34+C35</f>
        <v>229341434</v>
      </c>
    </row>
    <row r="37" spans="1:3" s="228" customFormat="1" ht="12" customHeight="1" thickBot="1">
      <c r="A37" s="134" t="s">
        <v>48</v>
      </c>
      <c r="B37" s="87" t="s">
        <v>387</v>
      </c>
      <c r="C37" s="778">
        <f>+C38+C39+C40</f>
        <v>455301887</v>
      </c>
    </row>
    <row r="38" spans="1:3" s="228" customFormat="1" ht="12" customHeight="1">
      <c r="A38" s="277" t="s">
        <v>388</v>
      </c>
      <c r="B38" s="278" t="s">
        <v>212</v>
      </c>
      <c r="C38" s="774">
        <v>418046</v>
      </c>
    </row>
    <row r="39" spans="1:3" s="228" customFormat="1" ht="12" customHeight="1">
      <c r="A39" s="277" t="s">
        <v>389</v>
      </c>
      <c r="B39" s="279" t="s">
        <v>31</v>
      </c>
      <c r="C39" s="775"/>
    </row>
    <row r="40" spans="1:3" s="284" customFormat="1" ht="12" customHeight="1" thickBot="1">
      <c r="A40" s="276" t="s">
        <v>390</v>
      </c>
      <c r="B40" s="90" t="s">
        <v>391</v>
      </c>
      <c r="C40" s="466">
        <f>373234311+10002440+50810206+1956276+3921310+310040-1200000+11446758+3087000+115500+1200000</f>
        <v>454883841</v>
      </c>
    </row>
    <row r="41" spans="1:3" s="284" customFormat="1" ht="15" customHeight="1" thickBot="1">
      <c r="A41" s="134" t="s">
        <v>49</v>
      </c>
      <c r="B41" s="135" t="s">
        <v>392</v>
      </c>
      <c r="C41" s="779">
        <f>+C36+C37</f>
        <v>684643321</v>
      </c>
    </row>
    <row r="42" spans="1:3" s="284" customFormat="1" ht="15" customHeight="1">
      <c r="A42" s="136"/>
      <c r="B42" s="137"/>
      <c r="C42" s="780"/>
    </row>
    <row r="43" spans="1:3" ht="13.5" thickBot="1">
      <c r="A43" s="138"/>
      <c r="B43" s="139"/>
      <c r="C43" s="781"/>
    </row>
    <row r="44" spans="1:3" s="283" customFormat="1" ht="16.5" customHeight="1" thickBot="1">
      <c r="A44" s="140"/>
      <c r="B44" s="141" t="s">
        <v>79</v>
      </c>
      <c r="C44" s="782"/>
    </row>
    <row r="45" spans="1:3" s="285" customFormat="1" ht="12" customHeight="1" thickBot="1">
      <c r="A45" s="103" t="s">
        <v>40</v>
      </c>
      <c r="B45" s="87" t="s">
        <v>393</v>
      </c>
      <c r="C45" s="768">
        <f>SUM(C46:C50)</f>
        <v>673817817</v>
      </c>
    </row>
    <row r="46" spans="1:3" ht="12" customHeight="1">
      <c r="A46" s="276" t="s">
        <v>116</v>
      </c>
      <c r="B46" s="8" t="s">
        <v>71</v>
      </c>
      <c r="C46" s="467">
        <f>312180187+7690498+41704739+3188310+416250+3193542+6730000-1000000</f>
        <v>374103526</v>
      </c>
    </row>
    <row r="47" spans="1:3" ht="12" customHeight="1">
      <c r="A47" s="276" t="s">
        <v>117</v>
      </c>
      <c r="B47" s="7" t="s">
        <v>183</v>
      </c>
      <c r="C47" s="468">
        <f>72296262+1676942+8976967+693000-41845+761502+1460052+633000+1000000</f>
        <v>87455880</v>
      </c>
    </row>
    <row r="48" spans="1:3" ht="12" customHeight="1">
      <c r="A48" s="276" t="s">
        <v>118</v>
      </c>
      <c r="B48" s="7" t="s">
        <v>152</v>
      </c>
      <c r="C48" s="468">
        <f>188712640+635000-59900+128500+977900+254400-29210+1490000-170000-1221150+9140000+215900+485640+8729191+2454000+400000+115500</f>
        <v>212258411</v>
      </c>
    </row>
    <row r="49" spans="1:3" ht="12" customHeight="1">
      <c r="A49" s="276" t="s">
        <v>119</v>
      </c>
      <c r="B49" s="7" t="s">
        <v>184</v>
      </c>
      <c r="C49" s="784"/>
    </row>
    <row r="50" spans="1:3" ht="12" customHeight="1" thickBot="1">
      <c r="A50" s="276" t="s">
        <v>159</v>
      </c>
      <c r="B50" s="7" t="s">
        <v>185</v>
      </c>
      <c r="C50" s="784"/>
    </row>
    <row r="51" spans="1:3" ht="12" customHeight="1" thickBot="1">
      <c r="A51" s="103" t="s">
        <v>41</v>
      </c>
      <c r="B51" s="87" t="s">
        <v>394</v>
      </c>
      <c r="C51" s="768">
        <f>SUM(C52:C54)</f>
        <v>10825504</v>
      </c>
    </row>
    <row r="52" spans="1:3" s="285" customFormat="1" ht="12" customHeight="1">
      <c r="A52" s="276" t="s">
        <v>122</v>
      </c>
      <c r="B52" s="8" t="s">
        <v>203</v>
      </c>
      <c r="C52" s="467">
        <f>3220260+59900+973976+40000+29210+310040+2665000+170000+127000+2430118-400000+1200000</f>
        <v>10825504</v>
      </c>
    </row>
    <row r="53" spans="1:3" ht="12" customHeight="1">
      <c r="A53" s="276" t="s">
        <v>123</v>
      </c>
      <c r="B53" s="7" t="s">
        <v>187</v>
      </c>
      <c r="C53" s="784"/>
    </row>
    <row r="54" spans="1:3" ht="12" customHeight="1">
      <c r="A54" s="276" t="s">
        <v>124</v>
      </c>
      <c r="B54" s="7" t="s">
        <v>80</v>
      </c>
      <c r="C54" s="784"/>
    </row>
    <row r="55" spans="1:3" ht="12" customHeight="1" thickBot="1">
      <c r="A55" s="276" t="s">
        <v>125</v>
      </c>
      <c r="B55" s="7" t="s">
        <v>577</v>
      </c>
      <c r="C55" s="784"/>
    </row>
    <row r="56" spans="1:3" ht="15" customHeight="1" thickBot="1">
      <c r="A56" s="103" t="s">
        <v>42</v>
      </c>
      <c r="B56" s="87" t="s">
        <v>35</v>
      </c>
      <c r="C56" s="773"/>
    </row>
    <row r="57" spans="1:3" ht="13.5" thickBot="1">
      <c r="A57" s="103" t="s">
        <v>43</v>
      </c>
      <c r="B57" s="142" t="s">
        <v>578</v>
      </c>
      <c r="C57" s="785">
        <f>+C45+C51+C56</f>
        <v>684643321</v>
      </c>
    </row>
    <row r="58" ht="15" customHeight="1" thickBot="1">
      <c r="C58" s="786"/>
    </row>
    <row r="59" spans="1:3" ht="14.25" customHeight="1">
      <c r="A59" s="608" t="s">
        <v>570</v>
      </c>
      <c r="B59" s="609"/>
      <c r="C59" s="794">
        <v>142.8</v>
      </c>
    </row>
    <row r="60" spans="1:3" ht="12.75">
      <c r="A60" s="610" t="s">
        <v>596</v>
      </c>
      <c r="B60" s="611"/>
      <c r="C60" s="795">
        <v>4</v>
      </c>
    </row>
    <row r="61" spans="1:3" s="788" customFormat="1" ht="12.75">
      <c r="A61" s="796" t="s">
        <v>597</v>
      </c>
      <c r="B61" s="797"/>
      <c r="C61" s="795">
        <v>61</v>
      </c>
    </row>
    <row r="62" spans="1:3" s="788" customFormat="1" ht="12.75">
      <c r="A62" s="876" t="s">
        <v>598</v>
      </c>
      <c r="B62" s="877"/>
      <c r="C62" s="795">
        <v>5</v>
      </c>
    </row>
    <row r="63" spans="1:3" s="788" customFormat="1" ht="19.5" customHeight="1" thickBot="1">
      <c r="A63" s="878" t="s">
        <v>722</v>
      </c>
      <c r="B63" s="879"/>
      <c r="C63" s="798">
        <v>2</v>
      </c>
    </row>
  </sheetData>
  <sheetProtection formatCells="0"/>
  <mergeCells count="2">
    <mergeCell ref="A62:B62"/>
    <mergeCell ref="A63:B6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28/2017.(X.27.)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143" customWidth="1"/>
    <col min="2" max="2" width="79.125" style="144" customWidth="1"/>
    <col min="3" max="3" width="25.00390625" style="788" customWidth="1"/>
    <col min="4" max="16384" width="9.375" style="144" customWidth="1"/>
  </cols>
  <sheetData>
    <row r="1" spans="1:3" s="123" customFormat="1" ht="21" customHeight="1" thickBot="1">
      <c r="A1" s="122"/>
      <c r="B1" s="124"/>
      <c r="C1" s="761" t="e">
        <f>+CONCATENATE("9.3.1. melléklet a ……/",LEFT(#REF!,4),". (….) önkormányzati rendelethez")</f>
        <v>#REF!</v>
      </c>
    </row>
    <row r="2" spans="1:3" s="281" customFormat="1" ht="35.25" customHeight="1">
      <c r="A2" s="238" t="s">
        <v>197</v>
      </c>
      <c r="B2" s="213" t="s">
        <v>610</v>
      </c>
      <c r="C2" s="762" t="s">
        <v>83</v>
      </c>
    </row>
    <row r="3" spans="1:3" s="281" customFormat="1" ht="24.75" thickBot="1">
      <c r="A3" s="274" t="s">
        <v>196</v>
      </c>
      <c r="B3" s="214" t="s">
        <v>395</v>
      </c>
      <c r="C3" s="763" t="s">
        <v>82</v>
      </c>
    </row>
    <row r="4" spans="1:3" s="282" customFormat="1" ht="15.75" customHeight="1" thickBot="1">
      <c r="A4" s="126"/>
      <c r="B4" s="126"/>
      <c r="C4" s="764" t="s">
        <v>633</v>
      </c>
    </row>
    <row r="5" spans="1:3" ht="13.5" thickBot="1">
      <c r="A5" s="239" t="s">
        <v>198</v>
      </c>
      <c r="B5" s="128" t="s">
        <v>76</v>
      </c>
      <c r="C5" s="765" t="s">
        <v>77</v>
      </c>
    </row>
    <row r="6" spans="1:3" s="283" customFormat="1" ht="12.75" customHeight="1" thickBot="1">
      <c r="A6" s="100" t="s">
        <v>491</v>
      </c>
      <c r="B6" s="101" t="s">
        <v>492</v>
      </c>
      <c r="C6" s="766" t="s">
        <v>493</v>
      </c>
    </row>
    <row r="7" spans="1:3" s="283" customFormat="1" ht="15.75" customHeight="1" thickBot="1">
      <c r="A7" s="130"/>
      <c r="B7" s="131" t="s">
        <v>78</v>
      </c>
      <c r="C7" s="767"/>
    </row>
    <row r="8" spans="1:3" s="228" customFormat="1" ht="12" customHeight="1" thickBot="1">
      <c r="A8" s="100" t="s">
        <v>40</v>
      </c>
      <c r="B8" s="133" t="s">
        <v>573</v>
      </c>
      <c r="C8" s="768">
        <f>SUM(C9:C19)</f>
        <v>1799336</v>
      </c>
    </row>
    <row r="9" spans="1:3" s="228" customFormat="1" ht="12" customHeight="1">
      <c r="A9" s="275" t="s">
        <v>116</v>
      </c>
      <c r="B9" s="9" t="s">
        <v>253</v>
      </c>
      <c r="C9" s="769"/>
    </row>
    <row r="10" spans="1:3" s="228" customFormat="1" ht="12" customHeight="1">
      <c r="A10" s="276" t="s">
        <v>117</v>
      </c>
      <c r="B10" s="7" t="s">
        <v>254</v>
      </c>
      <c r="C10" s="770">
        <v>1416800</v>
      </c>
    </row>
    <row r="11" spans="1:3" s="228" customFormat="1" ht="12" customHeight="1">
      <c r="A11" s="276" t="s">
        <v>118</v>
      </c>
      <c r="B11" s="7" t="s">
        <v>255</v>
      </c>
      <c r="C11" s="770"/>
    </row>
    <row r="12" spans="1:3" s="228" customFormat="1" ht="12" customHeight="1">
      <c r="A12" s="276" t="s">
        <v>119</v>
      </c>
      <c r="B12" s="7" t="s">
        <v>256</v>
      </c>
      <c r="C12" s="770"/>
    </row>
    <row r="13" spans="1:3" s="228" customFormat="1" ht="12" customHeight="1">
      <c r="A13" s="276" t="s">
        <v>159</v>
      </c>
      <c r="B13" s="7" t="s">
        <v>257</v>
      </c>
      <c r="C13" s="770"/>
    </row>
    <row r="14" spans="1:3" s="228" customFormat="1" ht="12" customHeight="1">
      <c r="A14" s="276" t="s">
        <v>120</v>
      </c>
      <c r="B14" s="7" t="s">
        <v>378</v>
      </c>
      <c r="C14" s="770">
        <v>382536</v>
      </c>
    </row>
    <row r="15" spans="1:3" s="228" customFormat="1" ht="12" customHeight="1">
      <c r="A15" s="276" t="s">
        <v>121</v>
      </c>
      <c r="B15" s="6" t="s">
        <v>379</v>
      </c>
      <c r="C15" s="770"/>
    </row>
    <row r="16" spans="1:3" s="228" customFormat="1" ht="12" customHeight="1">
      <c r="A16" s="276" t="s">
        <v>131</v>
      </c>
      <c r="B16" s="7" t="s">
        <v>260</v>
      </c>
      <c r="C16" s="771"/>
    </row>
    <row r="17" spans="1:3" s="284" customFormat="1" ht="12" customHeight="1">
      <c r="A17" s="276" t="s">
        <v>132</v>
      </c>
      <c r="B17" s="7" t="s">
        <v>261</v>
      </c>
      <c r="C17" s="770"/>
    </row>
    <row r="18" spans="1:3" s="284" customFormat="1" ht="12" customHeight="1">
      <c r="A18" s="276" t="s">
        <v>133</v>
      </c>
      <c r="B18" s="7" t="s">
        <v>500</v>
      </c>
      <c r="C18" s="772"/>
    </row>
    <row r="19" spans="1:3" s="284" customFormat="1" ht="12" customHeight="1" thickBot="1">
      <c r="A19" s="276" t="s">
        <v>134</v>
      </c>
      <c r="B19" s="6" t="s">
        <v>262</v>
      </c>
      <c r="C19" s="772"/>
    </row>
    <row r="20" spans="1:3" s="228" customFormat="1" ht="12" customHeight="1" thickBot="1">
      <c r="A20" s="100" t="s">
        <v>41</v>
      </c>
      <c r="B20" s="133" t="s">
        <v>380</v>
      </c>
      <c r="C20" s="768">
        <f>SUM(C21:C23)</f>
        <v>0</v>
      </c>
    </row>
    <row r="21" spans="1:3" s="284" customFormat="1" ht="12" customHeight="1">
      <c r="A21" s="276" t="s">
        <v>122</v>
      </c>
      <c r="B21" s="8" t="s">
        <v>230</v>
      </c>
      <c r="C21" s="770"/>
    </row>
    <row r="22" spans="1:3" s="284" customFormat="1" ht="12" customHeight="1">
      <c r="A22" s="276" t="s">
        <v>123</v>
      </c>
      <c r="B22" s="7" t="s">
        <v>381</v>
      </c>
      <c r="C22" s="770"/>
    </row>
    <row r="23" spans="1:3" s="284" customFormat="1" ht="12" customHeight="1">
      <c r="A23" s="276" t="s">
        <v>124</v>
      </c>
      <c r="B23" s="7" t="s">
        <v>382</v>
      </c>
      <c r="C23" s="770"/>
    </row>
    <row r="24" spans="1:3" s="284" customFormat="1" ht="12" customHeight="1" thickBot="1">
      <c r="A24" s="276" t="s">
        <v>125</v>
      </c>
      <c r="B24" s="7" t="s">
        <v>580</v>
      </c>
      <c r="C24" s="770"/>
    </row>
    <row r="25" spans="1:3" s="284" customFormat="1" ht="12" customHeight="1" thickBot="1">
      <c r="A25" s="103" t="s">
        <v>42</v>
      </c>
      <c r="B25" s="87" t="s">
        <v>174</v>
      </c>
      <c r="C25" s="773"/>
    </row>
    <row r="26" spans="1:3" s="284" customFormat="1" ht="12" customHeight="1" thickBot="1">
      <c r="A26" s="103" t="s">
        <v>43</v>
      </c>
      <c r="B26" s="87" t="s">
        <v>581</v>
      </c>
      <c r="C26" s="768">
        <f>+C27+C28</f>
        <v>0</v>
      </c>
    </row>
    <row r="27" spans="1:3" s="284" customFormat="1" ht="12" customHeight="1">
      <c r="A27" s="277" t="s">
        <v>240</v>
      </c>
      <c r="B27" s="278" t="s">
        <v>381</v>
      </c>
      <c r="C27" s="774"/>
    </row>
    <row r="28" spans="1:3" s="284" customFormat="1" ht="12" customHeight="1">
      <c r="A28" s="277" t="s">
        <v>243</v>
      </c>
      <c r="B28" s="279" t="s">
        <v>383</v>
      </c>
      <c r="C28" s="775"/>
    </row>
    <row r="29" spans="1:3" s="284" customFormat="1" ht="12" customHeight="1" thickBot="1">
      <c r="A29" s="276" t="s">
        <v>244</v>
      </c>
      <c r="B29" s="90" t="s">
        <v>582</v>
      </c>
      <c r="C29" s="776"/>
    </row>
    <row r="30" spans="1:3" s="284" customFormat="1" ht="12" customHeight="1" thickBot="1">
      <c r="A30" s="103" t="s">
        <v>44</v>
      </c>
      <c r="B30" s="87" t="s">
        <v>384</v>
      </c>
      <c r="C30" s="768">
        <f>+C31+C32+C33</f>
        <v>0</v>
      </c>
    </row>
    <row r="31" spans="1:3" s="284" customFormat="1" ht="12" customHeight="1">
      <c r="A31" s="277" t="s">
        <v>109</v>
      </c>
      <c r="B31" s="278" t="s">
        <v>267</v>
      </c>
      <c r="C31" s="774"/>
    </row>
    <row r="32" spans="1:3" s="284" customFormat="1" ht="12" customHeight="1">
      <c r="A32" s="277" t="s">
        <v>110</v>
      </c>
      <c r="B32" s="279" t="s">
        <v>268</v>
      </c>
      <c r="C32" s="775"/>
    </row>
    <row r="33" spans="1:3" s="284" customFormat="1" ht="12" customHeight="1" thickBot="1">
      <c r="A33" s="276" t="s">
        <v>111</v>
      </c>
      <c r="B33" s="90" t="s">
        <v>269</v>
      </c>
      <c r="C33" s="776"/>
    </row>
    <row r="34" spans="1:3" s="228" customFormat="1" ht="12" customHeight="1" thickBot="1">
      <c r="A34" s="103" t="s">
        <v>45</v>
      </c>
      <c r="B34" s="87" t="s">
        <v>355</v>
      </c>
      <c r="C34" s="773"/>
    </row>
    <row r="35" spans="1:3" s="228" customFormat="1" ht="12" customHeight="1" thickBot="1">
      <c r="A35" s="103" t="s">
        <v>46</v>
      </c>
      <c r="B35" s="87" t="s">
        <v>385</v>
      </c>
      <c r="C35" s="777"/>
    </row>
    <row r="36" spans="1:3" s="228" customFormat="1" ht="12" customHeight="1" thickBot="1">
      <c r="A36" s="100" t="s">
        <v>47</v>
      </c>
      <c r="B36" s="87" t="s">
        <v>583</v>
      </c>
      <c r="C36" s="778">
        <f>+C8+C20+C25+C26+C30+C34+C35</f>
        <v>1799336</v>
      </c>
    </row>
    <row r="37" spans="1:3" s="228" customFormat="1" ht="12" customHeight="1" thickBot="1">
      <c r="A37" s="134" t="s">
        <v>48</v>
      </c>
      <c r="B37" s="87" t="s">
        <v>387</v>
      </c>
      <c r="C37" s="778">
        <f>+C38+C39+C40</f>
        <v>99630334</v>
      </c>
    </row>
    <row r="38" spans="1:3" s="228" customFormat="1" ht="12" customHeight="1">
      <c r="A38" s="277" t="s">
        <v>388</v>
      </c>
      <c r="B38" s="278" t="s">
        <v>212</v>
      </c>
      <c r="C38" s="774"/>
    </row>
    <row r="39" spans="1:3" s="228" customFormat="1" ht="12" customHeight="1">
      <c r="A39" s="277" t="s">
        <v>389</v>
      </c>
      <c r="B39" s="279" t="s">
        <v>31</v>
      </c>
      <c r="C39" s="775"/>
    </row>
    <row r="40" spans="1:3" s="284" customFormat="1" ht="12" customHeight="1" thickBot="1">
      <c r="A40" s="276" t="s">
        <v>390</v>
      </c>
      <c r="B40" s="90" t="s">
        <v>391</v>
      </c>
      <c r="C40" s="466">
        <f>82063132+15757091+601216+40000+7662+768600+49073+343560</f>
        <v>99630334</v>
      </c>
    </row>
    <row r="41" spans="1:3" s="284" customFormat="1" ht="15" customHeight="1" thickBot="1">
      <c r="A41" s="134" t="s">
        <v>49</v>
      </c>
      <c r="B41" s="135" t="s">
        <v>392</v>
      </c>
      <c r="C41" s="779">
        <f>+C36+C37</f>
        <v>101429670</v>
      </c>
    </row>
    <row r="42" spans="1:3" s="284" customFormat="1" ht="15" customHeight="1">
      <c r="A42" s="136"/>
      <c r="B42" s="137"/>
      <c r="C42" s="780"/>
    </row>
    <row r="43" spans="1:3" ht="13.5" thickBot="1">
      <c r="A43" s="138"/>
      <c r="B43" s="139"/>
      <c r="C43" s="781"/>
    </row>
    <row r="44" spans="1:3" s="283" customFormat="1" ht="16.5" customHeight="1" thickBot="1">
      <c r="A44" s="140"/>
      <c r="B44" s="141" t="s">
        <v>79</v>
      </c>
      <c r="C44" s="782"/>
    </row>
    <row r="45" spans="1:3" s="285" customFormat="1" ht="12" customHeight="1" thickBot="1">
      <c r="A45" s="103" t="s">
        <v>40</v>
      </c>
      <c r="B45" s="87" t="s">
        <v>393</v>
      </c>
      <c r="C45" s="783">
        <f>SUM(C46:C50)</f>
        <v>101324670</v>
      </c>
    </row>
    <row r="46" spans="1:3" ht="12" customHeight="1">
      <c r="A46" s="276" t="s">
        <v>116</v>
      </c>
      <c r="B46" s="8" t="s">
        <v>71</v>
      </c>
      <c r="C46" s="774">
        <f>59218235+12959485+492800+7662+630000-242106</f>
        <v>73066076</v>
      </c>
    </row>
    <row r="47" spans="1:3" ht="12" customHeight="1">
      <c r="A47" s="276" t="s">
        <v>117</v>
      </c>
      <c r="B47" s="7" t="s">
        <v>183</v>
      </c>
      <c r="C47" s="784">
        <f>13243515+2797606+108416+138600-3565</f>
        <v>16284572</v>
      </c>
    </row>
    <row r="48" spans="1:3" ht="12" customHeight="1">
      <c r="A48" s="276" t="s">
        <v>118</v>
      </c>
      <c r="B48" s="7" t="s">
        <v>152</v>
      </c>
      <c r="C48" s="468">
        <f>11335718+294744+343560</f>
        <v>11974022</v>
      </c>
    </row>
    <row r="49" spans="1:3" ht="12" customHeight="1">
      <c r="A49" s="276" t="s">
        <v>119</v>
      </c>
      <c r="B49" s="7" t="s">
        <v>184</v>
      </c>
      <c r="C49" s="784"/>
    </row>
    <row r="50" spans="1:3" ht="12" customHeight="1" thickBot="1">
      <c r="A50" s="276" t="s">
        <v>159</v>
      </c>
      <c r="B50" s="7" t="s">
        <v>185</v>
      </c>
      <c r="C50" s="784"/>
    </row>
    <row r="51" spans="1:3" ht="12" customHeight="1" thickBot="1">
      <c r="A51" s="103" t="s">
        <v>41</v>
      </c>
      <c r="B51" s="87" t="s">
        <v>394</v>
      </c>
      <c r="C51" s="768">
        <f>SUM(C52:C54)</f>
        <v>105000</v>
      </c>
    </row>
    <row r="52" spans="1:3" s="285" customFormat="1" ht="12" customHeight="1">
      <c r="A52" s="276" t="s">
        <v>122</v>
      </c>
      <c r="B52" s="8" t="s">
        <v>203</v>
      </c>
      <c r="C52" s="774">
        <f>65000+40000</f>
        <v>105000</v>
      </c>
    </row>
    <row r="53" spans="1:3" ht="12" customHeight="1">
      <c r="A53" s="276" t="s">
        <v>123</v>
      </c>
      <c r="B53" s="7" t="s">
        <v>187</v>
      </c>
      <c r="C53" s="784"/>
    </row>
    <row r="54" spans="1:3" ht="12" customHeight="1">
      <c r="A54" s="276" t="s">
        <v>124</v>
      </c>
      <c r="B54" s="7" t="s">
        <v>80</v>
      </c>
      <c r="C54" s="784"/>
    </row>
    <row r="55" spans="1:3" ht="12" customHeight="1" thickBot="1">
      <c r="A55" s="276" t="s">
        <v>125</v>
      </c>
      <c r="B55" s="7" t="s">
        <v>577</v>
      </c>
      <c r="C55" s="784"/>
    </row>
    <row r="56" spans="1:3" ht="15" customHeight="1" thickBot="1">
      <c r="A56" s="103" t="s">
        <v>42</v>
      </c>
      <c r="B56" s="87" t="s">
        <v>35</v>
      </c>
      <c r="C56" s="773"/>
    </row>
    <row r="57" spans="1:3" ht="13.5" thickBot="1">
      <c r="A57" s="103" t="s">
        <v>43</v>
      </c>
      <c r="B57" s="142" t="s">
        <v>578</v>
      </c>
      <c r="C57" s="785">
        <f>+C45+C51+C56</f>
        <v>101429670</v>
      </c>
    </row>
    <row r="58" ht="15" customHeight="1" thickBot="1">
      <c r="C58" s="786"/>
    </row>
    <row r="59" spans="1:3" ht="14.25" customHeight="1" thickBot="1">
      <c r="A59" s="145" t="s">
        <v>570</v>
      </c>
      <c r="B59" s="146"/>
      <c r="C59" s="793">
        <v>27</v>
      </c>
    </row>
    <row r="60" spans="1:3" ht="13.5" thickBot="1">
      <c r="A60" s="145" t="s">
        <v>199</v>
      </c>
      <c r="B60" s="146"/>
      <c r="C60" s="7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28/2017.(X.27.) 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63"/>
  <sheetViews>
    <sheetView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143" customWidth="1"/>
    <col min="2" max="2" width="79.125" style="144" customWidth="1"/>
    <col min="3" max="3" width="25.00390625" style="788" customWidth="1"/>
    <col min="4" max="16384" width="9.375" style="144" customWidth="1"/>
  </cols>
  <sheetData>
    <row r="1" spans="1:3" s="123" customFormat="1" ht="21" customHeight="1" thickBot="1">
      <c r="A1" s="122"/>
      <c r="B1" s="124"/>
      <c r="C1" s="761" t="e">
        <f>+CONCATENATE("9.3.2. melléklet a ……/",LEFT(#REF!,4),". (….) önkormányzati rendelethez")</f>
        <v>#REF!</v>
      </c>
    </row>
    <row r="2" spans="1:3" s="281" customFormat="1" ht="34.5" customHeight="1">
      <c r="A2" s="238" t="s">
        <v>197</v>
      </c>
      <c r="B2" s="213" t="s">
        <v>610</v>
      </c>
      <c r="C2" s="762" t="s">
        <v>83</v>
      </c>
    </row>
    <row r="3" spans="1:3" s="281" customFormat="1" ht="24.75" thickBot="1">
      <c r="A3" s="274" t="s">
        <v>196</v>
      </c>
      <c r="B3" s="214" t="s">
        <v>396</v>
      </c>
      <c r="C3" s="763" t="s">
        <v>83</v>
      </c>
    </row>
    <row r="4" spans="1:3" s="282" customFormat="1" ht="15.75" customHeight="1" thickBot="1">
      <c r="A4" s="126"/>
      <c r="B4" s="126"/>
      <c r="C4" s="764" t="s">
        <v>633</v>
      </c>
    </row>
    <row r="5" spans="1:3" ht="13.5" thickBot="1">
      <c r="A5" s="239" t="s">
        <v>198</v>
      </c>
      <c r="B5" s="128" t="s">
        <v>76</v>
      </c>
      <c r="C5" s="765" t="s">
        <v>77</v>
      </c>
    </row>
    <row r="6" spans="1:3" s="283" customFormat="1" ht="12.75" customHeight="1" thickBot="1">
      <c r="A6" s="100" t="s">
        <v>491</v>
      </c>
      <c r="B6" s="101" t="s">
        <v>492</v>
      </c>
      <c r="C6" s="766" t="s">
        <v>493</v>
      </c>
    </row>
    <row r="7" spans="1:3" s="283" customFormat="1" ht="15.75" customHeight="1" thickBot="1">
      <c r="A7" s="130"/>
      <c r="B7" s="131" t="s">
        <v>78</v>
      </c>
      <c r="C7" s="767"/>
    </row>
    <row r="8" spans="1:3" s="228" customFormat="1" ht="12" customHeight="1" thickBot="1">
      <c r="A8" s="100" t="s">
        <v>40</v>
      </c>
      <c r="B8" s="133" t="s">
        <v>573</v>
      </c>
      <c r="C8" s="768">
        <f>SUM(C9:C19)</f>
        <v>193189802</v>
      </c>
    </row>
    <row r="9" spans="1:3" s="228" customFormat="1" ht="12" customHeight="1">
      <c r="A9" s="275" t="s">
        <v>116</v>
      </c>
      <c r="B9" s="9" t="s">
        <v>253</v>
      </c>
      <c r="C9" s="769"/>
    </row>
    <row r="10" spans="1:3" s="228" customFormat="1" ht="12" customHeight="1">
      <c r="A10" s="276" t="s">
        <v>117</v>
      </c>
      <c r="B10" s="7" t="s">
        <v>254</v>
      </c>
      <c r="C10" s="770">
        <f>23145936-4705056-1200000+490000</f>
        <v>17730880</v>
      </c>
    </row>
    <row r="11" spans="1:3" s="228" customFormat="1" ht="12" customHeight="1">
      <c r="A11" s="276" t="s">
        <v>118</v>
      </c>
      <c r="B11" s="7" t="s">
        <v>255</v>
      </c>
      <c r="C11" s="770">
        <v>10500000</v>
      </c>
    </row>
    <row r="12" spans="1:3" s="228" customFormat="1" ht="12" customHeight="1">
      <c r="A12" s="276" t="s">
        <v>119</v>
      </c>
      <c r="B12" s="7" t="s">
        <v>256</v>
      </c>
      <c r="C12" s="770"/>
    </row>
    <row r="13" spans="1:3" s="228" customFormat="1" ht="12" customHeight="1">
      <c r="A13" s="276" t="s">
        <v>159</v>
      </c>
      <c r="B13" s="7" t="s">
        <v>257</v>
      </c>
      <c r="C13" s="770">
        <v>158991720</v>
      </c>
    </row>
    <row r="14" spans="1:3" s="228" customFormat="1" ht="12" customHeight="1">
      <c r="A14" s="276" t="s">
        <v>120</v>
      </c>
      <c r="B14" s="7" t="s">
        <v>378</v>
      </c>
      <c r="C14" s="770">
        <f>2835000+3804538-1221150+132300</f>
        <v>5550688</v>
      </c>
    </row>
    <row r="15" spans="1:3" s="228" customFormat="1" ht="12" customHeight="1">
      <c r="A15" s="276" t="s">
        <v>121</v>
      </c>
      <c r="B15" s="6" t="s">
        <v>379</v>
      </c>
      <c r="C15" s="770"/>
    </row>
    <row r="16" spans="1:3" s="228" customFormat="1" ht="12" customHeight="1">
      <c r="A16" s="276" t="s">
        <v>131</v>
      </c>
      <c r="B16" s="7" t="s">
        <v>260</v>
      </c>
      <c r="C16" s="771"/>
    </row>
    <row r="17" spans="1:3" s="284" customFormat="1" ht="12" customHeight="1">
      <c r="A17" s="276" t="s">
        <v>132</v>
      </c>
      <c r="B17" s="7" t="s">
        <v>261</v>
      </c>
      <c r="C17" s="770"/>
    </row>
    <row r="18" spans="1:3" s="284" customFormat="1" ht="12" customHeight="1">
      <c r="A18" s="276" t="s">
        <v>133</v>
      </c>
      <c r="B18" s="7" t="s">
        <v>500</v>
      </c>
      <c r="C18" s="772"/>
    </row>
    <row r="19" spans="1:3" s="284" customFormat="1" ht="12" customHeight="1" thickBot="1">
      <c r="A19" s="276" t="s">
        <v>134</v>
      </c>
      <c r="B19" s="6" t="s">
        <v>262</v>
      </c>
      <c r="C19" s="772">
        <v>416514</v>
      </c>
    </row>
    <row r="20" spans="1:3" s="228" customFormat="1" ht="12" customHeight="1" thickBot="1">
      <c r="A20" s="100" t="s">
        <v>41</v>
      </c>
      <c r="B20" s="133" t="s">
        <v>380</v>
      </c>
      <c r="C20" s="768">
        <f>SUM(C21:C23)</f>
        <v>27807178</v>
      </c>
    </row>
    <row r="21" spans="1:3" s="284" customFormat="1" ht="12" customHeight="1">
      <c r="A21" s="276" t="s">
        <v>122</v>
      </c>
      <c r="B21" s="8" t="s">
        <v>230</v>
      </c>
      <c r="C21" s="770"/>
    </row>
    <row r="22" spans="1:3" s="284" customFormat="1" ht="12" customHeight="1">
      <c r="A22" s="276" t="s">
        <v>123</v>
      </c>
      <c r="B22" s="7" t="s">
        <v>381</v>
      </c>
      <c r="C22" s="770"/>
    </row>
    <row r="23" spans="1:3" s="284" customFormat="1" ht="12" customHeight="1">
      <c r="A23" s="276" t="s">
        <v>124</v>
      </c>
      <c r="B23" s="7" t="s">
        <v>382</v>
      </c>
      <c r="C23" s="770">
        <f>5485000+374405+5445044+16502729</f>
        <v>27807178</v>
      </c>
    </row>
    <row r="24" spans="1:3" s="284" customFormat="1" ht="12" customHeight="1" thickBot="1">
      <c r="A24" s="276" t="s">
        <v>125</v>
      </c>
      <c r="B24" s="7" t="s">
        <v>580</v>
      </c>
      <c r="C24" s="770">
        <f>374405+16502729</f>
        <v>16877134</v>
      </c>
    </row>
    <row r="25" spans="1:3" s="284" customFormat="1" ht="12" customHeight="1" thickBot="1">
      <c r="A25" s="103" t="s">
        <v>42</v>
      </c>
      <c r="B25" s="87" t="s">
        <v>174</v>
      </c>
      <c r="C25" s="773"/>
    </row>
    <row r="26" spans="1:3" s="284" customFormat="1" ht="12" customHeight="1" thickBot="1">
      <c r="A26" s="103" t="s">
        <v>43</v>
      </c>
      <c r="B26" s="87" t="s">
        <v>581</v>
      </c>
      <c r="C26" s="768">
        <f>+C27+C28</f>
        <v>5095118</v>
      </c>
    </row>
    <row r="27" spans="1:3" s="284" customFormat="1" ht="12" customHeight="1">
      <c r="A27" s="277" t="s">
        <v>240</v>
      </c>
      <c r="B27" s="278" t="s">
        <v>381</v>
      </c>
      <c r="C27" s="774"/>
    </row>
    <row r="28" spans="1:3" s="284" customFormat="1" ht="12" customHeight="1">
      <c r="A28" s="277" t="s">
        <v>243</v>
      </c>
      <c r="B28" s="279" t="s">
        <v>383</v>
      </c>
      <c r="C28" s="775">
        <f>2665000+2430118</f>
        <v>5095118</v>
      </c>
    </row>
    <row r="29" spans="1:3" s="284" customFormat="1" ht="12" customHeight="1" thickBot="1">
      <c r="A29" s="276" t="s">
        <v>244</v>
      </c>
      <c r="B29" s="90" t="s">
        <v>582</v>
      </c>
      <c r="C29" s="776">
        <v>2430118</v>
      </c>
    </row>
    <row r="30" spans="1:3" s="284" customFormat="1" ht="12" customHeight="1" thickBot="1">
      <c r="A30" s="103" t="s">
        <v>44</v>
      </c>
      <c r="B30" s="87" t="s">
        <v>384</v>
      </c>
      <c r="C30" s="768">
        <f>+C31+C32+C33</f>
        <v>250000</v>
      </c>
    </row>
    <row r="31" spans="1:3" s="284" customFormat="1" ht="12" customHeight="1">
      <c r="A31" s="277" t="s">
        <v>109</v>
      </c>
      <c r="B31" s="278" t="s">
        <v>267</v>
      </c>
      <c r="C31" s="774"/>
    </row>
    <row r="32" spans="1:3" s="284" customFormat="1" ht="12" customHeight="1">
      <c r="A32" s="277" t="s">
        <v>110</v>
      </c>
      <c r="B32" s="279" t="s">
        <v>268</v>
      </c>
      <c r="C32" s="775"/>
    </row>
    <row r="33" spans="1:3" s="284" customFormat="1" ht="12" customHeight="1" thickBot="1">
      <c r="A33" s="276" t="s">
        <v>111</v>
      </c>
      <c r="B33" s="90" t="s">
        <v>269</v>
      </c>
      <c r="C33" s="776">
        <v>250000</v>
      </c>
    </row>
    <row r="34" spans="1:3" s="228" customFormat="1" ht="12" customHeight="1" thickBot="1">
      <c r="A34" s="103" t="s">
        <v>45</v>
      </c>
      <c r="B34" s="87" t="s">
        <v>355</v>
      </c>
      <c r="C34" s="773"/>
    </row>
    <row r="35" spans="1:3" s="228" customFormat="1" ht="12" customHeight="1" thickBot="1">
      <c r="A35" s="103" t="s">
        <v>46</v>
      </c>
      <c r="B35" s="87" t="s">
        <v>385</v>
      </c>
      <c r="C35" s="777">
        <v>1200000</v>
      </c>
    </row>
    <row r="36" spans="1:3" s="228" customFormat="1" ht="12" customHeight="1" thickBot="1">
      <c r="A36" s="100" t="s">
        <v>47</v>
      </c>
      <c r="B36" s="87" t="s">
        <v>583</v>
      </c>
      <c r="C36" s="778">
        <f>+C8+C20+C25+C26+C30+C34+C35</f>
        <v>227542098</v>
      </c>
    </row>
    <row r="37" spans="1:3" s="228" customFormat="1" ht="12" customHeight="1" thickBot="1">
      <c r="A37" s="134" t="s">
        <v>48</v>
      </c>
      <c r="B37" s="87" t="s">
        <v>387</v>
      </c>
      <c r="C37" s="778">
        <f>+C38+C39+C40</f>
        <v>355671553</v>
      </c>
    </row>
    <row r="38" spans="1:3" s="228" customFormat="1" ht="12" customHeight="1">
      <c r="A38" s="277" t="s">
        <v>388</v>
      </c>
      <c r="B38" s="278" t="s">
        <v>212</v>
      </c>
      <c r="C38" s="774">
        <v>418046</v>
      </c>
    </row>
    <row r="39" spans="1:3" s="228" customFormat="1" ht="12" customHeight="1">
      <c r="A39" s="277" t="s">
        <v>389</v>
      </c>
      <c r="B39" s="279" t="s">
        <v>31</v>
      </c>
      <c r="C39" s="775"/>
    </row>
    <row r="40" spans="1:3" s="284" customFormat="1" ht="12" customHeight="1" thickBot="1">
      <c r="A40" s="276" t="s">
        <v>390</v>
      </c>
      <c r="B40" s="90" t="s">
        <v>391</v>
      </c>
      <c r="C40" s="466">
        <f>291171179+10002440+128500+32617351+1706048+1956276+30648+3074400+310040-49073-1200000+11446758+2110440+633000+115500+1200000</f>
        <v>355253507</v>
      </c>
    </row>
    <row r="41" spans="1:3" s="284" customFormat="1" ht="15" customHeight="1" thickBot="1">
      <c r="A41" s="134" t="s">
        <v>49</v>
      </c>
      <c r="B41" s="135" t="s">
        <v>392</v>
      </c>
      <c r="C41" s="779">
        <f>+C36+C37</f>
        <v>583213651</v>
      </c>
    </row>
    <row r="42" spans="1:3" s="284" customFormat="1" ht="15" customHeight="1">
      <c r="A42" s="136"/>
      <c r="B42" s="137"/>
      <c r="C42" s="780"/>
    </row>
    <row r="43" spans="1:3" ht="13.5" thickBot="1">
      <c r="A43" s="138"/>
      <c r="B43" s="139"/>
      <c r="C43" s="781"/>
    </row>
    <row r="44" spans="1:3" s="283" customFormat="1" ht="16.5" customHeight="1" thickBot="1">
      <c r="A44" s="140"/>
      <c r="B44" s="141" t="s">
        <v>79</v>
      </c>
      <c r="C44" s="782"/>
    </row>
    <row r="45" spans="1:3" s="285" customFormat="1" ht="12" customHeight="1" thickBot="1">
      <c r="A45" s="103" t="s">
        <v>40</v>
      </c>
      <c r="B45" s="87" t="s">
        <v>393</v>
      </c>
      <c r="C45" s="783">
        <f>SUM(C46:C50)</f>
        <v>572493147</v>
      </c>
    </row>
    <row r="46" spans="1:3" ht="12" customHeight="1">
      <c r="A46" s="276" t="s">
        <v>116</v>
      </c>
      <c r="B46" s="8" t="s">
        <v>71</v>
      </c>
      <c r="C46" s="467">
        <f>252961952+7690498+26854054+1398400+30648+2520000+416250+3193542+242106+6730000-1000000</f>
        <v>301037450</v>
      </c>
    </row>
    <row r="47" spans="1:3" ht="12" customHeight="1">
      <c r="A47" s="276" t="s">
        <v>117</v>
      </c>
      <c r="B47" s="7" t="s">
        <v>183</v>
      </c>
      <c r="C47" s="468">
        <f>59052747+1676942+5763297+307648+554400-41845+761502+3565+1460052+633000+1000000</f>
        <v>71171308</v>
      </c>
    </row>
    <row r="48" spans="1:3" ht="12" customHeight="1">
      <c r="A48" s="276" t="s">
        <v>118</v>
      </c>
      <c r="B48" s="7" t="s">
        <v>152</v>
      </c>
      <c r="C48" s="468">
        <f>176076922+1300000+635000-59900+128500+977900+254400-29210+1490000-170000-294744+8729191+8620390+2110440+400000+115500</f>
        <v>200284389</v>
      </c>
    </row>
    <row r="49" spans="1:3" ht="12" customHeight="1">
      <c r="A49" s="276" t="s">
        <v>119</v>
      </c>
      <c r="B49" s="7" t="s">
        <v>184</v>
      </c>
      <c r="C49" s="784"/>
    </row>
    <row r="50" spans="1:3" ht="12" customHeight="1" thickBot="1">
      <c r="A50" s="276" t="s">
        <v>159</v>
      </c>
      <c r="B50" s="7" t="s">
        <v>185</v>
      </c>
      <c r="C50" s="784"/>
    </row>
    <row r="51" spans="1:3" ht="12" customHeight="1" thickBot="1">
      <c r="A51" s="103" t="s">
        <v>41</v>
      </c>
      <c r="B51" s="87" t="s">
        <v>394</v>
      </c>
      <c r="C51" s="783">
        <f>SUM(C52:C54)</f>
        <v>10720504</v>
      </c>
    </row>
    <row r="52" spans="1:3" s="285" customFormat="1" ht="12" customHeight="1">
      <c r="A52" s="276" t="s">
        <v>122</v>
      </c>
      <c r="B52" s="8" t="s">
        <v>203</v>
      </c>
      <c r="C52" s="467">
        <f>3155260+59900+973976+29210+310040+2665000+170000+2430118+127000-400000+1200000</f>
        <v>10720504</v>
      </c>
    </row>
    <row r="53" spans="1:3" ht="12" customHeight="1">
      <c r="A53" s="276" t="s">
        <v>123</v>
      </c>
      <c r="B53" s="7" t="s">
        <v>187</v>
      </c>
      <c r="C53" s="784"/>
    </row>
    <row r="54" spans="1:3" ht="12" customHeight="1">
      <c r="A54" s="276" t="s">
        <v>124</v>
      </c>
      <c r="B54" s="7" t="s">
        <v>80</v>
      </c>
      <c r="C54" s="784"/>
    </row>
    <row r="55" spans="1:3" ht="12" customHeight="1" thickBot="1">
      <c r="A55" s="276" t="s">
        <v>125</v>
      </c>
      <c r="B55" s="7" t="s">
        <v>577</v>
      </c>
      <c r="C55" s="784"/>
    </row>
    <row r="56" spans="1:3" ht="15" customHeight="1" thickBot="1">
      <c r="A56" s="103" t="s">
        <v>42</v>
      </c>
      <c r="B56" s="87" t="s">
        <v>35</v>
      </c>
      <c r="C56" s="773"/>
    </row>
    <row r="57" spans="1:3" ht="13.5" thickBot="1">
      <c r="A57" s="103" t="s">
        <v>43</v>
      </c>
      <c r="B57" s="142" t="s">
        <v>578</v>
      </c>
      <c r="C57" s="785">
        <f>+C45+C51+C56</f>
        <v>583213651</v>
      </c>
    </row>
    <row r="58" ht="15" customHeight="1" thickBot="1">
      <c r="C58" s="786"/>
    </row>
    <row r="59" spans="1:3" ht="14.25" customHeight="1" thickBot="1">
      <c r="A59" s="145" t="s">
        <v>570</v>
      </c>
      <c r="B59" s="146"/>
      <c r="C59" s="793">
        <v>115.8</v>
      </c>
    </row>
    <row r="60" spans="1:3" ht="13.5" thickBot="1">
      <c r="A60" s="145" t="s">
        <v>596</v>
      </c>
      <c r="B60" s="146"/>
      <c r="C60" s="787">
        <v>4</v>
      </c>
    </row>
    <row r="61" spans="1:4" ht="13.5" thickBot="1">
      <c r="A61" s="613" t="s">
        <v>597</v>
      </c>
      <c r="B61" s="614"/>
      <c r="C61" s="787">
        <v>61</v>
      </c>
      <c r="D61" s="612"/>
    </row>
    <row r="62" spans="1:3" ht="13.5" thickBot="1">
      <c r="A62" s="880" t="s">
        <v>598</v>
      </c>
      <c r="B62" s="881"/>
      <c r="C62" s="787">
        <v>5</v>
      </c>
    </row>
    <row r="63" spans="1:4" ht="13.5" thickBot="1">
      <c r="A63" s="882" t="s">
        <v>722</v>
      </c>
      <c r="B63" s="883"/>
      <c r="C63" s="799">
        <v>2</v>
      </c>
      <c r="D63" s="612"/>
    </row>
  </sheetData>
  <sheetProtection formatCells="0"/>
  <mergeCells count="2">
    <mergeCell ref="A62:B62"/>
    <mergeCell ref="A63:B6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28/2017.(X.27.)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143" customWidth="1"/>
    <col min="2" max="2" width="79.125" style="144" customWidth="1"/>
    <col min="3" max="3" width="25.00390625" style="788" customWidth="1"/>
    <col min="4" max="16384" width="9.375" style="144" customWidth="1"/>
  </cols>
  <sheetData>
    <row r="1" spans="1:3" s="123" customFormat="1" ht="21" customHeight="1" thickBot="1">
      <c r="A1" s="122"/>
      <c r="B1" s="124"/>
      <c r="C1" s="761" t="e">
        <f>+CONCATENATE("9.3. melléklet a ……/",LEFT(#REF!,4),". (….) önkormányzati rendelethez")</f>
        <v>#REF!</v>
      </c>
    </row>
    <row r="2" spans="1:3" s="281" customFormat="1" ht="36" customHeight="1">
      <c r="A2" s="238" t="s">
        <v>197</v>
      </c>
      <c r="B2" s="213" t="s">
        <v>585</v>
      </c>
      <c r="C2" s="762" t="s">
        <v>83</v>
      </c>
    </row>
    <row r="3" spans="1:3" s="281" customFormat="1" ht="24.75" thickBot="1">
      <c r="A3" s="274" t="s">
        <v>196</v>
      </c>
      <c r="B3" s="214" t="s">
        <v>377</v>
      </c>
      <c r="C3" s="763" t="s">
        <v>75</v>
      </c>
    </row>
    <row r="4" spans="1:3" s="282" customFormat="1" ht="15.75" customHeight="1" thickBot="1">
      <c r="A4" s="126"/>
      <c r="B4" s="126"/>
      <c r="C4" s="764" t="s">
        <v>633</v>
      </c>
    </row>
    <row r="5" spans="1:3" ht="13.5" thickBot="1">
      <c r="A5" s="239" t="s">
        <v>198</v>
      </c>
      <c r="B5" s="128" t="s">
        <v>76</v>
      </c>
      <c r="C5" s="765" t="s">
        <v>77</v>
      </c>
    </row>
    <row r="6" spans="1:3" s="283" customFormat="1" ht="12.75" customHeight="1" thickBot="1">
      <c r="A6" s="100" t="s">
        <v>491</v>
      </c>
      <c r="B6" s="101" t="s">
        <v>492</v>
      </c>
      <c r="C6" s="766" t="s">
        <v>493</v>
      </c>
    </row>
    <row r="7" spans="1:3" s="283" customFormat="1" ht="15.75" customHeight="1" thickBot="1">
      <c r="A7" s="130"/>
      <c r="B7" s="131" t="s">
        <v>78</v>
      </c>
      <c r="C7" s="767"/>
    </row>
    <row r="8" spans="1:3" s="228" customFormat="1" ht="12" customHeight="1" thickBot="1">
      <c r="A8" s="100" t="s">
        <v>40</v>
      </c>
      <c r="B8" s="133" t="s">
        <v>573</v>
      </c>
      <c r="C8" s="768">
        <f>SUM(C9:C19)</f>
        <v>4095774</v>
      </c>
    </row>
    <row r="9" spans="1:3" s="228" customFormat="1" ht="12" customHeight="1">
      <c r="A9" s="275" t="s">
        <v>116</v>
      </c>
      <c r="B9" s="9" t="s">
        <v>253</v>
      </c>
      <c r="C9" s="769"/>
    </row>
    <row r="10" spans="1:3" s="228" customFormat="1" ht="12" customHeight="1">
      <c r="A10" s="276" t="s">
        <v>117</v>
      </c>
      <c r="B10" s="7" t="s">
        <v>254</v>
      </c>
      <c r="C10" s="770">
        <f>1416800-360800+140000</f>
        <v>1196000</v>
      </c>
    </row>
    <row r="11" spans="1:3" s="228" customFormat="1" ht="12" customHeight="1">
      <c r="A11" s="276" t="s">
        <v>118</v>
      </c>
      <c r="B11" s="7" t="s">
        <v>255</v>
      </c>
      <c r="C11" s="770"/>
    </row>
    <row r="12" spans="1:3" s="228" customFormat="1" ht="12" customHeight="1">
      <c r="A12" s="276" t="s">
        <v>119</v>
      </c>
      <c r="B12" s="7" t="s">
        <v>256</v>
      </c>
      <c r="C12" s="770"/>
    </row>
    <row r="13" spans="1:3" s="228" customFormat="1" ht="12" customHeight="1">
      <c r="A13" s="276" t="s">
        <v>159</v>
      </c>
      <c r="B13" s="7" t="s">
        <v>257</v>
      </c>
      <c r="C13" s="770">
        <v>1871280</v>
      </c>
    </row>
    <row r="14" spans="1:3" s="228" customFormat="1" ht="12" customHeight="1">
      <c r="A14" s="276" t="s">
        <v>120</v>
      </c>
      <c r="B14" s="7" t="s">
        <v>378</v>
      </c>
      <c r="C14" s="770">
        <f>887792-97416+37800</f>
        <v>828176</v>
      </c>
    </row>
    <row r="15" spans="1:3" s="228" customFormat="1" ht="12" customHeight="1">
      <c r="A15" s="276" t="s">
        <v>121</v>
      </c>
      <c r="B15" s="6" t="s">
        <v>379</v>
      </c>
      <c r="C15" s="770"/>
    </row>
    <row r="16" spans="1:3" s="228" customFormat="1" ht="12" customHeight="1">
      <c r="A16" s="276" t="s">
        <v>131</v>
      </c>
      <c r="B16" s="7" t="s">
        <v>260</v>
      </c>
      <c r="C16" s="771"/>
    </row>
    <row r="17" spans="1:3" s="284" customFormat="1" ht="12" customHeight="1">
      <c r="A17" s="276" t="s">
        <v>132</v>
      </c>
      <c r="B17" s="7" t="s">
        <v>261</v>
      </c>
      <c r="C17" s="770"/>
    </row>
    <row r="18" spans="1:3" s="284" customFormat="1" ht="12" customHeight="1">
      <c r="A18" s="276" t="s">
        <v>133</v>
      </c>
      <c r="B18" s="7" t="s">
        <v>500</v>
      </c>
      <c r="C18" s="772"/>
    </row>
    <row r="19" spans="1:3" s="284" customFormat="1" ht="12" customHeight="1" thickBot="1">
      <c r="A19" s="276" t="s">
        <v>134</v>
      </c>
      <c r="B19" s="6" t="s">
        <v>262</v>
      </c>
      <c r="C19" s="772">
        <v>200318</v>
      </c>
    </row>
    <row r="20" spans="1:3" s="228" customFormat="1" ht="12" customHeight="1" thickBot="1">
      <c r="A20" s="100" t="s">
        <v>41</v>
      </c>
      <c r="B20" s="133" t="s">
        <v>380</v>
      </c>
      <c r="C20" s="768">
        <f>SUM(C21:C23)</f>
        <v>0</v>
      </c>
    </row>
    <row r="21" spans="1:3" s="284" customFormat="1" ht="12" customHeight="1">
      <c r="A21" s="276" t="s">
        <v>122</v>
      </c>
      <c r="B21" s="8" t="s">
        <v>230</v>
      </c>
      <c r="C21" s="770"/>
    </row>
    <row r="22" spans="1:3" s="284" customFormat="1" ht="12" customHeight="1">
      <c r="A22" s="276" t="s">
        <v>123</v>
      </c>
      <c r="B22" s="7" t="s">
        <v>381</v>
      </c>
      <c r="C22" s="770"/>
    </row>
    <row r="23" spans="1:3" s="284" customFormat="1" ht="12" customHeight="1">
      <c r="A23" s="276" t="s">
        <v>124</v>
      </c>
      <c r="B23" s="7" t="s">
        <v>382</v>
      </c>
      <c r="C23" s="770"/>
    </row>
    <row r="24" spans="1:3" s="284" customFormat="1" ht="12" customHeight="1" thickBot="1">
      <c r="A24" s="276" t="s">
        <v>125</v>
      </c>
      <c r="B24" s="7" t="s">
        <v>580</v>
      </c>
      <c r="C24" s="770"/>
    </row>
    <row r="25" spans="1:3" s="284" customFormat="1" ht="12" customHeight="1" thickBot="1">
      <c r="A25" s="103" t="s">
        <v>42</v>
      </c>
      <c r="B25" s="87" t="s">
        <v>174</v>
      </c>
      <c r="C25" s="773"/>
    </row>
    <row r="26" spans="1:3" s="284" customFormat="1" ht="12" customHeight="1" thickBot="1">
      <c r="A26" s="103" t="s">
        <v>43</v>
      </c>
      <c r="B26" s="87" t="s">
        <v>581</v>
      </c>
      <c r="C26" s="768">
        <f>+C27+C28</f>
        <v>0</v>
      </c>
    </row>
    <row r="27" spans="1:3" s="284" customFormat="1" ht="12" customHeight="1">
      <c r="A27" s="277" t="s">
        <v>240</v>
      </c>
      <c r="B27" s="278" t="s">
        <v>381</v>
      </c>
      <c r="C27" s="774"/>
    </row>
    <row r="28" spans="1:3" s="284" customFormat="1" ht="12" customHeight="1">
      <c r="A28" s="277" t="s">
        <v>243</v>
      </c>
      <c r="B28" s="279" t="s">
        <v>383</v>
      </c>
      <c r="C28" s="775"/>
    </row>
    <row r="29" spans="1:3" s="284" customFormat="1" ht="12" customHeight="1" thickBot="1">
      <c r="A29" s="276" t="s">
        <v>244</v>
      </c>
      <c r="B29" s="90" t="s">
        <v>582</v>
      </c>
      <c r="C29" s="776"/>
    </row>
    <row r="30" spans="1:3" s="284" customFormat="1" ht="12" customHeight="1" thickBot="1">
      <c r="A30" s="103" t="s">
        <v>44</v>
      </c>
      <c r="B30" s="87" t="s">
        <v>384</v>
      </c>
      <c r="C30" s="768">
        <f>+C31+C32+C33</f>
        <v>0</v>
      </c>
    </row>
    <row r="31" spans="1:3" s="284" customFormat="1" ht="12" customHeight="1">
      <c r="A31" s="277" t="s">
        <v>109</v>
      </c>
      <c r="B31" s="278" t="s">
        <v>267</v>
      </c>
      <c r="C31" s="774"/>
    </row>
    <row r="32" spans="1:3" s="284" customFormat="1" ht="12" customHeight="1">
      <c r="A32" s="277" t="s">
        <v>110</v>
      </c>
      <c r="B32" s="279" t="s">
        <v>268</v>
      </c>
      <c r="C32" s="775"/>
    </row>
    <row r="33" spans="1:3" s="284" customFormat="1" ht="12" customHeight="1" thickBot="1">
      <c r="A33" s="276" t="s">
        <v>111</v>
      </c>
      <c r="B33" s="90" t="s">
        <v>269</v>
      </c>
      <c r="C33" s="776"/>
    </row>
    <row r="34" spans="1:3" s="228" customFormat="1" ht="12" customHeight="1" thickBot="1">
      <c r="A34" s="103" t="s">
        <v>45</v>
      </c>
      <c r="B34" s="87" t="s">
        <v>355</v>
      </c>
      <c r="C34" s="773"/>
    </row>
    <row r="35" spans="1:3" s="228" customFormat="1" ht="12" customHeight="1" thickBot="1">
      <c r="A35" s="103" t="s">
        <v>46</v>
      </c>
      <c r="B35" s="87" t="s">
        <v>385</v>
      </c>
      <c r="C35" s="777"/>
    </row>
    <row r="36" spans="1:3" s="228" customFormat="1" ht="12" customHeight="1" thickBot="1">
      <c r="A36" s="100" t="s">
        <v>47</v>
      </c>
      <c r="B36" s="87" t="s">
        <v>583</v>
      </c>
      <c r="C36" s="778">
        <f>+C8+C20+C25+C26+C30+C34+C35</f>
        <v>4095774</v>
      </c>
    </row>
    <row r="37" spans="1:3" s="228" customFormat="1" ht="12" customHeight="1" thickBot="1">
      <c r="A37" s="134" t="s">
        <v>48</v>
      </c>
      <c r="B37" s="87" t="s">
        <v>387</v>
      </c>
      <c r="C37" s="790">
        <f>+C38+C39+C40</f>
        <v>75055832</v>
      </c>
    </row>
    <row r="38" spans="1:3" s="228" customFormat="1" ht="12" customHeight="1">
      <c r="A38" s="277" t="s">
        <v>388</v>
      </c>
      <c r="B38" s="278" t="s">
        <v>212</v>
      </c>
      <c r="C38" s="774">
        <v>66655</v>
      </c>
    </row>
    <row r="39" spans="1:3" s="228" customFormat="1" ht="12" customHeight="1">
      <c r="A39" s="277" t="s">
        <v>389</v>
      </c>
      <c r="B39" s="279" t="s">
        <v>31</v>
      </c>
      <c r="C39" s="775"/>
    </row>
    <row r="40" spans="1:3" s="284" customFormat="1" ht="12" customHeight="1" thickBot="1">
      <c r="A40" s="276" t="s">
        <v>390</v>
      </c>
      <c r="B40" s="90" t="s">
        <v>391</v>
      </c>
      <c r="C40" s="466">
        <f>69071526+1512159+184245+90000+2357850+322520+193947+1000000+256930</f>
        <v>74989177</v>
      </c>
    </row>
    <row r="41" spans="1:3" s="284" customFormat="1" ht="15" customHeight="1" thickBot="1">
      <c r="A41" s="134" t="s">
        <v>49</v>
      </c>
      <c r="B41" s="135" t="s">
        <v>392</v>
      </c>
      <c r="C41" s="790">
        <f>+C36+C37</f>
        <v>79151606</v>
      </c>
    </row>
    <row r="42" spans="1:3" s="284" customFormat="1" ht="15" customHeight="1">
      <c r="A42" s="136"/>
      <c r="B42" s="137"/>
      <c r="C42" s="780"/>
    </row>
    <row r="43" spans="1:3" ht="13.5" thickBot="1">
      <c r="A43" s="138"/>
      <c r="B43" s="139"/>
      <c r="C43" s="781"/>
    </row>
    <row r="44" spans="1:3" s="283" customFormat="1" ht="16.5" customHeight="1" thickBot="1">
      <c r="A44" s="140"/>
      <c r="B44" s="141" t="s">
        <v>79</v>
      </c>
      <c r="C44" s="782"/>
    </row>
    <row r="45" spans="1:3" s="285" customFormat="1" ht="12" customHeight="1" thickBot="1">
      <c r="A45" s="103" t="s">
        <v>40</v>
      </c>
      <c r="B45" s="87" t="s">
        <v>393</v>
      </c>
      <c r="C45" s="783">
        <f>SUM(C46:C50)</f>
        <v>78676606</v>
      </c>
    </row>
    <row r="46" spans="1:3" ht="12" customHeight="1">
      <c r="A46" s="276" t="s">
        <v>116</v>
      </c>
      <c r="B46" s="8" t="s">
        <v>71</v>
      </c>
      <c r="C46" s="774">
        <f>49257950+1239474+151021+240000+104217</f>
        <v>50992662</v>
      </c>
    </row>
    <row r="47" spans="1:3" ht="12" customHeight="1">
      <c r="A47" s="276" t="s">
        <v>117</v>
      </c>
      <c r="B47" s="7" t="s">
        <v>183</v>
      </c>
      <c r="C47" s="784">
        <f>11047568+272685+33224+47520+22928</f>
        <v>11423925</v>
      </c>
    </row>
    <row r="48" spans="1:3" ht="12" customHeight="1">
      <c r="A48" s="276" t="s">
        <v>118</v>
      </c>
      <c r="B48" s="7" t="s">
        <v>152</v>
      </c>
      <c r="C48" s="468">
        <f>12658535+2558168-213614+1000000+256930</f>
        <v>16260019</v>
      </c>
    </row>
    <row r="49" spans="1:3" ht="12" customHeight="1">
      <c r="A49" s="276" t="s">
        <v>119</v>
      </c>
      <c r="B49" s="7" t="s">
        <v>184</v>
      </c>
      <c r="C49" s="784"/>
    </row>
    <row r="50" spans="1:3" ht="12" customHeight="1" thickBot="1">
      <c r="A50" s="276" t="s">
        <v>159</v>
      </c>
      <c r="B50" s="7" t="s">
        <v>185</v>
      </c>
      <c r="C50" s="784"/>
    </row>
    <row r="51" spans="1:3" ht="12" customHeight="1" thickBot="1">
      <c r="A51" s="103" t="s">
        <v>41</v>
      </c>
      <c r="B51" s="87" t="s">
        <v>394</v>
      </c>
      <c r="C51" s="768">
        <f>SUM(C52:C54)</f>
        <v>475000</v>
      </c>
    </row>
    <row r="52" spans="1:3" s="285" customFormat="1" ht="12" customHeight="1">
      <c r="A52" s="276" t="s">
        <v>122</v>
      </c>
      <c r="B52" s="8" t="s">
        <v>203</v>
      </c>
      <c r="C52" s="774">
        <f>350000+90000+35000</f>
        <v>475000</v>
      </c>
    </row>
    <row r="53" spans="1:3" ht="12" customHeight="1">
      <c r="A53" s="276" t="s">
        <v>123</v>
      </c>
      <c r="B53" s="7" t="s">
        <v>187</v>
      </c>
      <c r="C53" s="784"/>
    </row>
    <row r="54" spans="1:3" ht="12" customHeight="1">
      <c r="A54" s="276" t="s">
        <v>124</v>
      </c>
      <c r="B54" s="7" t="s">
        <v>80</v>
      </c>
      <c r="C54" s="784"/>
    </row>
    <row r="55" spans="1:3" ht="12" customHeight="1" thickBot="1">
      <c r="A55" s="276" t="s">
        <v>125</v>
      </c>
      <c r="B55" s="7" t="s">
        <v>577</v>
      </c>
      <c r="C55" s="784"/>
    </row>
    <row r="56" spans="1:3" ht="15" customHeight="1" thickBot="1">
      <c r="A56" s="103" t="s">
        <v>42</v>
      </c>
      <c r="B56" s="87" t="s">
        <v>35</v>
      </c>
      <c r="C56" s="773"/>
    </row>
    <row r="57" spans="1:3" ht="13.5" thickBot="1">
      <c r="A57" s="103" t="s">
        <v>43</v>
      </c>
      <c r="B57" s="142" t="s">
        <v>578</v>
      </c>
      <c r="C57" s="785">
        <f>+C45+C51+C56</f>
        <v>79151606</v>
      </c>
    </row>
    <row r="58" ht="15" customHeight="1" thickBot="1">
      <c r="C58" s="786"/>
    </row>
    <row r="59" spans="1:3" ht="14.25" customHeight="1" thickBot="1">
      <c r="A59" s="145" t="s">
        <v>570</v>
      </c>
      <c r="B59" s="146"/>
      <c r="C59" s="787">
        <v>20</v>
      </c>
    </row>
    <row r="60" spans="1:3" ht="13.5" thickBot="1">
      <c r="A60" s="145" t="s">
        <v>199</v>
      </c>
      <c r="B60" s="146"/>
      <c r="C60" s="78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28/2017.(X.27.)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143" customWidth="1"/>
    <col min="2" max="2" width="79.125" style="144" customWidth="1"/>
    <col min="3" max="3" width="25.00390625" style="433" customWidth="1"/>
    <col min="4" max="16384" width="9.375" style="144" customWidth="1"/>
  </cols>
  <sheetData>
    <row r="1" spans="1:3" s="123" customFormat="1" ht="21" customHeight="1" thickBot="1">
      <c r="A1" s="122"/>
      <c r="B1" s="124"/>
      <c r="C1" s="426" t="e">
        <f>+CONCATENATE("9.3.1. melléklet a ……/",LEFT(#REF!,4),". (….) önkormányzati rendelethez")</f>
        <v>#REF!</v>
      </c>
    </row>
    <row r="2" spans="1:3" s="281" customFormat="1" ht="36" customHeight="1">
      <c r="A2" s="238" t="s">
        <v>197</v>
      </c>
      <c r="B2" s="213" t="s">
        <v>585</v>
      </c>
      <c r="C2" s="427" t="s">
        <v>83</v>
      </c>
    </row>
    <row r="3" spans="1:3" s="281" customFormat="1" ht="24.75" thickBot="1">
      <c r="A3" s="274" t="s">
        <v>196</v>
      </c>
      <c r="B3" s="214" t="s">
        <v>395</v>
      </c>
      <c r="C3" s="428" t="s">
        <v>82</v>
      </c>
    </row>
    <row r="4" spans="1:3" s="282" customFormat="1" ht="15.75" customHeight="1" thickBot="1">
      <c r="A4" s="126"/>
      <c r="B4" s="126"/>
      <c r="C4" s="429" t="s">
        <v>633</v>
      </c>
    </row>
    <row r="5" spans="1:3" ht="13.5" thickBot="1">
      <c r="A5" s="239" t="s">
        <v>198</v>
      </c>
      <c r="B5" s="128" t="s">
        <v>76</v>
      </c>
      <c r="C5" s="430" t="s">
        <v>77</v>
      </c>
    </row>
    <row r="6" spans="1:3" s="283" customFormat="1" ht="12.75" customHeight="1" thickBot="1">
      <c r="A6" s="100" t="s">
        <v>491</v>
      </c>
      <c r="B6" s="101" t="s">
        <v>492</v>
      </c>
      <c r="C6" s="431" t="s">
        <v>493</v>
      </c>
    </row>
    <row r="7" spans="1:3" s="283" customFormat="1" ht="15.75" customHeight="1" thickBot="1">
      <c r="A7" s="130"/>
      <c r="B7" s="131" t="s">
        <v>78</v>
      </c>
      <c r="C7" s="767"/>
    </row>
    <row r="8" spans="1:3" s="228" customFormat="1" ht="12" customHeight="1" thickBot="1">
      <c r="A8" s="100" t="s">
        <v>40</v>
      </c>
      <c r="B8" s="133" t="s">
        <v>573</v>
      </c>
      <c r="C8" s="800">
        <f>SUM(C9:C19)</f>
        <v>4095774</v>
      </c>
    </row>
    <row r="9" spans="1:3" s="228" customFormat="1" ht="12" customHeight="1">
      <c r="A9" s="275" t="s">
        <v>116</v>
      </c>
      <c r="B9" s="9" t="s">
        <v>253</v>
      </c>
      <c r="C9" s="770"/>
    </row>
    <row r="10" spans="1:3" s="228" customFormat="1" ht="12" customHeight="1">
      <c r="A10" s="276" t="s">
        <v>117</v>
      </c>
      <c r="B10" s="7" t="s">
        <v>254</v>
      </c>
      <c r="C10" s="770">
        <f>1416800-360800+140000</f>
        <v>1196000</v>
      </c>
    </row>
    <row r="11" spans="1:3" s="228" customFormat="1" ht="12" customHeight="1">
      <c r="A11" s="276" t="s">
        <v>118</v>
      </c>
      <c r="B11" s="7" t="s">
        <v>255</v>
      </c>
      <c r="C11" s="770"/>
    </row>
    <row r="12" spans="1:3" s="228" customFormat="1" ht="12" customHeight="1">
      <c r="A12" s="276" t="s">
        <v>119</v>
      </c>
      <c r="B12" s="7" t="s">
        <v>256</v>
      </c>
      <c r="C12" s="770"/>
    </row>
    <row r="13" spans="1:3" s="228" customFormat="1" ht="12" customHeight="1">
      <c r="A13" s="276" t="s">
        <v>159</v>
      </c>
      <c r="B13" s="7" t="s">
        <v>257</v>
      </c>
      <c r="C13" s="770">
        <v>1871280</v>
      </c>
    </row>
    <row r="14" spans="1:3" s="228" customFormat="1" ht="12" customHeight="1">
      <c r="A14" s="276" t="s">
        <v>120</v>
      </c>
      <c r="B14" s="7" t="s">
        <v>378</v>
      </c>
      <c r="C14" s="770">
        <f>887792-97416+37800</f>
        <v>828176</v>
      </c>
    </row>
    <row r="15" spans="1:3" s="228" customFormat="1" ht="12" customHeight="1">
      <c r="A15" s="276" t="s">
        <v>121</v>
      </c>
      <c r="B15" s="6" t="s">
        <v>379</v>
      </c>
      <c r="C15" s="771"/>
    </row>
    <row r="16" spans="1:3" s="228" customFormat="1" ht="12" customHeight="1">
      <c r="A16" s="276" t="s">
        <v>131</v>
      </c>
      <c r="B16" s="7" t="s">
        <v>260</v>
      </c>
      <c r="C16" s="770"/>
    </row>
    <row r="17" spans="1:3" s="284" customFormat="1" ht="12" customHeight="1">
      <c r="A17" s="276" t="s">
        <v>132</v>
      </c>
      <c r="B17" s="7" t="s">
        <v>261</v>
      </c>
      <c r="C17" s="772"/>
    </row>
    <row r="18" spans="1:3" s="284" customFormat="1" ht="12" customHeight="1">
      <c r="A18" s="276" t="s">
        <v>133</v>
      </c>
      <c r="B18" s="7" t="s">
        <v>500</v>
      </c>
      <c r="C18" s="772"/>
    </row>
    <row r="19" spans="1:3" s="284" customFormat="1" ht="12" customHeight="1" thickBot="1">
      <c r="A19" s="276" t="s">
        <v>134</v>
      </c>
      <c r="B19" s="6" t="s">
        <v>262</v>
      </c>
      <c r="C19" s="772">
        <v>200318</v>
      </c>
    </row>
    <row r="20" spans="1:3" s="228" customFormat="1" ht="12" customHeight="1" thickBot="1">
      <c r="A20" s="100" t="s">
        <v>41</v>
      </c>
      <c r="B20" s="133" t="s">
        <v>380</v>
      </c>
      <c r="C20" s="800">
        <f>SUM(C21:C23)</f>
        <v>0</v>
      </c>
    </row>
    <row r="21" spans="1:3" s="284" customFormat="1" ht="12" customHeight="1">
      <c r="A21" s="276" t="s">
        <v>122</v>
      </c>
      <c r="B21" s="8" t="s">
        <v>230</v>
      </c>
      <c r="C21" s="770"/>
    </row>
    <row r="22" spans="1:3" s="284" customFormat="1" ht="12" customHeight="1">
      <c r="A22" s="276" t="s">
        <v>123</v>
      </c>
      <c r="B22" s="7" t="s">
        <v>381</v>
      </c>
      <c r="C22" s="770"/>
    </row>
    <row r="23" spans="1:3" s="284" customFormat="1" ht="12" customHeight="1">
      <c r="A23" s="276" t="s">
        <v>124</v>
      </c>
      <c r="B23" s="7" t="s">
        <v>382</v>
      </c>
      <c r="C23" s="770"/>
    </row>
    <row r="24" spans="1:3" s="284" customFormat="1" ht="12" customHeight="1" thickBot="1">
      <c r="A24" s="276" t="s">
        <v>125</v>
      </c>
      <c r="B24" s="7" t="s">
        <v>580</v>
      </c>
      <c r="C24" s="770"/>
    </row>
    <row r="25" spans="1:3" s="284" customFormat="1" ht="12" customHeight="1" thickBot="1">
      <c r="A25" s="103" t="s">
        <v>42</v>
      </c>
      <c r="B25" s="87" t="s">
        <v>174</v>
      </c>
      <c r="C25" s="801"/>
    </row>
    <row r="26" spans="1:3" s="284" customFormat="1" ht="12" customHeight="1" thickBot="1">
      <c r="A26" s="103" t="s">
        <v>43</v>
      </c>
      <c r="B26" s="87" t="s">
        <v>581</v>
      </c>
      <c r="C26" s="800">
        <f>+C27+C28</f>
        <v>0</v>
      </c>
    </row>
    <row r="27" spans="1:3" s="284" customFormat="1" ht="12" customHeight="1">
      <c r="A27" s="277" t="s">
        <v>240</v>
      </c>
      <c r="B27" s="278" t="s">
        <v>381</v>
      </c>
      <c r="C27" s="802"/>
    </row>
    <row r="28" spans="1:3" s="284" customFormat="1" ht="12" customHeight="1">
      <c r="A28" s="277" t="s">
        <v>243</v>
      </c>
      <c r="B28" s="279" t="s">
        <v>383</v>
      </c>
      <c r="C28" s="771"/>
    </row>
    <row r="29" spans="1:3" s="284" customFormat="1" ht="12" customHeight="1" thickBot="1">
      <c r="A29" s="276" t="s">
        <v>244</v>
      </c>
      <c r="B29" s="90" t="s">
        <v>582</v>
      </c>
      <c r="C29" s="803"/>
    </row>
    <row r="30" spans="1:3" s="284" customFormat="1" ht="12" customHeight="1" thickBot="1">
      <c r="A30" s="103" t="s">
        <v>44</v>
      </c>
      <c r="B30" s="87" t="s">
        <v>384</v>
      </c>
      <c r="C30" s="800">
        <f>+C31+C32+C33</f>
        <v>0</v>
      </c>
    </row>
    <row r="31" spans="1:3" s="284" customFormat="1" ht="12" customHeight="1">
      <c r="A31" s="277" t="s">
        <v>109</v>
      </c>
      <c r="B31" s="278" t="s">
        <v>267</v>
      </c>
      <c r="C31" s="802"/>
    </row>
    <row r="32" spans="1:3" s="284" customFormat="1" ht="12" customHeight="1">
      <c r="A32" s="277" t="s">
        <v>110</v>
      </c>
      <c r="B32" s="279" t="s">
        <v>268</v>
      </c>
      <c r="C32" s="771"/>
    </row>
    <row r="33" spans="1:3" s="284" customFormat="1" ht="12" customHeight="1" thickBot="1">
      <c r="A33" s="276" t="s">
        <v>111</v>
      </c>
      <c r="B33" s="90" t="s">
        <v>269</v>
      </c>
      <c r="C33" s="803"/>
    </row>
    <row r="34" spans="1:3" s="228" customFormat="1" ht="12" customHeight="1" thickBot="1">
      <c r="A34" s="103" t="s">
        <v>45</v>
      </c>
      <c r="B34" s="87" t="s">
        <v>355</v>
      </c>
      <c r="C34" s="801"/>
    </row>
    <row r="35" spans="1:3" s="228" customFormat="1" ht="12" customHeight="1" thickBot="1">
      <c r="A35" s="103" t="s">
        <v>46</v>
      </c>
      <c r="B35" s="87" t="s">
        <v>385</v>
      </c>
      <c r="C35" s="804"/>
    </row>
    <row r="36" spans="1:3" s="228" customFormat="1" ht="12" customHeight="1" thickBot="1">
      <c r="A36" s="100" t="s">
        <v>47</v>
      </c>
      <c r="B36" s="87" t="s">
        <v>583</v>
      </c>
      <c r="C36" s="782">
        <f>+C8+C20+C25+C26+C30+C34+C35</f>
        <v>4095774</v>
      </c>
    </row>
    <row r="37" spans="1:3" s="228" customFormat="1" ht="12" customHeight="1" thickBot="1">
      <c r="A37" s="134" t="s">
        <v>48</v>
      </c>
      <c r="B37" s="87" t="s">
        <v>387</v>
      </c>
      <c r="C37" s="779">
        <f>+C38+C39+C40</f>
        <v>75055832</v>
      </c>
    </row>
    <row r="38" spans="1:3" s="228" customFormat="1" ht="12" customHeight="1">
      <c r="A38" s="277" t="s">
        <v>388</v>
      </c>
      <c r="B38" s="278" t="s">
        <v>212</v>
      </c>
      <c r="C38" s="802">
        <v>66655</v>
      </c>
    </row>
    <row r="39" spans="1:3" s="228" customFormat="1" ht="12" customHeight="1">
      <c r="A39" s="277" t="s">
        <v>389</v>
      </c>
      <c r="B39" s="279" t="s">
        <v>31</v>
      </c>
      <c r="C39" s="771"/>
    </row>
    <row r="40" spans="1:3" s="284" customFormat="1" ht="12" customHeight="1" thickBot="1">
      <c r="A40" s="276" t="s">
        <v>390</v>
      </c>
      <c r="B40" s="90" t="s">
        <v>391</v>
      </c>
      <c r="C40" s="805">
        <f>69071526+1512159+184245+90000+2357850+322520+193947+1000000+256930</f>
        <v>74989177</v>
      </c>
    </row>
    <row r="41" spans="1:3" s="284" customFormat="1" ht="15" customHeight="1" thickBot="1">
      <c r="A41" s="134" t="s">
        <v>49</v>
      </c>
      <c r="B41" s="135" t="s">
        <v>392</v>
      </c>
      <c r="C41" s="779">
        <f>+C36+C37</f>
        <v>79151606</v>
      </c>
    </row>
    <row r="42" spans="1:3" s="284" customFormat="1" ht="15" customHeight="1">
      <c r="A42" s="136"/>
      <c r="B42" s="137"/>
      <c r="C42" s="780"/>
    </row>
    <row r="43" spans="1:3" ht="13.5" thickBot="1">
      <c r="A43" s="138"/>
      <c r="B43" s="139"/>
      <c r="C43" s="781"/>
    </row>
    <row r="44" spans="1:3" s="283" customFormat="1" ht="16.5" customHeight="1" thickBot="1">
      <c r="A44" s="140"/>
      <c r="B44" s="141" t="s">
        <v>79</v>
      </c>
      <c r="C44" s="782"/>
    </row>
    <row r="45" spans="1:3" s="285" customFormat="1" ht="12" customHeight="1" thickBot="1">
      <c r="A45" s="103" t="s">
        <v>40</v>
      </c>
      <c r="B45" s="87" t="s">
        <v>393</v>
      </c>
      <c r="C45" s="785">
        <f>SUM(C46:C50)</f>
        <v>78676606</v>
      </c>
    </row>
    <row r="46" spans="1:3" ht="12" customHeight="1">
      <c r="A46" s="276" t="s">
        <v>116</v>
      </c>
      <c r="B46" s="8" t="s">
        <v>71</v>
      </c>
      <c r="C46" s="802">
        <f>49257950+1239474+151021+240000+104217</f>
        <v>50992662</v>
      </c>
    </row>
    <row r="47" spans="1:3" ht="12" customHeight="1">
      <c r="A47" s="276" t="s">
        <v>117</v>
      </c>
      <c r="B47" s="7" t="s">
        <v>183</v>
      </c>
      <c r="C47" s="770">
        <f>11047568+272685+33224+47520+22928</f>
        <v>11423925</v>
      </c>
    </row>
    <row r="48" spans="1:3" ht="12" customHeight="1">
      <c r="A48" s="276" t="s">
        <v>118</v>
      </c>
      <c r="B48" s="7" t="s">
        <v>152</v>
      </c>
      <c r="C48" s="469">
        <f>12658535+2558168-213614+1000000+256930</f>
        <v>16260019</v>
      </c>
    </row>
    <row r="49" spans="1:3" ht="12" customHeight="1">
      <c r="A49" s="276" t="s">
        <v>119</v>
      </c>
      <c r="B49" s="7" t="s">
        <v>184</v>
      </c>
      <c r="C49" s="770"/>
    </row>
    <row r="50" spans="1:3" ht="12" customHeight="1" thickBot="1">
      <c r="A50" s="276" t="s">
        <v>159</v>
      </c>
      <c r="B50" s="7" t="s">
        <v>185</v>
      </c>
      <c r="C50" s="770"/>
    </row>
    <row r="51" spans="1:3" ht="12" customHeight="1" thickBot="1">
      <c r="A51" s="103" t="s">
        <v>41</v>
      </c>
      <c r="B51" s="87" t="s">
        <v>394</v>
      </c>
      <c r="C51" s="800">
        <f>SUM(C52:C54)</f>
        <v>475000</v>
      </c>
    </row>
    <row r="52" spans="1:3" s="285" customFormat="1" ht="12" customHeight="1">
      <c r="A52" s="276" t="s">
        <v>122</v>
      </c>
      <c r="B52" s="8" t="s">
        <v>203</v>
      </c>
      <c r="C52" s="802">
        <f>350000+90000+35000</f>
        <v>475000</v>
      </c>
    </row>
    <row r="53" spans="1:3" ht="12" customHeight="1">
      <c r="A53" s="276" t="s">
        <v>123</v>
      </c>
      <c r="B53" s="7" t="s">
        <v>187</v>
      </c>
      <c r="C53" s="770"/>
    </row>
    <row r="54" spans="1:3" ht="12" customHeight="1">
      <c r="A54" s="276" t="s">
        <v>124</v>
      </c>
      <c r="B54" s="7" t="s">
        <v>80</v>
      </c>
      <c r="C54" s="770"/>
    </row>
    <row r="55" spans="1:3" ht="12" customHeight="1" thickBot="1">
      <c r="A55" s="276" t="s">
        <v>125</v>
      </c>
      <c r="B55" s="7" t="s">
        <v>577</v>
      </c>
      <c r="C55" s="770"/>
    </row>
    <row r="56" spans="1:3" ht="15" customHeight="1" thickBot="1">
      <c r="A56" s="103" t="s">
        <v>42</v>
      </c>
      <c r="B56" s="87" t="s">
        <v>35</v>
      </c>
      <c r="C56" s="801"/>
    </row>
    <row r="57" spans="1:3" ht="13.5" thickBot="1">
      <c r="A57" s="103" t="s">
        <v>43</v>
      </c>
      <c r="B57" s="142" t="s">
        <v>578</v>
      </c>
      <c r="C57" s="785">
        <f>+C45+C51+C56</f>
        <v>79151606</v>
      </c>
    </row>
    <row r="58" ht="15" customHeight="1" thickBot="1">
      <c r="C58" s="806"/>
    </row>
    <row r="59" spans="1:3" ht="14.25" customHeight="1" thickBot="1">
      <c r="A59" s="145" t="s">
        <v>570</v>
      </c>
      <c r="B59" s="146"/>
      <c r="C59" s="787">
        <v>20</v>
      </c>
    </row>
    <row r="60" spans="1:3" ht="13.5" thickBot="1">
      <c r="A60" s="145" t="s">
        <v>199</v>
      </c>
      <c r="B60" s="146"/>
      <c r="C60" s="43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24. melléklet a 28/2017.(X.27.)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25"/>
  <sheetViews>
    <sheetView view="pageLayout" workbookViewId="0" topLeftCell="A1">
      <selection activeCell="H4" sqref="H4"/>
    </sheetView>
  </sheetViews>
  <sheetFormatPr defaultColWidth="10.625" defaultRowHeight="12.75"/>
  <cols>
    <col min="1" max="1" width="29.125" style="471" bestFit="1" customWidth="1"/>
    <col min="2" max="2" width="11.125" style="471" bestFit="1" customWidth="1"/>
    <col min="3" max="4" width="12.625" style="471" bestFit="1" customWidth="1"/>
    <col min="5" max="5" width="11.375" style="471" customWidth="1"/>
    <col min="6" max="7" width="11.125" style="471" bestFit="1" customWidth="1"/>
    <col min="8" max="8" width="11.00390625" style="471" customWidth="1"/>
    <col min="9" max="9" width="10.125" style="471" bestFit="1" customWidth="1"/>
    <col min="10" max="10" width="12.625" style="471" bestFit="1" customWidth="1"/>
    <col min="11" max="16384" width="10.625" style="471" customWidth="1"/>
  </cols>
  <sheetData>
    <row r="1" spans="1:10" ht="12.75">
      <c r="A1" s="470"/>
      <c r="B1" s="470"/>
      <c r="C1" s="470"/>
      <c r="D1" s="470"/>
      <c r="E1" s="470"/>
      <c r="F1" s="470"/>
      <c r="H1" s="472"/>
      <c r="I1" s="472"/>
      <c r="J1" s="473"/>
    </row>
    <row r="2" spans="1:10" ht="12.75">
      <c r="A2" s="470"/>
      <c r="B2" s="470"/>
      <c r="C2" s="470"/>
      <c r="D2" s="470"/>
      <c r="E2" s="470"/>
      <c r="F2" s="470"/>
      <c r="G2" s="474"/>
      <c r="H2" s="474"/>
      <c r="I2" s="474"/>
      <c r="J2" s="475"/>
    </row>
    <row r="3" spans="1:10" ht="12.75">
      <c r="A3" s="470"/>
      <c r="B3" s="470"/>
      <c r="C3" s="470"/>
      <c r="D3" s="470"/>
      <c r="E3" s="470"/>
      <c r="F3" s="470"/>
      <c r="G3" s="474"/>
      <c r="H3" s="474"/>
      <c r="I3" s="474"/>
      <c r="J3" s="474"/>
    </row>
    <row r="4" spans="1:10" ht="19.5">
      <c r="A4" s="476" t="s">
        <v>416</v>
      </c>
      <c r="B4" s="476"/>
      <c r="C4" s="476"/>
      <c r="D4" s="476"/>
      <c r="E4" s="476"/>
      <c r="F4" s="476"/>
      <c r="G4" s="476"/>
      <c r="H4" s="476"/>
      <c r="I4" s="476"/>
      <c r="J4" s="476"/>
    </row>
    <row r="5" spans="1:10" ht="19.5">
      <c r="A5" s="476" t="s">
        <v>624</v>
      </c>
      <c r="B5" s="476"/>
      <c r="C5" s="476"/>
      <c r="D5" s="476"/>
      <c r="E5" s="476"/>
      <c r="F5" s="476"/>
      <c r="G5" s="476"/>
      <c r="H5" s="476"/>
      <c r="I5" s="476"/>
      <c r="J5" s="476"/>
    </row>
    <row r="6" spans="1:10" ht="13.5" thickBot="1">
      <c r="A6" s="470"/>
      <c r="B6" s="470"/>
      <c r="C6" s="470"/>
      <c r="D6" s="470"/>
      <c r="E6" s="470"/>
      <c r="F6" s="470"/>
      <c r="G6" s="470"/>
      <c r="H6" s="470"/>
      <c r="I6" s="470"/>
      <c r="J6" s="477" t="s">
        <v>19</v>
      </c>
    </row>
    <row r="7" spans="1:10" ht="15.75" customHeight="1">
      <c r="A7" s="884" t="s">
        <v>10</v>
      </c>
      <c r="B7" s="887" t="s">
        <v>417</v>
      </c>
      <c r="C7" s="888"/>
      <c r="D7" s="888"/>
      <c r="E7" s="887" t="s">
        <v>418</v>
      </c>
      <c r="F7" s="888"/>
      <c r="G7" s="888"/>
      <c r="H7" s="888"/>
      <c r="I7" s="888"/>
      <c r="J7" s="889"/>
    </row>
    <row r="8" spans="1:10" ht="15.75" customHeight="1">
      <c r="A8" s="885"/>
      <c r="B8" s="478" t="s">
        <v>419</v>
      </c>
      <c r="C8" s="478" t="s">
        <v>420</v>
      </c>
      <c r="D8" s="478" t="s">
        <v>421</v>
      </c>
      <c r="E8" s="478" t="s">
        <v>422</v>
      </c>
      <c r="F8" s="478" t="s">
        <v>423</v>
      </c>
      <c r="G8" s="478" t="s">
        <v>424</v>
      </c>
      <c r="H8" s="478" t="s">
        <v>425</v>
      </c>
      <c r="I8" s="478" t="s">
        <v>426</v>
      </c>
      <c r="J8" s="479" t="s">
        <v>421</v>
      </c>
    </row>
    <row r="9" spans="1:10" ht="15.75" customHeight="1">
      <c r="A9" s="886"/>
      <c r="B9" s="478" t="s">
        <v>427</v>
      </c>
      <c r="C9" s="478" t="s">
        <v>428</v>
      </c>
      <c r="D9" s="478" t="s">
        <v>429</v>
      </c>
      <c r="E9" s="478" t="s">
        <v>430</v>
      </c>
      <c r="F9" s="478" t="s">
        <v>431</v>
      </c>
      <c r="G9" s="478" t="s">
        <v>432</v>
      </c>
      <c r="H9" s="478" t="s">
        <v>433</v>
      </c>
      <c r="I9" s="478" t="s">
        <v>432</v>
      </c>
      <c r="J9" s="479" t="s">
        <v>434</v>
      </c>
    </row>
    <row r="10" spans="1:11" ht="15.75" customHeight="1">
      <c r="A10" s="480" t="s">
        <v>435</v>
      </c>
      <c r="B10" s="807">
        <f>163050202+66900+446694+3500000+200000</f>
        <v>167263796</v>
      </c>
      <c r="C10" s="815">
        <f aca="true" t="shared" si="0" ref="C10:C15">J10-B10</f>
        <v>162737307</v>
      </c>
      <c r="D10" s="815">
        <f aca="true" t="shared" si="1" ref="D10:D15">SUM(B10:C10)</f>
        <v>330001103</v>
      </c>
      <c r="E10" s="807">
        <f>81328328-15308800+124089+105973-2254000</f>
        <v>63995590</v>
      </c>
      <c r="F10" s="807">
        <f>20074352-3360936+69499-495880</f>
        <v>16287035</v>
      </c>
      <c r="G10" s="815">
        <f>262391117-15811124-124245-133428+381000+200000+270367-254000+1028360</f>
        <v>247948047</v>
      </c>
      <c r="H10" s="807"/>
      <c r="I10" s="815">
        <f>1641691-265000+66900-60160+133000+254000</f>
        <v>1770431</v>
      </c>
      <c r="J10" s="808">
        <f aca="true" t="shared" si="2" ref="J10:J15">SUM(E10:I10)</f>
        <v>330001103</v>
      </c>
      <c r="K10" s="481"/>
    </row>
    <row r="11" spans="1:10" ht="15.75" customHeight="1">
      <c r="A11" s="480" t="s">
        <v>8</v>
      </c>
      <c r="B11" s="807">
        <f>12252423+80000+889000</f>
        <v>13221423</v>
      </c>
      <c r="C11" s="815">
        <f>J11-B11</f>
        <v>281736275</v>
      </c>
      <c r="D11" s="815">
        <f t="shared" si="1"/>
        <v>294957698</v>
      </c>
      <c r="E11" s="815">
        <f>175711001+155200+948237+1333848+320000+444000-80000+80000</f>
        <v>178912286</v>
      </c>
      <c r="F11" s="815">
        <f>41990053+34144+208612+293447+70400+87912</f>
        <v>42684568</v>
      </c>
      <c r="G11" s="815">
        <f>68610269+651000+30000+190500+889000+80000</f>
        <v>70450769</v>
      </c>
      <c r="H11" s="807"/>
      <c r="I11" s="815">
        <f>1280075+578000+157000+600000+200000+95000</f>
        <v>2910075</v>
      </c>
      <c r="J11" s="808">
        <f t="shared" si="2"/>
        <v>294957698</v>
      </c>
    </row>
    <row r="12" spans="1:10" ht="15.75" customHeight="1">
      <c r="A12" s="480" t="s">
        <v>660</v>
      </c>
      <c r="B12" s="815">
        <f>15823576+1095000+123157-1740000+140433</f>
        <v>15442166</v>
      </c>
      <c r="C12" s="815">
        <f t="shared" si="0"/>
        <v>85709698</v>
      </c>
      <c r="D12" s="815">
        <f t="shared" si="1"/>
        <v>101151864</v>
      </c>
      <c r="E12" s="807">
        <f>41685275-382364-1302308+140000+900040+142726+42775+101222-18339+100000</f>
        <v>41409027</v>
      </c>
      <c r="F12" s="807">
        <f>9624930-84120-286508+51864+177100+24990+43660</f>
        <v>9551916</v>
      </c>
      <c r="G12" s="815">
        <f>41615701+281940+80000-191864+276738+793136-95650+1035000+7339+1905000+237204-27000-100000</f>
        <v>45817544</v>
      </c>
      <c r="H12" s="807"/>
      <c r="I12" s="815">
        <f>2645654+151042+60000+1238248+11000+167433+100000</f>
        <v>4373377</v>
      </c>
      <c r="J12" s="808">
        <f t="shared" si="2"/>
        <v>101151864</v>
      </c>
    </row>
    <row r="13" spans="1:10" s="481" customFormat="1" ht="18" customHeight="1">
      <c r="A13" s="385" t="s">
        <v>612</v>
      </c>
      <c r="B13" s="809">
        <f>203175038+250000+374405+8110044+1200000-2699368+18932847+416514</f>
        <v>229759480</v>
      </c>
      <c r="C13" s="815">
        <f t="shared" si="0"/>
        <v>454883841</v>
      </c>
      <c r="D13" s="815">
        <f t="shared" si="1"/>
        <v>684643321</v>
      </c>
      <c r="E13" s="814">
        <f>319870685+41704739+3188310+416250+3193542+6730000-1000000</f>
        <v>374103526</v>
      </c>
      <c r="F13" s="814">
        <f>73973204+8976967+693000-41845+761502+1460052+633000+1000000</f>
        <v>87455880</v>
      </c>
      <c r="G13" s="814">
        <f>189287740+128500+1232300-29210+1320000+8620390+8729191+2454000+400000+115500</f>
        <v>212258411</v>
      </c>
      <c r="H13" s="810"/>
      <c r="I13" s="814">
        <f>3280160+973976+40000+29210+2835000+310040+127000+2430118-400000+1200000</f>
        <v>10825504</v>
      </c>
      <c r="J13" s="808">
        <f t="shared" si="2"/>
        <v>684643321</v>
      </c>
    </row>
    <row r="14" spans="1:10" s="481" customFormat="1" ht="18" customHeight="1">
      <c r="A14" s="385" t="s">
        <v>585</v>
      </c>
      <c r="B14" s="809">
        <f>4242527+200318-280416</f>
        <v>4162429</v>
      </c>
      <c r="C14" s="815">
        <f t="shared" si="0"/>
        <v>74989177</v>
      </c>
      <c r="D14" s="815">
        <f t="shared" si="1"/>
        <v>79151606</v>
      </c>
      <c r="E14" s="810">
        <f>50497424+151021+240000+104217</f>
        <v>50992662</v>
      </c>
      <c r="F14" s="810">
        <f>11320253+33224+47520+22928</f>
        <v>11423925</v>
      </c>
      <c r="G14" s="814">
        <f>12658535+2558168-213614+256930+1000000</f>
        <v>16260019</v>
      </c>
      <c r="H14" s="810"/>
      <c r="I14" s="810">
        <f>350000+90000+35000</f>
        <v>475000</v>
      </c>
      <c r="J14" s="808">
        <f t="shared" si="2"/>
        <v>79151606</v>
      </c>
    </row>
    <row r="15" spans="1:10" s="481" customFormat="1" ht="18" customHeight="1">
      <c r="A15" s="385" t="s">
        <v>613</v>
      </c>
      <c r="B15" s="809">
        <f>10334792+447404</f>
        <v>10782196</v>
      </c>
      <c r="C15" s="807">
        <f t="shared" si="0"/>
        <v>221066476</v>
      </c>
      <c r="D15" s="807">
        <f t="shared" si="1"/>
        <v>231848672</v>
      </c>
      <c r="E15" s="814">
        <f>123362420+750000</f>
        <v>124112420</v>
      </c>
      <c r="F15" s="814">
        <f>29230702+149000</f>
        <v>29379702</v>
      </c>
      <c r="G15" s="810">
        <f>52037350-171000+59000+13500+209000+108500-50800-469900</f>
        <v>51735650</v>
      </c>
      <c r="H15" s="810">
        <v>24250000</v>
      </c>
      <c r="I15" s="810">
        <f>1901000+457200+12700</f>
        <v>2370900</v>
      </c>
      <c r="J15" s="811">
        <f t="shared" si="2"/>
        <v>231848672</v>
      </c>
    </row>
    <row r="16" spans="1:10" s="481" customFormat="1" ht="18" customHeight="1" thickBot="1">
      <c r="A16" s="434" t="s">
        <v>437</v>
      </c>
      <c r="B16" s="812">
        <f aca="true" t="shared" si="3" ref="B16:J16">SUM(B10:B15)</f>
        <v>440631490</v>
      </c>
      <c r="C16" s="812">
        <f t="shared" si="3"/>
        <v>1281122774</v>
      </c>
      <c r="D16" s="812">
        <f t="shared" si="3"/>
        <v>1721754264</v>
      </c>
      <c r="E16" s="812">
        <f t="shared" si="3"/>
        <v>833525511</v>
      </c>
      <c r="F16" s="812">
        <f t="shared" si="3"/>
        <v>196783026</v>
      </c>
      <c r="G16" s="812">
        <f t="shared" si="3"/>
        <v>644470440</v>
      </c>
      <c r="H16" s="812">
        <f t="shared" si="3"/>
        <v>24250000</v>
      </c>
      <c r="I16" s="812">
        <f t="shared" si="3"/>
        <v>22725287</v>
      </c>
      <c r="J16" s="813">
        <f t="shared" si="3"/>
        <v>1721754264</v>
      </c>
    </row>
    <row r="17" spans="3:10" ht="12.75">
      <c r="C17" s="482"/>
      <c r="E17" s="482"/>
      <c r="F17" s="482"/>
      <c r="G17" s="482"/>
      <c r="H17" s="482"/>
      <c r="I17" s="482"/>
      <c r="J17" s="482"/>
    </row>
    <row r="25" ht="12.75">
      <c r="J25" s="483"/>
    </row>
  </sheetData>
  <sheetProtection/>
  <mergeCells count="3">
    <mergeCell ref="A7:A9"/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&amp;R25. melléklet a 28/2017.(X.27.)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view="pageLayout" workbookViewId="0" topLeftCell="A1">
      <selection activeCell="D3" sqref="D3"/>
    </sheetView>
  </sheetViews>
  <sheetFormatPr defaultColWidth="10.625" defaultRowHeight="12.75"/>
  <cols>
    <col min="1" max="1" width="10.00390625" style="485" customWidth="1"/>
    <col min="2" max="2" width="37.375" style="485" customWidth="1"/>
    <col min="3" max="3" width="24.875" style="485" customWidth="1"/>
    <col min="4" max="4" width="22.625" style="485" customWidth="1"/>
    <col min="5" max="5" width="11.625" style="485" bestFit="1" customWidth="1"/>
    <col min="6" max="16384" width="10.625" style="485" customWidth="1"/>
  </cols>
  <sheetData>
    <row r="1" spans="1:4" ht="15.75">
      <c r="A1" s="484"/>
      <c r="B1" s="484"/>
      <c r="C1" s="484"/>
      <c r="D1" s="435"/>
    </row>
    <row r="2" spans="1:4" ht="15.75">
      <c r="A2" s="484"/>
      <c r="B2" s="484"/>
      <c r="C2" s="484"/>
      <c r="D2" s="486"/>
    </row>
    <row r="3" spans="1:4" ht="15.75">
      <c r="A3" s="484"/>
      <c r="B3" s="484"/>
      <c r="C3" s="484"/>
      <c r="D3" s="435"/>
    </row>
    <row r="4" spans="1:4" ht="15.75">
      <c r="A4" s="484"/>
      <c r="B4" s="484"/>
      <c r="C4" s="484"/>
      <c r="D4" s="436"/>
    </row>
    <row r="5" spans="1:4" ht="15.75">
      <c r="A5" s="484"/>
      <c r="B5" s="484"/>
      <c r="C5" s="484"/>
      <c r="D5" s="436"/>
    </row>
    <row r="6" spans="1:4" ht="15.75">
      <c r="A6" s="484"/>
      <c r="B6" s="484"/>
      <c r="C6" s="484"/>
      <c r="D6" s="437"/>
    </row>
    <row r="7" spans="1:4" ht="19.5">
      <c r="A7" s="487" t="s">
        <v>409</v>
      </c>
      <c r="B7" s="487"/>
      <c r="C7" s="487"/>
      <c r="D7" s="438"/>
    </row>
    <row r="8" spans="1:4" ht="19.5">
      <c r="A8" s="487" t="s">
        <v>625</v>
      </c>
      <c r="B8" s="487"/>
      <c r="C8" s="487"/>
      <c r="D8" s="438"/>
    </row>
    <row r="9" spans="1:4" ht="19.5">
      <c r="A9" s="487"/>
      <c r="B9" s="487"/>
      <c r="C9" s="487"/>
      <c r="D9" s="438"/>
    </row>
    <row r="10" spans="1:4" ht="19.5">
      <c r="A10" s="487"/>
      <c r="B10" s="487"/>
      <c r="C10" s="487"/>
      <c r="D10" s="438"/>
    </row>
    <row r="11" spans="1:4" ht="19.5">
      <c r="A11" s="487"/>
      <c r="B11" s="487"/>
      <c r="C11" s="487"/>
      <c r="D11" s="438"/>
    </row>
    <row r="12" spans="1:4" ht="19.5">
      <c r="A12" s="487"/>
      <c r="B12" s="487"/>
      <c r="C12" s="487"/>
      <c r="D12" s="438"/>
    </row>
    <row r="13" spans="1:4" ht="16.5" thickBot="1">
      <c r="A13" s="484"/>
      <c r="B13" s="484"/>
      <c r="C13" s="484"/>
      <c r="D13" s="439" t="s">
        <v>19</v>
      </c>
    </row>
    <row r="14" spans="1:4" s="491" customFormat="1" ht="33" customHeight="1" thickBot="1">
      <c r="A14" s="488" t="s">
        <v>84</v>
      </c>
      <c r="B14" s="489"/>
      <c r="C14" s="490"/>
      <c r="D14" s="440" t="s">
        <v>77</v>
      </c>
    </row>
    <row r="15" spans="1:6" ht="15.75">
      <c r="A15" s="441" t="s">
        <v>81</v>
      </c>
      <c r="B15" s="442"/>
      <c r="C15" s="443"/>
      <c r="D15" s="816">
        <v>19789869</v>
      </c>
      <c r="E15" s="492"/>
      <c r="F15" s="493"/>
    </row>
    <row r="16" spans="1:6" ht="15.75">
      <c r="A16" s="444" t="s">
        <v>411</v>
      </c>
      <c r="B16" s="445"/>
      <c r="C16" s="446"/>
      <c r="D16" s="447"/>
      <c r="E16" s="493"/>
      <c r="F16" s="493"/>
    </row>
    <row r="17" spans="1:6" ht="12.75">
      <c r="A17" s="494" t="s">
        <v>20</v>
      </c>
      <c r="B17" s="495"/>
      <c r="C17" s="496"/>
      <c r="D17" s="448">
        <v>178000</v>
      </c>
      <c r="E17" s="497"/>
      <c r="F17" s="449"/>
    </row>
    <row r="18" spans="1:6" ht="12.75">
      <c r="A18" s="818" t="s">
        <v>412</v>
      </c>
      <c r="B18" s="817"/>
      <c r="C18" s="496"/>
      <c r="D18" s="448">
        <f>500000-53709-446291</f>
        <v>0</v>
      </c>
      <c r="E18" s="450"/>
      <c r="F18" s="449"/>
    </row>
    <row r="19" spans="1:6" ht="12.75">
      <c r="A19" s="818" t="s">
        <v>723</v>
      </c>
      <c r="B19" s="817"/>
      <c r="C19" s="496"/>
      <c r="D19" s="448">
        <f>5200000-200000</f>
        <v>5000000</v>
      </c>
      <c r="E19" s="450"/>
      <c r="F19" s="449"/>
    </row>
    <row r="20" spans="1:6" ht="12.75">
      <c r="A20" s="822" t="s">
        <v>724</v>
      </c>
      <c r="B20" s="819"/>
      <c r="C20" s="496"/>
      <c r="D20" s="823">
        <v>5739000</v>
      </c>
      <c r="E20" s="450"/>
      <c r="F20" s="451"/>
    </row>
    <row r="21" spans="1:6" ht="12.75">
      <c r="A21" s="818" t="s">
        <v>579</v>
      </c>
      <c r="B21" s="817"/>
      <c r="C21" s="496"/>
      <c r="D21" s="448">
        <v>1005000</v>
      </c>
      <c r="E21" s="450"/>
      <c r="F21" s="451"/>
    </row>
    <row r="22" spans="1:6" ht="12.75">
      <c r="A22" s="818" t="s">
        <v>661</v>
      </c>
      <c r="B22" s="817"/>
      <c r="C22" s="496"/>
      <c r="D22" s="448">
        <v>4075000</v>
      </c>
      <c r="E22" s="450"/>
      <c r="F22" s="451"/>
    </row>
    <row r="23" spans="1:6" ht="12.75">
      <c r="A23" s="498" t="s">
        <v>438</v>
      </c>
      <c r="B23" s="817"/>
      <c r="C23" s="615"/>
      <c r="D23" s="448">
        <f>34480400-3716991-10214202</f>
        <v>20549207</v>
      </c>
      <c r="E23" s="450"/>
      <c r="F23" s="449"/>
    </row>
    <row r="24" spans="1:6" ht="12.75">
      <c r="A24" s="498" t="s">
        <v>21</v>
      </c>
      <c r="B24" s="817"/>
      <c r="C24" s="499"/>
      <c r="D24" s="448">
        <v>200000</v>
      </c>
      <c r="E24" s="450"/>
      <c r="F24" s="449"/>
    </row>
    <row r="25" spans="1:6" ht="12.75">
      <c r="A25" s="890" t="s">
        <v>602</v>
      </c>
      <c r="B25" s="891"/>
      <c r="C25" s="496"/>
      <c r="D25" s="448">
        <v>304000</v>
      </c>
      <c r="E25" s="450"/>
      <c r="F25" s="449"/>
    </row>
    <row r="26" spans="1:6" ht="12.75">
      <c r="A26" s="820" t="s">
        <v>18</v>
      </c>
      <c r="B26" s="821"/>
      <c r="C26" s="496"/>
      <c r="D26" s="448">
        <f>7545154-7180341-15563-349250</f>
        <v>0</v>
      </c>
      <c r="E26" s="450"/>
      <c r="F26" s="449"/>
    </row>
    <row r="27" spans="1:6" ht="12.75">
      <c r="A27" s="820" t="s">
        <v>22</v>
      </c>
      <c r="B27" s="821"/>
      <c r="C27" s="615"/>
      <c r="D27" s="448">
        <f>3797300-3594056</f>
        <v>203244</v>
      </c>
      <c r="E27" s="450"/>
      <c r="F27" s="449"/>
    </row>
    <row r="28" spans="1:6" ht="12.75">
      <c r="A28" s="820" t="s">
        <v>23</v>
      </c>
      <c r="B28" s="821"/>
      <c r="C28" s="496"/>
      <c r="D28" s="448">
        <f>400000-200000</f>
        <v>200000</v>
      </c>
      <c r="E28" s="450"/>
      <c r="F28" s="449"/>
    </row>
    <row r="29" spans="1:6" ht="12.75">
      <c r="A29" s="820" t="s">
        <v>650</v>
      </c>
      <c r="B29" s="821"/>
      <c r="C29" s="496"/>
      <c r="D29" s="448">
        <f>500000-370002</f>
        <v>129998</v>
      </c>
      <c r="E29" s="450"/>
      <c r="F29" s="449"/>
    </row>
    <row r="30" spans="1:6" ht="12.75">
      <c r="A30" s="820" t="s">
        <v>694</v>
      </c>
      <c r="B30" s="821"/>
      <c r="C30" s="496"/>
      <c r="D30" s="448">
        <f>37900000-17900650</f>
        <v>19999350</v>
      </c>
      <c r="E30" s="450"/>
      <c r="F30" s="449"/>
    </row>
    <row r="31" spans="1:6" ht="12.75">
      <c r="A31" s="820" t="s">
        <v>695</v>
      </c>
      <c r="B31" s="821"/>
      <c r="C31" s="496"/>
      <c r="D31" s="448">
        <v>3779393</v>
      </c>
      <c r="E31" s="450"/>
      <c r="F31" s="449"/>
    </row>
    <row r="32" spans="1:6" ht="12.75">
      <c r="A32" s="820" t="s">
        <v>725</v>
      </c>
      <c r="B32" s="821"/>
      <c r="C32" s="496"/>
      <c r="D32" s="448">
        <v>5866130</v>
      </c>
      <c r="E32" s="450"/>
      <c r="F32" s="449"/>
    </row>
    <row r="33" spans="1:4" ht="15.75">
      <c r="A33" s="444" t="s">
        <v>413</v>
      </c>
      <c r="B33" s="452"/>
      <c r="C33" s="453"/>
      <c r="D33" s="454">
        <f>SUM(D17:D32)</f>
        <v>67228322</v>
      </c>
    </row>
    <row r="34" spans="1:4" ht="15.75">
      <c r="A34" s="444"/>
      <c r="B34" s="452"/>
      <c r="C34" s="453"/>
      <c r="D34" s="453"/>
    </row>
    <row r="35" spans="1:4" ht="16.5" thickBot="1">
      <c r="A35" s="455" t="s">
        <v>414</v>
      </c>
      <c r="B35" s="456"/>
      <c r="C35" s="457"/>
      <c r="D35" s="458">
        <f>SUM(D15,D33)</f>
        <v>87018191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&amp;R26. melléklet a 28/2017.(X.27.)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4"/>
  <sheetViews>
    <sheetView view="pageLayout" workbookViewId="0" topLeftCell="B1">
      <selection activeCell="A1" sqref="A1:D1"/>
    </sheetView>
  </sheetViews>
  <sheetFormatPr defaultColWidth="9.00390625" defaultRowHeight="12.75"/>
  <cols>
    <col min="1" max="1" width="9.00390625" style="361" customWidth="1"/>
    <col min="2" max="2" width="75.875" style="361" customWidth="1"/>
    <col min="3" max="4" width="15.50390625" style="361" customWidth="1"/>
    <col min="5" max="5" width="14.375" style="339" hidden="1" customWidth="1"/>
    <col min="6" max="6" width="12.625" style="339" hidden="1" customWidth="1"/>
    <col min="7" max="7" width="14.375" style="339" hidden="1" customWidth="1"/>
    <col min="8" max="16384" width="9.375" style="339" customWidth="1"/>
  </cols>
  <sheetData>
    <row r="1" spans="1:4" ht="15.75" customHeight="1">
      <c r="A1" s="841" t="s">
        <v>37</v>
      </c>
      <c r="B1" s="841"/>
      <c r="C1" s="841"/>
      <c r="D1" s="841"/>
    </row>
    <row r="2" spans="1:4" ht="15.75" customHeight="1" thickBot="1">
      <c r="A2" s="842" t="s">
        <v>162</v>
      </c>
      <c r="B2" s="842"/>
      <c r="C2" s="338"/>
      <c r="D2" s="389" t="str">
        <f>'[1]10.sz.mell'!G8</f>
        <v>Forintban!</v>
      </c>
    </row>
    <row r="3" spans="1:4" ht="37.5" customHeight="1" thickBot="1">
      <c r="A3" s="22" t="s">
        <v>91</v>
      </c>
      <c r="B3" s="23" t="s">
        <v>39</v>
      </c>
      <c r="C3" s="390" t="s">
        <v>24</v>
      </c>
      <c r="D3" s="35" t="s">
        <v>618</v>
      </c>
    </row>
    <row r="4" spans="1:4" s="340" customFormat="1" ht="12" customHeight="1" thickBot="1">
      <c r="A4" s="31" t="s">
        <v>491</v>
      </c>
      <c r="B4" s="32" t="s">
        <v>492</v>
      </c>
      <c r="C4" s="391" t="s">
        <v>546</v>
      </c>
      <c r="D4" s="242" t="s">
        <v>493</v>
      </c>
    </row>
    <row r="5" spans="1:7" s="343" customFormat="1" ht="12" customHeight="1" thickBot="1">
      <c r="A5" s="19" t="s">
        <v>40</v>
      </c>
      <c r="B5" s="20" t="s">
        <v>224</v>
      </c>
      <c r="C5" s="392">
        <f>+C6+C7+C8+C9+C10+C11</f>
        <v>1055342000</v>
      </c>
      <c r="D5" s="162">
        <f>SUM(D6:D11)</f>
        <v>1214441231</v>
      </c>
      <c r="E5" s="342">
        <f>+E6+E7+E8+E9+E10+E11</f>
        <v>1190343400</v>
      </c>
      <c r="F5" s="162">
        <f>+F6+F7+F8+F9+F10+F11</f>
        <v>0</v>
      </c>
      <c r="G5" s="162">
        <f>+G6+G7+G8+G9+G10+G11</f>
        <v>0</v>
      </c>
    </row>
    <row r="6" spans="1:7" s="343" customFormat="1" ht="12" customHeight="1">
      <c r="A6" s="14" t="s">
        <v>116</v>
      </c>
      <c r="B6" s="248" t="s">
        <v>225</v>
      </c>
      <c r="C6" s="393">
        <v>231988000</v>
      </c>
      <c r="D6" s="382">
        <f>SUM(E6:G6)+905743</f>
        <v>228418282</v>
      </c>
      <c r="E6" s="349">
        <v>227512539</v>
      </c>
      <c r="F6" s="286"/>
      <c r="G6" s="286"/>
    </row>
    <row r="7" spans="1:7" s="343" customFormat="1" ht="12" customHeight="1">
      <c r="A7" s="13" t="s">
        <v>117</v>
      </c>
      <c r="B7" s="249" t="s">
        <v>226</v>
      </c>
      <c r="C7" s="394">
        <v>217051000</v>
      </c>
      <c r="D7" s="383">
        <f>SUM(E7:G7)+10461768-4721982-4278000</f>
        <v>219569080</v>
      </c>
      <c r="E7" s="318">
        <v>218107294</v>
      </c>
      <c r="F7" s="166"/>
      <c r="G7" s="166"/>
    </row>
    <row r="8" spans="1:7" s="343" customFormat="1" ht="12" customHeight="1">
      <c r="A8" s="13" t="s">
        <v>118</v>
      </c>
      <c r="B8" s="249" t="s">
        <v>227</v>
      </c>
      <c r="C8" s="394">
        <v>567601000</v>
      </c>
      <c r="D8" s="383">
        <f>SUM(E8:G8)-35761000-1921230</f>
        <v>503231835</v>
      </c>
      <c r="E8" s="318">
        <f>121200000+67844165+118423160+15562200+177597260+4526280+11511000+24250000</f>
        <v>540914065</v>
      </c>
      <c r="F8" s="166"/>
      <c r="G8" s="166"/>
    </row>
    <row r="9" spans="1:7" s="343" customFormat="1" ht="12" customHeight="1">
      <c r="A9" s="13" t="s">
        <v>119</v>
      </c>
      <c r="B9" s="249" t="s">
        <v>228</v>
      </c>
      <c r="C9" s="394">
        <v>26943000</v>
      </c>
      <c r="D9" s="383">
        <f>SUM(E9:G9)-4412740+4412740+1038248</f>
        <v>31342308</v>
      </c>
      <c r="E9" s="318">
        <f>4412740+15262320+10629000</f>
        <v>30304060</v>
      </c>
      <c r="F9" s="166"/>
      <c r="G9" s="166"/>
    </row>
    <row r="10" spans="1:7" s="343" customFormat="1" ht="12" customHeight="1">
      <c r="A10" s="13" t="s">
        <v>159</v>
      </c>
      <c r="B10" s="158" t="s">
        <v>494</v>
      </c>
      <c r="C10" s="394">
        <v>10020000</v>
      </c>
      <c r="D10" s="383">
        <f>SUM(E10:G10)+23885805+49094027+4501192-4412740-15000000+306000</f>
        <v>231879726</v>
      </c>
      <c r="E10" s="318">
        <f>3551000+1060845+168707597+58000+128000</f>
        <v>173505442</v>
      </c>
      <c r="F10" s="166"/>
      <c r="G10" s="166"/>
    </row>
    <row r="11" spans="1:7" s="343" customFormat="1" ht="12" customHeight="1" thickBot="1">
      <c r="A11" s="15" t="s">
        <v>120</v>
      </c>
      <c r="B11" s="159" t="s">
        <v>495</v>
      </c>
      <c r="C11" s="394">
        <v>1739000</v>
      </c>
      <c r="D11" s="384">
        <f>SUM(E11:G11)</f>
        <v>0</v>
      </c>
      <c r="E11" s="149"/>
      <c r="F11" s="163"/>
      <c r="G11" s="163"/>
    </row>
    <row r="12" spans="1:7" s="343" customFormat="1" ht="12" customHeight="1" thickBot="1">
      <c r="A12" s="19" t="s">
        <v>41</v>
      </c>
      <c r="B12" s="157" t="s">
        <v>229</v>
      </c>
      <c r="C12" s="392">
        <f>+C13+C14+C15+C16+C17</f>
        <v>781978000</v>
      </c>
      <c r="D12" s="162">
        <f>SUM(D13:D17)</f>
        <v>332366323</v>
      </c>
      <c r="E12" s="342">
        <f>+E13+E14+E15+E16+E17</f>
        <v>-145452435</v>
      </c>
      <c r="F12" s="162">
        <f>+F13+F14+F15+F16+F17</f>
        <v>0</v>
      </c>
      <c r="G12" s="162">
        <f>+G13+G14+G15+G16+G17</f>
        <v>5485000</v>
      </c>
    </row>
    <row r="13" spans="1:7" s="343" customFormat="1" ht="12" customHeight="1">
      <c r="A13" s="14" t="s">
        <v>122</v>
      </c>
      <c r="B13" s="248" t="s">
        <v>230</v>
      </c>
      <c r="C13" s="393"/>
      <c r="D13" s="243">
        <f>SUM(E13:G13)</f>
        <v>0</v>
      </c>
      <c r="E13" s="344"/>
      <c r="F13" s="164"/>
      <c r="G13" s="164"/>
    </row>
    <row r="14" spans="1:7" s="343" customFormat="1" ht="12" customHeight="1">
      <c r="A14" s="13" t="s">
        <v>123</v>
      </c>
      <c r="B14" s="249" t="s">
        <v>231</v>
      </c>
      <c r="C14" s="394"/>
      <c r="D14" s="407">
        <f>SUM(E14:G14)</f>
        <v>0</v>
      </c>
      <c r="E14" s="149"/>
      <c r="F14" s="163"/>
      <c r="G14" s="163"/>
    </row>
    <row r="15" spans="1:7" s="343" customFormat="1" ht="12" customHeight="1">
      <c r="A15" s="13" t="s">
        <v>124</v>
      </c>
      <c r="B15" s="249" t="s">
        <v>400</v>
      </c>
      <c r="C15" s="394"/>
      <c r="D15" s="383">
        <f>SUM(E15:G15)</f>
        <v>0</v>
      </c>
      <c r="E15" s="149"/>
      <c r="F15" s="163"/>
      <c r="G15" s="163"/>
    </row>
    <row r="16" spans="1:7" s="343" customFormat="1" ht="12" customHeight="1">
      <c r="A16" s="13" t="s">
        <v>125</v>
      </c>
      <c r="B16" s="249" t="s">
        <v>401</v>
      </c>
      <c r="C16" s="394"/>
      <c r="D16" s="383">
        <f>SUM(E16:G16)</f>
        <v>0</v>
      </c>
      <c r="E16" s="149"/>
      <c r="F16" s="163"/>
      <c r="G16" s="163"/>
    </row>
    <row r="17" spans="1:7" s="343" customFormat="1" ht="12" customHeight="1">
      <c r="A17" s="13" t="s">
        <v>126</v>
      </c>
      <c r="B17" s="249" t="s">
        <v>232</v>
      </c>
      <c r="C17" s="394">
        <v>781978000</v>
      </c>
      <c r="D17" s="585">
        <f>SUM(E17:G17)+326152588+94906504+10325405+7215044+33734217</f>
        <v>332366323</v>
      </c>
      <c r="E17" s="324">
        <f>2285000+210000+110446000+65342000-323735435</f>
        <v>-145452435</v>
      </c>
      <c r="F17" s="320"/>
      <c r="G17" s="166">
        <v>5485000</v>
      </c>
    </row>
    <row r="18" spans="1:7" s="343" customFormat="1" ht="12" customHeight="1" thickBot="1">
      <c r="A18" s="15" t="s">
        <v>135</v>
      </c>
      <c r="B18" s="159" t="s">
        <v>233</v>
      </c>
      <c r="C18" s="395"/>
      <c r="D18" s="384">
        <f>374405+16502729</f>
        <v>16877134</v>
      </c>
      <c r="E18" s="323"/>
      <c r="F18" s="237"/>
      <c r="G18" s="237"/>
    </row>
    <row r="19" spans="1:7" s="343" customFormat="1" ht="12" customHeight="1" thickBot="1">
      <c r="A19" s="19" t="s">
        <v>42</v>
      </c>
      <c r="B19" s="20" t="s">
        <v>234</v>
      </c>
      <c r="C19" s="392">
        <f>+C20+C21+C22+C23+C24</f>
        <v>37234000</v>
      </c>
      <c r="D19" s="162">
        <f>SUM(D20:D24)</f>
        <v>532260298</v>
      </c>
      <c r="E19" s="342">
        <f>+E20+E21+E22+E23+E24</f>
        <v>-11381976</v>
      </c>
      <c r="F19" s="162">
        <f>+F20+F21+F22+F23+F24</f>
        <v>0</v>
      </c>
      <c r="G19" s="162">
        <f>+G20+G21+G22+G23+G24</f>
        <v>0</v>
      </c>
    </row>
    <row r="20" spans="1:7" s="343" customFormat="1" ht="12" customHeight="1">
      <c r="A20" s="14" t="s">
        <v>105</v>
      </c>
      <c r="B20" s="248" t="s">
        <v>235</v>
      </c>
      <c r="C20" s="393">
        <v>20895000</v>
      </c>
      <c r="D20" s="586">
        <f>SUM(E20:G20)+15690532</f>
        <v>15690532</v>
      </c>
      <c r="E20" s="371"/>
      <c r="F20" s="316"/>
      <c r="G20" s="316"/>
    </row>
    <row r="21" spans="1:7" s="343" customFormat="1" ht="12" customHeight="1">
      <c r="A21" s="13" t="s">
        <v>106</v>
      </c>
      <c r="B21" s="249" t="s">
        <v>236</v>
      </c>
      <c r="C21" s="394"/>
      <c r="D21" s="407">
        <f>SUM(E21:G21)</f>
        <v>0</v>
      </c>
      <c r="E21" s="318"/>
      <c r="F21" s="166"/>
      <c r="G21" s="166"/>
    </row>
    <row r="22" spans="1:7" s="343" customFormat="1" ht="12" customHeight="1">
      <c r="A22" s="13" t="s">
        <v>107</v>
      </c>
      <c r="B22" s="249" t="s">
        <v>402</v>
      </c>
      <c r="C22" s="394"/>
      <c r="D22" s="407">
        <f>SUM(E22:G22)</f>
        <v>0</v>
      </c>
      <c r="E22" s="318"/>
      <c r="F22" s="166"/>
      <c r="G22" s="166"/>
    </row>
    <row r="23" spans="1:7" s="343" customFormat="1" ht="12" customHeight="1">
      <c r="A23" s="13" t="s">
        <v>108</v>
      </c>
      <c r="B23" s="249" t="s">
        <v>403</v>
      </c>
      <c r="C23" s="394"/>
      <c r="D23" s="383">
        <f>SUM(E23:G23)</f>
        <v>0</v>
      </c>
      <c r="E23" s="318"/>
      <c r="F23" s="166"/>
      <c r="G23" s="166"/>
    </row>
    <row r="24" spans="1:7" s="343" customFormat="1" ht="12" customHeight="1">
      <c r="A24" s="13" t="s">
        <v>171</v>
      </c>
      <c r="B24" s="249" t="s">
        <v>237</v>
      </c>
      <c r="C24" s="394">
        <v>16339000</v>
      </c>
      <c r="D24" s="585">
        <f>SUM(E24:G24)+15179276+93705029+216916507+202150930</f>
        <v>516569766</v>
      </c>
      <c r="E24" s="318">
        <f>3797300-15179276</f>
        <v>-11381976</v>
      </c>
      <c r="F24" s="166"/>
      <c r="G24" s="166"/>
    </row>
    <row r="25" spans="1:7" s="343" customFormat="1" ht="12" customHeight="1" thickBot="1">
      <c r="A25" s="15" t="s">
        <v>172</v>
      </c>
      <c r="B25" s="250" t="s">
        <v>238</v>
      </c>
      <c r="C25" s="395"/>
      <c r="D25" s="384">
        <f>SUM(E25:G25)+91545029+214128350+202150930</f>
        <v>511621609</v>
      </c>
      <c r="E25" s="323">
        <v>3797300</v>
      </c>
      <c r="F25" s="237"/>
      <c r="G25" s="237"/>
    </row>
    <row r="26" spans="1:7" s="343" customFormat="1" ht="12" customHeight="1" thickBot="1">
      <c r="A26" s="19" t="s">
        <v>173</v>
      </c>
      <c r="B26" s="20" t="s">
        <v>239</v>
      </c>
      <c r="C26" s="396">
        <f>C27+C31+C32+C33</f>
        <v>363460000</v>
      </c>
      <c r="D26" s="162">
        <f>SUM(D27)+SUM(D30:D33)</f>
        <v>356490000</v>
      </c>
      <c r="E26" s="346">
        <f>+E27+E31+E32+E33</f>
        <v>319390000</v>
      </c>
      <c r="F26" s="167">
        <f>+F27+F31+F32+F33</f>
        <v>0</v>
      </c>
      <c r="G26" s="167">
        <f>+G27+G31+G32+G33</f>
        <v>0</v>
      </c>
    </row>
    <row r="27" spans="1:7" s="343" customFormat="1" ht="12" customHeight="1">
      <c r="A27" s="14" t="s">
        <v>240</v>
      </c>
      <c r="B27" s="248" t="s">
        <v>25</v>
      </c>
      <c r="C27" s="393">
        <f>C28+C29+C30</f>
        <v>320640000</v>
      </c>
      <c r="D27" s="243">
        <f>SUM(D28:D29)</f>
        <v>317830000</v>
      </c>
      <c r="E27" s="372">
        <f>SUM(E28:E30)</f>
        <v>282830000</v>
      </c>
      <c r="F27" s="243"/>
      <c r="G27" s="243"/>
    </row>
    <row r="28" spans="1:7" s="343" customFormat="1" ht="12" customHeight="1">
      <c r="A28" s="13" t="s">
        <v>243</v>
      </c>
      <c r="B28" s="249" t="s">
        <v>27</v>
      </c>
      <c r="C28" s="394">
        <v>83000000</v>
      </c>
      <c r="D28" s="407">
        <f>SUM(E28:G28)</f>
        <v>78990000</v>
      </c>
      <c r="E28" s="149">
        <f>8990000+70000000</f>
        <v>78990000</v>
      </c>
      <c r="F28" s="163"/>
      <c r="G28" s="163"/>
    </row>
    <row r="29" spans="1:7" s="343" customFormat="1" ht="12" customHeight="1">
      <c r="A29" s="13" t="s">
        <v>244</v>
      </c>
      <c r="B29" s="249" t="s">
        <v>595</v>
      </c>
      <c r="C29" s="394">
        <v>237500000</v>
      </c>
      <c r="D29" s="383">
        <f>SUM(E29:G29)+35000000</f>
        <v>238840000</v>
      </c>
      <c r="E29" s="149">
        <v>203840000</v>
      </c>
      <c r="F29" s="163"/>
      <c r="G29" s="163"/>
    </row>
    <row r="30" spans="1:7" s="343" customFormat="1" ht="12" customHeight="1">
      <c r="A30" s="13" t="s">
        <v>245</v>
      </c>
      <c r="B30" s="249" t="s">
        <v>26</v>
      </c>
      <c r="C30" s="394">
        <v>140000</v>
      </c>
      <c r="D30" s="407">
        <f>SUM(E30:G30)</f>
        <v>0</v>
      </c>
      <c r="E30" s="318"/>
      <c r="F30" s="166"/>
      <c r="G30" s="166"/>
    </row>
    <row r="31" spans="1:7" s="343" customFormat="1" ht="12" customHeight="1">
      <c r="A31" s="13" t="s">
        <v>594</v>
      </c>
      <c r="B31" s="249" t="s">
        <v>248</v>
      </c>
      <c r="C31" s="394">
        <v>28200000</v>
      </c>
      <c r="D31" s="407">
        <f>SUM(E31:G31)</f>
        <v>27000000</v>
      </c>
      <c r="E31" s="149">
        <f>27000000</f>
        <v>27000000</v>
      </c>
      <c r="F31" s="163"/>
      <c r="G31" s="163"/>
    </row>
    <row r="32" spans="1:7" s="343" customFormat="1" ht="12" customHeight="1">
      <c r="A32" s="13" t="s">
        <v>614</v>
      </c>
      <c r="B32" s="249" t="s">
        <v>249</v>
      </c>
      <c r="C32" s="394">
        <v>5620000</v>
      </c>
      <c r="D32" s="407">
        <f>SUM(E32:G32)-4000000</f>
        <v>60000</v>
      </c>
      <c r="E32" s="149">
        <v>4060000</v>
      </c>
      <c r="F32" s="163"/>
      <c r="G32" s="163"/>
    </row>
    <row r="33" spans="1:7" s="343" customFormat="1" ht="12" customHeight="1" thickBot="1">
      <c r="A33" s="15" t="s">
        <v>615</v>
      </c>
      <c r="B33" s="250" t="s">
        <v>250</v>
      </c>
      <c r="C33" s="395">
        <v>9000000</v>
      </c>
      <c r="D33" s="384">
        <f>SUM(E33:G33)+4000000+2100000</f>
        <v>11600000</v>
      </c>
      <c r="E33" s="323">
        <v>5500000</v>
      </c>
      <c r="F33" s="237"/>
      <c r="G33" s="237"/>
    </row>
    <row r="34" spans="1:7" s="343" customFormat="1" ht="12" customHeight="1" thickBot="1">
      <c r="A34" s="19" t="s">
        <v>44</v>
      </c>
      <c r="B34" s="20" t="s">
        <v>499</v>
      </c>
      <c r="C34" s="392">
        <f>SUM(C35:C45)</f>
        <v>457659000</v>
      </c>
      <c r="D34" s="162">
        <f>SUM(D35:D45)</f>
        <v>464171041</v>
      </c>
      <c r="E34" s="342">
        <f>SUM(E35:E45)</f>
        <v>54395907</v>
      </c>
      <c r="F34" s="162">
        <f>SUM(F35:F45)</f>
        <v>9416500</v>
      </c>
      <c r="G34" s="162">
        <f>SUM(G35:G45)</f>
        <v>389838178</v>
      </c>
    </row>
    <row r="35" spans="1:7" s="343" customFormat="1" ht="12" customHeight="1">
      <c r="A35" s="14" t="s">
        <v>109</v>
      </c>
      <c r="B35" s="248" t="s">
        <v>253</v>
      </c>
      <c r="C35" s="393">
        <v>13400000</v>
      </c>
      <c r="D35" s="586">
        <f>SUM(E35:G35)+5500000+275371-130000</f>
        <v>15790849</v>
      </c>
      <c r="E35" s="349">
        <f>3937000+4000000+5000000-2941522</f>
        <v>9995478</v>
      </c>
      <c r="F35" s="286"/>
      <c r="G35" s="286">
        <v>150000</v>
      </c>
    </row>
    <row r="36" spans="1:7" s="343" customFormat="1" ht="12" customHeight="1">
      <c r="A36" s="13" t="s">
        <v>110</v>
      </c>
      <c r="B36" s="249" t="s">
        <v>254</v>
      </c>
      <c r="C36" s="394">
        <v>98371000</v>
      </c>
      <c r="D36" s="585">
        <f>SUM(E36:G36)+1813568-195228+4055000-5885856</f>
        <v>94907686</v>
      </c>
      <c r="E36" s="318">
        <f>100000+12004000+160000+7128864</f>
        <v>19392864</v>
      </c>
      <c r="F36" s="166">
        <v>7533500</v>
      </c>
      <c r="G36" s="286">
        <v>68193838</v>
      </c>
    </row>
    <row r="37" spans="1:7" s="343" customFormat="1" ht="12" customHeight="1">
      <c r="A37" s="13" t="s">
        <v>111</v>
      </c>
      <c r="B37" s="249" t="s">
        <v>255</v>
      </c>
      <c r="C37" s="394">
        <v>95710000</v>
      </c>
      <c r="D37" s="383">
        <f>SUM(E37:G37)+1061599-195228+364027-3376000-189000-42520</f>
        <v>93246218</v>
      </c>
      <c r="E37" s="318">
        <f>8458000+947000</f>
        <v>9405000</v>
      </c>
      <c r="F37" s="166">
        <v>500000</v>
      </c>
      <c r="G37" s="286">
        <v>85718340</v>
      </c>
    </row>
    <row r="38" spans="1:7" s="343" customFormat="1" ht="12" customHeight="1">
      <c r="A38" s="13" t="s">
        <v>175</v>
      </c>
      <c r="B38" s="249" t="s">
        <v>256</v>
      </c>
      <c r="C38" s="394">
        <v>376000</v>
      </c>
      <c r="D38" s="383">
        <f>SUM(E38:G38)</f>
        <v>430000</v>
      </c>
      <c r="E38" s="318">
        <f>430000</f>
        <v>430000</v>
      </c>
      <c r="F38" s="166"/>
      <c r="G38" s="286"/>
    </row>
    <row r="39" spans="1:7" s="343" customFormat="1" ht="12" customHeight="1">
      <c r="A39" s="13" t="s">
        <v>176</v>
      </c>
      <c r="B39" s="249" t="s">
        <v>257</v>
      </c>
      <c r="C39" s="394">
        <v>182275000</v>
      </c>
      <c r="D39" s="383">
        <f>SUM(E39:G39)</f>
        <v>182811402</v>
      </c>
      <c r="E39" s="318"/>
      <c r="F39" s="166"/>
      <c r="G39" s="286">
        <v>182811402</v>
      </c>
    </row>
    <row r="40" spans="1:7" s="343" customFormat="1" ht="12" customHeight="1">
      <c r="A40" s="13" t="s">
        <v>177</v>
      </c>
      <c r="B40" s="249" t="s">
        <v>258</v>
      </c>
      <c r="C40" s="394">
        <v>43482000</v>
      </c>
      <c r="D40" s="585">
        <f>SUM(E40:G40)+270000+1485000+976640+195228+195228+246410+2609072+189000+42520</f>
        <v>53351261</v>
      </c>
      <c r="E40" s="318">
        <f>1063000+3242000+5853000+44000+378000+600000+1350000+1408565</f>
        <v>13938565</v>
      </c>
      <c r="F40" s="166">
        <v>1283000</v>
      </c>
      <c r="G40" s="286">
        <v>31920598</v>
      </c>
    </row>
    <row r="41" spans="1:7" s="343" customFormat="1" ht="12" customHeight="1">
      <c r="A41" s="13" t="s">
        <v>178</v>
      </c>
      <c r="B41" s="249" t="s">
        <v>259</v>
      </c>
      <c r="C41" s="394">
        <v>22424000</v>
      </c>
      <c r="D41" s="585">
        <f>SUM(E41:G41)-1286000+1924793</f>
        <v>21672793</v>
      </c>
      <c r="E41" s="318"/>
      <c r="F41" s="166"/>
      <c r="G41" s="286">
        <v>21034000</v>
      </c>
    </row>
    <row r="42" spans="1:7" s="343" customFormat="1" ht="12" customHeight="1">
      <c r="A42" s="13" t="s">
        <v>179</v>
      </c>
      <c r="B42" s="249" t="s">
        <v>616</v>
      </c>
      <c r="C42" s="394">
        <v>21000</v>
      </c>
      <c r="D42" s="383">
        <f>SUM(E42:G42)</f>
        <v>40000</v>
      </c>
      <c r="E42" s="318">
        <v>30000</v>
      </c>
      <c r="F42" s="166"/>
      <c r="G42" s="286">
        <v>10000</v>
      </c>
    </row>
    <row r="43" spans="1:7" s="343" customFormat="1" ht="12" customHeight="1">
      <c r="A43" s="13" t="s">
        <v>251</v>
      </c>
      <c r="B43" s="249" t="s">
        <v>261</v>
      </c>
      <c r="C43" s="397"/>
      <c r="D43" s="383">
        <f>SUM(E43:G43)</f>
        <v>0</v>
      </c>
      <c r="E43" s="318"/>
      <c r="F43" s="166"/>
      <c r="G43" s="286"/>
    </row>
    <row r="44" spans="1:7" s="343" customFormat="1" ht="12" customHeight="1">
      <c r="A44" s="15" t="s">
        <v>252</v>
      </c>
      <c r="B44" s="250" t="s">
        <v>500</v>
      </c>
      <c r="C44" s="398">
        <v>500000</v>
      </c>
      <c r="D44" s="383">
        <f>SUM(E44:G44)</f>
        <v>500000</v>
      </c>
      <c r="E44" s="323">
        <f>500000</f>
        <v>500000</v>
      </c>
      <c r="F44" s="237"/>
      <c r="G44" s="286"/>
    </row>
    <row r="45" spans="1:7" s="343" customFormat="1" ht="12" customHeight="1" thickBot="1">
      <c r="A45" s="15" t="s">
        <v>501</v>
      </c>
      <c r="B45" s="159" t="s">
        <v>262</v>
      </c>
      <c r="C45" s="398">
        <v>1100000</v>
      </c>
      <c r="D45" s="384">
        <f>SUM(E45:G45)+200318+416514</f>
        <v>1420832</v>
      </c>
      <c r="E45" s="323">
        <f>704000</f>
        <v>704000</v>
      </c>
      <c r="F45" s="237">
        <v>100000</v>
      </c>
      <c r="G45" s="286"/>
    </row>
    <row r="46" spans="1:7" s="343" customFormat="1" ht="12" customHeight="1" thickBot="1">
      <c r="A46" s="19" t="s">
        <v>45</v>
      </c>
      <c r="B46" s="20" t="s">
        <v>263</v>
      </c>
      <c r="C46" s="392">
        <f>SUM(C47:C51)</f>
        <v>36253000</v>
      </c>
      <c r="D46" s="162">
        <f>SUM(D47:D51)</f>
        <v>47429000</v>
      </c>
      <c r="E46" s="342">
        <f>SUM(E47:E51)</f>
        <v>25179000</v>
      </c>
      <c r="F46" s="162">
        <f>SUM(F47:F51)</f>
        <v>0</v>
      </c>
      <c r="G46" s="162">
        <f>SUM(G47:G51)</f>
        <v>0</v>
      </c>
    </row>
    <row r="47" spans="1:7" s="343" customFormat="1" ht="12" customHeight="1">
      <c r="A47" s="14" t="s">
        <v>112</v>
      </c>
      <c r="B47" s="248" t="s">
        <v>267</v>
      </c>
      <c r="C47" s="399"/>
      <c r="D47" s="243">
        <f>SUM(E47:G47)</f>
        <v>0</v>
      </c>
      <c r="E47" s="349"/>
      <c r="F47" s="286"/>
      <c r="G47" s="286"/>
    </row>
    <row r="48" spans="1:7" s="343" customFormat="1" ht="12" customHeight="1">
      <c r="A48" s="13" t="s">
        <v>113</v>
      </c>
      <c r="B48" s="249" t="s">
        <v>268</v>
      </c>
      <c r="C48" s="397">
        <v>36043000</v>
      </c>
      <c r="D48" s="407">
        <f>SUM(E48:G48)+22000000</f>
        <v>47179000</v>
      </c>
      <c r="E48" s="318">
        <f>25179000</f>
        <v>25179000</v>
      </c>
      <c r="F48" s="166"/>
      <c r="G48" s="166"/>
    </row>
    <row r="49" spans="1:7" s="343" customFormat="1" ht="12" customHeight="1">
      <c r="A49" s="13" t="s">
        <v>264</v>
      </c>
      <c r="B49" s="249" t="s">
        <v>269</v>
      </c>
      <c r="C49" s="397">
        <v>210000</v>
      </c>
      <c r="D49" s="407">
        <v>250000</v>
      </c>
      <c r="E49" s="318"/>
      <c r="F49" s="166"/>
      <c r="G49" s="166"/>
    </row>
    <row r="50" spans="1:7" s="343" customFormat="1" ht="12" customHeight="1">
      <c r="A50" s="13" t="s">
        <v>265</v>
      </c>
      <c r="B50" s="249" t="s">
        <v>270</v>
      </c>
      <c r="C50" s="397"/>
      <c r="D50" s="407">
        <f>SUM(E50:G50)</f>
        <v>0</v>
      </c>
      <c r="E50" s="318"/>
      <c r="F50" s="166"/>
      <c r="G50" s="166"/>
    </row>
    <row r="51" spans="1:7" s="343" customFormat="1" ht="12" customHeight="1" thickBot="1">
      <c r="A51" s="15" t="s">
        <v>266</v>
      </c>
      <c r="B51" s="159" t="s">
        <v>271</v>
      </c>
      <c r="C51" s="398"/>
      <c r="D51" s="408">
        <f>SUM(E51:G51)</f>
        <v>0</v>
      </c>
      <c r="E51" s="323"/>
      <c r="F51" s="237"/>
      <c r="G51" s="237"/>
    </row>
    <row r="52" spans="1:7" s="343" customFormat="1" ht="12" customHeight="1" thickBot="1">
      <c r="A52" s="19" t="s">
        <v>180</v>
      </c>
      <c r="B52" s="20" t="s">
        <v>272</v>
      </c>
      <c r="C52" s="392">
        <f>SUM(C53:C55)</f>
        <v>17053000</v>
      </c>
      <c r="D52" s="162">
        <f>SUM(D53:D55)</f>
        <v>6244433</v>
      </c>
      <c r="E52" s="342">
        <f>SUM(E53:E55)</f>
        <v>6164433</v>
      </c>
      <c r="F52" s="162">
        <f>SUM(F53:F55)</f>
        <v>0</v>
      </c>
      <c r="G52" s="162">
        <f>SUM(G53:G55)</f>
        <v>0</v>
      </c>
    </row>
    <row r="53" spans="1:7" s="343" customFormat="1" ht="12" customHeight="1">
      <c r="A53" s="14" t="s">
        <v>114</v>
      </c>
      <c r="B53" s="248" t="s">
        <v>273</v>
      </c>
      <c r="C53" s="393"/>
      <c r="D53" s="243">
        <f>SUM(E53:G53)</f>
        <v>0</v>
      </c>
      <c r="E53" s="344"/>
      <c r="F53" s="164"/>
      <c r="G53" s="164"/>
    </row>
    <row r="54" spans="1:7" s="343" customFormat="1" ht="12" customHeight="1">
      <c r="A54" s="13" t="s">
        <v>115</v>
      </c>
      <c r="B54" s="249" t="s">
        <v>404</v>
      </c>
      <c r="C54" s="394">
        <v>3366000</v>
      </c>
      <c r="D54" s="407">
        <f>SUM(E54:G54)</f>
        <v>1949000</v>
      </c>
      <c r="E54" s="318">
        <f>383000+1566000</f>
        <v>1949000</v>
      </c>
      <c r="F54" s="166"/>
      <c r="G54" s="166"/>
    </row>
    <row r="55" spans="1:7" s="343" customFormat="1" ht="12" customHeight="1">
      <c r="A55" s="13" t="s">
        <v>276</v>
      </c>
      <c r="B55" s="249" t="s">
        <v>274</v>
      </c>
      <c r="C55" s="394">
        <v>13687000</v>
      </c>
      <c r="D55" s="585">
        <f>SUM(E55:G55)+80000</f>
        <v>4295433</v>
      </c>
      <c r="E55" s="318">
        <f>4075000+140433</f>
        <v>4215433</v>
      </c>
      <c r="F55" s="166"/>
      <c r="G55" s="166"/>
    </row>
    <row r="56" spans="1:7" s="343" customFormat="1" ht="12" customHeight="1" thickBot="1">
      <c r="A56" s="15" t="s">
        <v>277</v>
      </c>
      <c r="B56" s="159" t="s">
        <v>275</v>
      </c>
      <c r="C56" s="395"/>
      <c r="D56" s="408">
        <f>SUM(E56:G56)</f>
        <v>0</v>
      </c>
      <c r="E56" s="150"/>
      <c r="F56" s="165"/>
      <c r="G56" s="165"/>
    </row>
    <row r="57" spans="1:7" s="343" customFormat="1" ht="12" customHeight="1" thickBot="1">
      <c r="A57" s="19" t="s">
        <v>47</v>
      </c>
      <c r="B57" s="157" t="s">
        <v>278</v>
      </c>
      <c r="C57" s="392">
        <f>SUM(C58:C60)</f>
        <v>4228000</v>
      </c>
      <c r="D57" s="162">
        <f>SUM(D58:D60)</f>
        <v>1200000</v>
      </c>
      <c r="E57" s="342">
        <f>SUM(E58:E60)</f>
        <v>0</v>
      </c>
      <c r="F57" s="162">
        <f>SUM(F58:F60)</f>
        <v>0</v>
      </c>
      <c r="G57" s="162">
        <f>SUM(G58:G60)</f>
        <v>0</v>
      </c>
    </row>
    <row r="58" spans="1:7" s="343" customFormat="1" ht="12" customHeight="1">
      <c r="A58" s="14" t="s">
        <v>181</v>
      </c>
      <c r="B58" s="248" t="s">
        <v>280</v>
      </c>
      <c r="C58" s="397"/>
      <c r="D58" s="243">
        <f>SUM(E58:G58)</f>
        <v>0</v>
      </c>
      <c r="E58" s="318"/>
      <c r="F58" s="166"/>
      <c r="G58" s="166"/>
    </row>
    <row r="59" spans="1:7" s="343" customFormat="1" ht="12" customHeight="1">
      <c r="A59" s="13" t="s">
        <v>182</v>
      </c>
      <c r="B59" s="249" t="s">
        <v>405</v>
      </c>
      <c r="C59" s="397"/>
      <c r="D59" s="407">
        <f>SUM(E59:G59)</f>
        <v>0</v>
      </c>
      <c r="E59" s="318"/>
      <c r="F59" s="166"/>
      <c r="G59" s="166"/>
    </row>
    <row r="60" spans="1:7" s="343" customFormat="1" ht="12" customHeight="1">
      <c r="A60" s="13" t="s">
        <v>204</v>
      </c>
      <c r="B60" s="249" t="s">
        <v>281</v>
      </c>
      <c r="C60" s="397">
        <v>4228000</v>
      </c>
      <c r="D60" s="585">
        <v>1200000</v>
      </c>
      <c r="E60" s="318"/>
      <c r="F60" s="166"/>
      <c r="G60" s="166"/>
    </row>
    <row r="61" spans="1:7" s="343" customFormat="1" ht="12" customHeight="1" thickBot="1">
      <c r="A61" s="15" t="s">
        <v>279</v>
      </c>
      <c r="B61" s="159" t="s">
        <v>282</v>
      </c>
      <c r="C61" s="397"/>
      <c r="D61" s="408">
        <f>SUM(E61:G61)</f>
        <v>0</v>
      </c>
      <c r="E61" s="318"/>
      <c r="F61" s="166"/>
      <c r="G61" s="166"/>
    </row>
    <row r="62" spans="1:7" s="343" customFormat="1" ht="12" customHeight="1" thickBot="1">
      <c r="A62" s="302" t="s">
        <v>502</v>
      </c>
      <c r="B62" s="20" t="s">
        <v>283</v>
      </c>
      <c r="C62" s="396">
        <f>+C5+C12+C19+C26+C34+C46+C52+C57</f>
        <v>2753207000</v>
      </c>
      <c r="D62" s="162">
        <f>D57+D52+D46+D34+D26+D19+D12+D5</f>
        <v>2954602326</v>
      </c>
      <c r="E62" s="346">
        <f>+E5+E12+E19+E26+E34+E46+E52+E57</f>
        <v>1438638329</v>
      </c>
      <c r="F62" s="167">
        <f>+F5+F12+F19+F26+F34+F46+F52+F57</f>
        <v>9416500</v>
      </c>
      <c r="G62" s="167">
        <f>+G5+G12+G19+G26+G34+G46+G52+G57</f>
        <v>395323178</v>
      </c>
    </row>
    <row r="63" spans="1:7" s="343" customFormat="1" ht="12" customHeight="1" thickBot="1">
      <c r="A63" s="303" t="s">
        <v>284</v>
      </c>
      <c r="B63" s="157" t="s">
        <v>617</v>
      </c>
      <c r="C63" s="392">
        <f>SUM(C64:C66)</f>
        <v>160303000</v>
      </c>
      <c r="D63" s="309">
        <f>SUM(D64:D66)</f>
        <v>187500000</v>
      </c>
      <c r="E63" s="342">
        <f>SUM(E64:E66)</f>
        <v>144100000</v>
      </c>
      <c r="F63" s="162">
        <f>SUM(F64:F66)</f>
        <v>0</v>
      </c>
      <c r="G63" s="162">
        <f>SUM(G64:G66)</f>
        <v>0</v>
      </c>
    </row>
    <row r="64" spans="1:7" s="343" customFormat="1" ht="12" customHeight="1">
      <c r="A64" s="14" t="s">
        <v>316</v>
      </c>
      <c r="B64" s="248" t="s">
        <v>286</v>
      </c>
      <c r="C64" s="397">
        <v>60303000</v>
      </c>
      <c r="D64" s="586">
        <f>SUM(E64:G64)+37900000+5500000</f>
        <v>87500000</v>
      </c>
      <c r="E64" s="318">
        <v>44100000</v>
      </c>
      <c r="F64" s="166"/>
      <c r="G64" s="166"/>
    </row>
    <row r="65" spans="1:7" s="343" customFormat="1" ht="12" customHeight="1">
      <c r="A65" s="13" t="s">
        <v>325</v>
      </c>
      <c r="B65" s="249" t="s">
        <v>287</v>
      </c>
      <c r="C65" s="397">
        <v>100000000</v>
      </c>
      <c r="D65" s="383">
        <f>SUM(E65:G65)</f>
        <v>100000000</v>
      </c>
      <c r="E65" s="318">
        <v>100000000</v>
      </c>
      <c r="F65" s="166"/>
      <c r="G65" s="166"/>
    </row>
    <row r="66" spans="1:7" s="343" customFormat="1" ht="12" customHeight="1" thickBot="1">
      <c r="A66" s="15" t="s">
        <v>326</v>
      </c>
      <c r="B66" s="304" t="s">
        <v>503</v>
      </c>
      <c r="C66" s="397"/>
      <c r="D66" s="408">
        <f>SUM(E66:G66)</f>
        <v>0</v>
      </c>
      <c r="E66" s="318"/>
      <c r="F66" s="166"/>
      <c r="G66" s="166"/>
    </row>
    <row r="67" spans="1:7" s="343" customFormat="1" ht="12" customHeight="1" thickBot="1">
      <c r="A67" s="303" t="s">
        <v>289</v>
      </c>
      <c r="B67" s="157" t="s">
        <v>290</v>
      </c>
      <c r="C67" s="392">
        <f>SUM(C68:C71)</f>
        <v>0</v>
      </c>
      <c r="D67" s="409">
        <f>SUM(D68:D71)</f>
        <v>0</v>
      </c>
      <c r="E67" s="342">
        <f>SUM(E68:E71)</f>
        <v>0</v>
      </c>
      <c r="F67" s="162">
        <f>SUM(F68:F71)</f>
        <v>0</v>
      </c>
      <c r="G67" s="162">
        <f>SUM(G68:G71)</f>
        <v>0</v>
      </c>
    </row>
    <row r="68" spans="1:7" s="343" customFormat="1" ht="12" customHeight="1">
      <c r="A68" s="14" t="s">
        <v>160</v>
      </c>
      <c r="B68" s="248" t="s">
        <v>291</v>
      </c>
      <c r="C68" s="397"/>
      <c r="D68" s="243">
        <f>SUM(E68:G68)</f>
        <v>0</v>
      </c>
      <c r="E68" s="318"/>
      <c r="F68" s="166"/>
      <c r="G68" s="166"/>
    </row>
    <row r="69" spans="1:7" s="343" customFormat="1" ht="17.25" customHeight="1">
      <c r="A69" s="13" t="s">
        <v>161</v>
      </c>
      <c r="B69" s="249" t="s">
        <v>292</v>
      </c>
      <c r="C69" s="397"/>
      <c r="D69" s="407">
        <f>SUM(E69:G69)</f>
        <v>0</v>
      </c>
      <c r="E69" s="318"/>
      <c r="F69" s="166"/>
      <c r="G69" s="166"/>
    </row>
    <row r="70" spans="1:7" s="343" customFormat="1" ht="12" customHeight="1">
      <c r="A70" s="13" t="s">
        <v>317</v>
      </c>
      <c r="B70" s="249" t="s">
        <v>293</v>
      </c>
      <c r="C70" s="397"/>
      <c r="D70" s="407">
        <f>SUM(E70:G70)</f>
        <v>0</v>
      </c>
      <c r="E70" s="318"/>
      <c r="F70" s="166"/>
      <c r="G70" s="166"/>
    </row>
    <row r="71" spans="1:7" s="343" customFormat="1" ht="12" customHeight="1" thickBot="1">
      <c r="A71" s="15" t="s">
        <v>318</v>
      </c>
      <c r="B71" s="159" t="s">
        <v>294</v>
      </c>
      <c r="C71" s="397"/>
      <c r="D71" s="408">
        <f>SUM(E71:G71)</f>
        <v>0</v>
      </c>
      <c r="E71" s="318"/>
      <c r="F71" s="166"/>
      <c r="G71" s="166"/>
    </row>
    <row r="72" spans="1:7" s="343" customFormat="1" ht="12" customHeight="1" thickBot="1">
      <c r="A72" s="303" t="s">
        <v>295</v>
      </c>
      <c r="B72" s="157" t="s">
        <v>296</v>
      </c>
      <c r="C72" s="392">
        <f>SUM(C73:C74)</f>
        <v>264948000</v>
      </c>
      <c r="D72" s="162">
        <f>SUM(D73:D74)</f>
        <v>292999415</v>
      </c>
      <c r="E72" s="342">
        <f>SUM(E73:E74)</f>
        <v>289331423</v>
      </c>
      <c r="F72" s="162">
        <f>SUM(F73:F74)</f>
        <v>447404</v>
      </c>
      <c r="G72" s="162">
        <f>SUM(G73:G74)</f>
        <v>3220588</v>
      </c>
    </row>
    <row r="73" spans="1:7" s="343" customFormat="1" ht="12" customHeight="1">
      <c r="A73" s="14" t="s">
        <v>319</v>
      </c>
      <c r="B73" s="248" t="s">
        <v>297</v>
      </c>
      <c r="C73" s="397">
        <v>264948000</v>
      </c>
      <c r="D73" s="243">
        <f>SUM(E73:G73)</f>
        <v>292999415</v>
      </c>
      <c r="E73" s="318">
        <v>289331423</v>
      </c>
      <c r="F73" s="166">
        <v>447404</v>
      </c>
      <c r="G73" s="166">
        <v>3220588</v>
      </c>
    </row>
    <row r="74" spans="1:7" s="343" customFormat="1" ht="12" customHeight="1" thickBot="1">
      <c r="A74" s="15" t="s">
        <v>320</v>
      </c>
      <c r="B74" s="159" t="s">
        <v>298</v>
      </c>
      <c r="C74" s="397"/>
      <c r="D74" s="408">
        <f>SUM(E74:G74)</f>
        <v>0</v>
      </c>
      <c r="E74" s="318"/>
      <c r="F74" s="166"/>
      <c r="G74" s="166"/>
    </row>
    <row r="75" spans="1:7" s="343" customFormat="1" ht="12" customHeight="1" thickBot="1">
      <c r="A75" s="303" t="s">
        <v>299</v>
      </c>
      <c r="B75" s="157" t="s">
        <v>300</v>
      </c>
      <c r="C75" s="392">
        <f>SUM(C76:C78)</f>
        <v>0</v>
      </c>
      <c r="D75" s="409">
        <f>SUM(D76:D78)</f>
        <v>0</v>
      </c>
      <c r="E75" s="342">
        <f>SUM(E76:E78)</f>
        <v>0</v>
      </c>
      <c r="F75" s="162">
        <f>SUM(F76:F78)</f>
        <v>0</v>
      </c>
      <c r="G75" s="162">
        <f>SUM(G76:G78)</f>
        <v>0</v>
      </c>
    </row>
    <row r="76" spans="1:7" s="343" customFormat="1" ht="12" customHeight="1">
      <c r="A76" s="14" t="s">
        <v>321</v>
      </c>
      <c r="B76" s="248" t="s">
        <v>301</v>
      </c>
      <c r="C76" s="397"/>
      <c r="D76" s="243">
        <f>SUM(E76:G76)</f>
        <v>0</v>
      </c>
      <c r="E76" s="318"/>
      <c r="F76" s="166"/>
      <c r="G76" s="166"/>
    </row>
    <row r="77" spans="1:7" s="343" customFormat="1" ht="12" customHeight="1">
      <c r="A77" s="13" t="s">
        <v>322</v>
      </c>
      <c r="B77" s="249" t="s">
        <v>302</v>
      </c>
      <c r="C77" s="397"/>
      <c r="D77" s="407">
        <f>SUM(E77:G77)</f>
        <v>0</v>
      </c>
      <c r="E77" s="318"/>
      <c r="F77" s="166"/>
      <c r="G77" s="166"/>
    </row>
    <row r="78" spans="1:7" s="343" customFormat="1" ht="12" customHeight="1" thickBot="1">
      <c r="A78" s="15" t="s">
        <v>323</v>
      </c>
      <c r="B78" s="159" t="s">
        <v>303</v>
      </c>
      <c r="C78" s="397"/>
      <c r="D78" s="408">
        <f>SUM(E78:G78)</f>
        <v>0</v>
      </c>
      <c r="E78" s="318"/>
      <c r="F78" s="166"/>
      <c r="G78" s="166"/>
    </row>
    <row r="79" spans="1:7" s="343" customFormat="1" ht="12" customHeight="1" thickBot="1">
      <c r="A79" s="303" t="s">
        <v>304</v>
      </c>
      <c r="B79" s="157" t="s">
        <v>324</v>
      </c>
      <c r="C79" s="392">
        <f>SUM(C80:C83)</f>
        <v>0</v>
      </c>
      <c r="D79" s="409">
        <f>SUM(D80:D83)</f>
        <v>0</v>
      </c>
      <c r="E79" s="342">
        <f>SUM(E80:E83)</f>
        <v>0</v>
      </c>
      <c r="F79" s="162">
        <f>SUM(F80:F83)</f>
        <v>0</v>
      </c>
      <c r="G79" s="162">
        <f>SUM(G80:G83)</f>
        <v>0</v>
      </c>
    </row>
    <row r="80" spans="1:7" s="343" customFormat="1" ht="12" customHeight="1">
      <c r="A80" s="252" t="s">
        <v>305</v>
      </c>
      <c r="B80" s="248" t="s">
        <v>306</v>
      </c>
      <c r="C80" s="397"/>
      <c r="D80" s="243">
        <f aca="true" t="shared" si="0" ref="D80:D85">SUM(E80:G80)</f>
        <v>0</v>
      </c>
      <c r="E80" s="318"/>
      <c r="F80" s="166"/>
      <c r="G80" s="166"/>
    </row>
    <row r="81" spans="1:7" s="343" customFormat="1" ht="12" customHeight="1">
      <c r="A81" s="253" t="s">
        <v>307</v>
      </c>
      <c r="B81" s="249" t="s">
        <v>308</v>
      </c>
      <c r="C81" s="397"/>
      <c r="D81" s="407">
        <f t="shared" si="0"/>
        <v>0</v>
      </c>
      <c r="E81" s="318"/>
      <c r="F81" s="166"/>
      <c r="G81" s="166"/>
    </row>
    <row r="82" spans="1:7" s="343" customFormat="1" ht="12" customHeight="1">
      <c r="A82" s="253" t="s">
        <v>309</v>
      </c>
      <c r="B82" s="249" t="s">
        <v>310</v>
      </c>
      <c r="C82" s="397"/>
      <c r="D82" s="407">
        <f t="shared" si="0"/>
        <v>0</v>
      </c>
      <c r="E82" s="318"/>
      <c r="F82" s="166"/>
      <c r="G82" s="166"/>
    </row>
    <row r="83" spans="1:7" s="343" customFormat="1" ht="12" customHeight="1" thickBot="1">
      <c r="A83" s="254" t="s">
        <v>311</v>
      </c>
      <c r="B83" s="159" t="s">
        <v>312</v>
      </c>
      <c r="C83" s="397"/>
      <c r="D83" s="408">
        <f t="shared" si="0"/>
        <v>0</v>
      </c>
      <c r="E83" s="318"/>
      <c r="F83" s="166"/>
      <c r="G83" s="166"/>
    </row>
    <row r="84" spans="1:7" s="343" customFormat="1" ht="12" customHeight="1" thickBot="1">
      <c r="A84" s="303" t="s">
        <v>313</v>
      </c>
      <c r="B84" s="157" t="s">
        <v>504</v>
      </c>
      <c r="C84" s="400"/>
      <c r="D84" s="161">
        <f t="shared" si="0"/>
        <v>0</v>
      </c>
      <c r="E84" s="350"/>
      <c r="F84" s="287"/>
      <c r="G84" s="287"/>
    </row>
    <row r="85" spans="1:7" s="343" customFormat="1" ht="12" customHeight="1" thickBot="1">
      <c r="A85" s="303" t="s">
        <v>315</v>
      </c>
      <c r="B85" s="157" t="s">
        <v>314</v>
      </c>
      <c r="C85" s="400"/>
      <c r="D85" s="162">
        <f t="shared" si="0"/>
        <v>0</v>
      </c>
      <c r="E85" s="350"/>
      <c r="F85" s="287"/>
      <c r="G85" s="287"/>
    </row>
    <row r="86" spans="1:7" s="343" customFormat="1" ht="12" customHeight="1" thickBot="1">
      <c r="A86" s="303" t="s">
        <v>327</v>
      </c>
      <c r="B86" s="255" t="s">
        <v>505</v>
      </c>
      <c r="C86" s="396">
        <f>+C63+C67+C72+C75+C79+C85+C84</f>
        <v>425251000</v>
      </c>
      <c r="D86" s="162">
        <f>D85+D84+D79+D75+D72+D67+D63</f>
        <v>480499415</v>
      </c>
      <c r="E86" s="346">
        <f>+E63+E67+E72+E75+E79+E85+E84</f>
        <v>433431423</v>
      </c>
      <c r="F86" s="167">
        <f>+F63+F67+F72+F75+F79+F85+F84</f>
        <v>447404</v>
      </c>
      <c r="G86" s="167">
        <f>+G63+G67+G72+G75+G79+G85+G84</f>
        <v>3220588</v>
      </c>
    </row>
    <row r="87" spans="1:7" s="343" customFormat="1" ht="12" customHeight="1" thickBot="1">
      <c r="A87" s="305" t="s">
        <v>506</v>
      </c>
      <c r="B87" s="256" t="s">
        <v>507</v>
      </c>
      <c r="C87" s="396">
        <f>+C62+C86</f>
        <v>3178458000</v>
      </c>
      <c r="D87" s="162">
        <f>D62+D86</f>
        <v>3435101741</v>
      </c>
      <c r="E87" s="346">
        <f>+E62+E86</f>
        <v>1872069752</v>
      </c>
      <c r="F87" s="167">
        <f>+F62+F86</f>
        <v>9863904</v>
      </c>
      <c r="G87" s="167">
        <f>+G62+G86</f>
        <v>398543766</v>
      </c>
    </row>
    <row r="88" spans="1:4" s="343" customFormat="1" ht="12" customHeight="1">
      <c r="A88" s="351"/>
      <c r="B88" s="352"/>
      <c r="C88" s="353"/>
      <c r="D88" s="404"/>
    </row>
    <row r="89" spans="1:4" s="343" customFormat="1" ht="12" customHeight="1">
      <c r="A89" s="841" t="s">
        <v>69</v>
      </c>
      <c r="B89" s="841"/>
      <c r="C89" s="841"/>
      <c r="D89" s="841"/>
    </row>
    <row r="90" spans="1:4" s="343" customFormat="1" ht="12" customHeight="1" thickBot="1">
      <c r="A90" s="843" t="s">
        <v>163</v>
      </c>
      <c r="B90" s="843"/>
      <c r="C90" s="338"/>
      <c r="D90" s="171" t="str">
        <f>D2</f>
        <v>Forintban!</v>
      </c>
    </row>
    <row r="91" spans="1:4" s="343" customFormat="1" ht="24" customHeight="1" thickBot="1">
      <c r="A91" s="22" t="s">
        <v>38</v>
      </c>
      <c r="B91" s="23" t="s">
        <v>70</v>
      </c>
      <c r="C91" s="23" t="str">
        <f>+C3</f>
        <v>2016. évi módosított előirányzat</v>
      </c>
      <c r="D91" s="35" t="str">
        <f>+D3</f>
        <v>2017. évi előirányzat</v>
      </c>
    </row>
    <row r="92" spans="1:4" s="343" customFormat="1" ht="12" customHeight="1" thickBot="1">
      <c r="A92" s="31" t="s">
        <v>491</v>
      </c>
      <c r="B92" s="32" t="s">
        <v>492</v>
      </c>
      <c r="C92" s="32" t="s">
        <v>546</v>
      </c>
      <c r="D92" s="242" t="s">
        <v>493</v>
      </c>
    </row>
    <row r="93" spans="1:7" s="343" customFormat="1" ht="15" customHeight="1" thickBot="1">
      <c r="A93" s="21" t="s">
        <v>40</v>
      </c>
      <c r="B93" s="25" t="s">
        <v>545</v>
      </c>
      <c r="C93" s="405">
        <f>C94+C95+C96+C97+C98+C111</f>
        <v>2906143000</v>
      </c>
      <c r="D93" s="410">
        <f>SUM(D94:D98)+SUM(D111)</f>
        <v>2543800136</v>
      </c>
      <c r="E93" s="354">
        <f>+E94+E95+E96+E97+E98+E111</f>
        <v>370628367</v>
      </c>
      <c r="F93" s="161">
        <f>+F94+F95+F96+F97+F98+F111</f>
        <v>223822850</v>
      </c>
      <c r="G93" s="370">
        <f>G94+G95+G96+G97+G98+G111</f>
        <v>1388014694</v>
      </c>
    </row>
    <row r="94" spans="1:7" s="343" customFormat="1" ht="12.75" customHeight="1">
      <c r="A94" s="16" t="s">
        <v>116</v>
      </c>
      <c r="B94" s="9" t="s">
        <v>71</v>
      </c>
      <c r="C94" s="401">
        <v>1371432000</v>
      </c>
      <c r="D94" s="587">
        <f>SUM(E94:G94)+252096521+85501355+27232396-1393308+7410662+5711096+12960546</f>
        <v>1093796255</v>
      </c>
      <c r="E94" s="373">
        <f>25364000+485000+6010000+3749000+165142000+48000+105000-275033584</f>
        <v>-74130584</v>
      </c>
      <c r="F94" s="328">
        <v>119212000</v>
      </c>
      <c r="G94" s="334">
        <v>659195571</v>
      </c>
    </row>
    <row r="95" spans="1:7" ht="16.5" customHeight="1">
      <c r="A95" s="13" t="s">
        <v>117</v>
      </c>
      <c r="B95" s="7" t="s">
        <v>183</v>
      </c>
      <c r="C95" s="394">
        <v>295923000</v>
      </c>
      <c r="D95" s="588">
        <f>SUM(E95:G95)+28812821+9405149+5800271-280382+2089507-570939+1438961+3013037</f>
        <v>231995394</v>
      </c>
      <c r="E95" s="318">
        <f>5239000+143000+1233000+14000+1652000+19299000+10000+23000-28480392</f>
        <v>-867392</v>
      </c>
      <c r="F95" s="166">
        <v>28323500</v>
      </c>
      <c r="G95" s="320">
        <v>154830861</v>
      </c>
    </row>
    <row r="96" spans="1:7" ht="15.75">
      <c r="A96" s="13" t="s">
        <v>118</v>
      </c>
      <c r="B96" s="7" t="s">
        <v>152</v>
      </c>
      <c r="C96" s="395">
        <v>893999000</v>
      </c>
      <c r="D96" s="588">
        <f>SUM(E96:G96)+41579904+1600000+22320920+28158088+9295882+11813400+570939+10565807+4029458</f>
        <v>962611545</v>
      </c>
      <c r="E96" s="323">
        <f>11475000+835000+4801000+2722822+944166+8715000+1817000+17736000+735000+300000+8485000+34925000+628800+40773000+3429000+11212000+576000+3351000+1682000+16980000+46750042+1200000+4573000+1350000+376000-19720295</f>
        <v>206651535</v>
      </c>
      <c r="F96" s="237">
        <v>52037350</v>
      </c>
      <c r="G96" s="320">
        <v>573988262</v>
      </c>
    </row>
    <row r="97" spans="1:7" s="340" customFormat="1" ht="12" customHeight="1">
      <c r="A97" s="13" t="s">
        <v>119</v>
      </c>
      <c r="B97" s="10" t="s">
        <v>184</v>
      </c>
      <c r="C97" s="395">
        <v>76171000</v>
      </c>
      <c r="D97" s="588">
        <f>SUM(E97:G97)-6901260</f>
        <v>83248740</v>
      </c>
      <c r="E97" s="323">
        <f>70980000-5080000</f>
        <v>65900000</v>
      </c>
      <c r="F97" s="237">
        <v>24250000</v>
      </c>
      <c r="G97" s="333"/>
    </row>
    <row r="98" spans="1:7" ht="12" customHeight="1">
      <c r="A98" s="13" t="s">
        <v>130</v>
      </c>
      <c r="B98" s="18" t="s">
        <v>185</v>
      </c>
      <c r="C98" s="395">
        <v>183928000</v>
      </c>
      <c r="D98" s="588">
        <f>SUM(D99:D110)</f>
        <v>85130011</v>
      </c>
      <c r="E98" s="323">
        <f>SUM(E99:E110)</f>
        <v>43566000</v>
      </c>
      <c r="F98" s="237">
        <f>SUM(F99:F110)</f>
        <v>0</v>
      </c>
      <c r="G98" s="333"/>
    </row>
    <row r="99" spans="1:7" ht="12" customHeight="1">
      <c r="A99" s="13" t="s">
        <v>120</v>
      </c>
      <c r="B99" s="7" t="s">
        <v>508</v>
      </c>
      <c r="C99" s="395">
        <v>6599000</v>
      </c>
      <c r="D99" s="588">
        <f>SUM(E99:G99)+1500+7242044+114463+2792500+6504</f>
        <v>10157011</v>
      </c>
      <c r="E99" s="323"/>
      <c r="F99" s="237"/>
      <c r="G99" s="333"/>
    </row>
    <row r="100" spans="1:7" ht="12" customHeight="1">
      <c r="A100" s="13" t="s">
        <v>121</v>
      </c>
      <c r="B100" s="93" t="s">
        <v>509</v>
      </c>
      <c r="C100" s="395"/>
      <c r="D100" s="416">
        <f>SUM(E100:G100)</f>
        <v>0</v>
      </c>
      <c r="E100" s="323"/>
      <c r="F100" s="237"/>
      <c r="G100" s="333"/>
    </row>
    <row r="101" spans="1:7" ht="12" customHeight="1">
      <c r="A101" s="13" t="s">
        <v>131</v>
      </c>
      <c r="B101" s="93" t="s">
        <v>510</v>
      </c>
      <c r="C101" s="395"/>
      <c r="D101" s="416">
        <f>SUM(E101:G101)</f>
        <v>0</v>
      </c>
      <c r="E101" s="323"/>
      <c r="F101" s="237"/>
      <c r="G101" s="333"/>
    </row>
    <row r="102" spans="1:7" ht="12" customHeight="1">
      <c r="A102" s="13" t="s">
        <v>132</v>
      </c>
      <c r="B102" s="91" t="s">
        <v>330</v>
      </c>
      <c r="C102" s="395"/>
      <c r="D102" s="416">
        <f>SUM(E102:G102)</f>
        <v>0</v>
      </c>
      <c r="E102" s="323"/>
      <c r="F102" s="237"/>
      <c r="G102" s="333"/>
    </row>
    <row r="103" spans="1:7" ht="12" customHeight="1">
      <c r="A103" s="13" t="s">
        <v>133</v>
      </c>
      <c r="B103" s="92" t="s">
        <v>331</v>
      </c>
      <c r="C103" s="395"/>
      <c r="D103" s="416">
        <f>SUM(E103:G103)</f>
        <v>0</v>
      </c>
      <c r="E103" s="323"/>
      <c r="F103" s="237"/>
      <c r="G103" s="333"/>
    </row>
    <row r="104" spans="1:7" ht="12" customHeight="1">
      <c r="A104" s="13" t="s">
        <v>134</v>
      </c>
      <c r="B104" s="92" t="s">
        <v>332</v>
      </c>
      <c r="C104" s="395"/>
      <c r="D104" s="416">
        <f>SUM(E104:G104)</f>
        <v>0</v>
      </c>
      <c r="E104" s="323"/>
      <c r="F104" s="237"/>
      <c r="G104" s="333"/>
    </row>
    <row r="105" spans="1:7" ht="12" customHeight="1">
      <c r="A105" s="13" t="s">
        <v>136</v>
      </c>
      <c r="B105" s="91" t="s">
        <v>333</v>
      </c>
      <c r="C105" s="395">
        <v>113427000</v>
      </c>
      <c r="D105" s="416">
        <f>SUM(E105:G105)+60754-60754</f>
        <v>0</v>
      </c>
      <c r="E105" s="323"/>
      <c r="F105" s="237"/>
      <c r="G105" s="333"/>
    </row>
    <row r="106" spans="1:7" ht="12" customHeight="1">
      <c r="A106" s="13" t="s">
        <v>186</v>
      </c>
      <c r="B106" s="91" t="s">
        <v>334</v>
      </c>
      <c r="C106" s="395"/>
      <c r="D106" s="416">
        <f>SUM(E106:G106)</f>
        <v>0</v>
      </c>
      <c r="E106" s="323"/>
      <c r="F106" s="237"/>
      <c r="G106" s="333"/>
    </row>
    <row r="107" spans="1:7" ht="12" customHeight="1">
      <c r="A107" s="13" t="s">
        <v>328</v>
      </c>
      <c r="B107" s="92" t="s">
        <v>335</v>
      </c>
      <c r="C107" s="395"/>
      <c r="D107" s="416">
        <f>SUM(E107:G107)</f>
        <v>0</v>
      </c>
      <c r="E107" s="323"/>
      <c r="F107" s="237"/>
      <c r="G107" s="333"/>
    </row>
    <row r="108" spans="1:7" ht="12" customHeight="1">
      <c r="A108" s="12" t="s">
        <v>329</v>
      </c>
      <c r="B108" s="93" t="s">
        <v>336</v>
      </c>
      <c r="C108" s="395"/>
      <c r="D108" s="416">
        <f>SUM(E108:G108)</f>
        <v>0</v>
      </c>
      <c r="E108" s="323"/>
      <c r="F108" s="237"/>
      <c r="G108" s="333"/>
    </row>
    <row r="109" spans="1:7" ht="12" customHeight="1">
      <c r="A109" s="13" t="s">
        <v>511</v>
      </c>
      <c r="B109" s="93" t="s">
        <v>337</v>
      </c>
      <c r="C109" s="395"/>
      <c r="D109" s="416">
        <f>SUM(E109:G109)</f>
        <v>0</v>
      </c>
      <c r="E109" s="323"/>
      <c r="F109" s="237"/>
      <c r="G109" s="333"/>
    </row>
    <row r="110" spans="1:7" ht="12" customHeight="1">
      <c r="A110" s="15" t="s">
        <v>512</v>
      </c>
      <c r="B110" s="93" t="s">
        <v>338</v>
      </c>
      <c r="C110" s="395">
        <v>63902000</v>
      </c>
      <c r="D110" s="588">
        <f>SUM(E110:G110)+3500000+6600000+2000000+16082000+3225000</f>
        <v>74973000</v>
      </c>
      <c r="E110" s="318">
        <f>536000+11389000+8562000+16678000+6401000</f>
        <v>43566000</v>
      </c>
      <c r="F110" s="166"/>
      <c r="G110" s="333"/>
    </row>
    <row r="111" spans="1:7" ht="12" customHeight="1">
      <c r="A111" s="13" t="s">
        <v>513</v>
      </c>
      <c r="B111" s="10" t="s">
        <v>72</v>
      </c>
      <c r="C111" s="394">
        <v>84690000</v>
      </c>
      <c r="D111" s="416">
        <f>SUM(D112:D113)</f>
        <v>87018191</v>
      </c>
      <c r="E111" s="318">
        <f>E112+E113</f>
        <v>129508808</v>
      </c>
      <c r="F111" s="166"/>
      <c r="G111" s="320">
        <f>G112+G113</f>
        <v>0</v>
      </c>
    </row>
    <row r="112" spans="1:7" ht="12" customHeight="1">
      <c r="A112" s="13" t="s">
        <v>514</v>
      </c>
      <c r="B112" s="7" t="s">
        <v>515</v>
      </c>
      <c r="C112" s="394">
        <v>908000</v>
      </c>
      <c r="D112" s="588">
        <f>SUM(E112:G112)-9172313+8719388-4010722-1042502-1846399+5485909</f>
        <v>19789869</v>
      </c>
      <c r="E112" s="323">
        <f>20000000+1656508</f>
        <v>21656508</v>
      </c>
      <c r="F112" s="237"/>
      <c r="G112" s="320"/>
    </row>
    <row r="113" spans="1:7" ht="12" customHeight="1" thickBot="1">
      <c r="A113" s="17" t="s">
        <v>516</v>
      </c>
      <c r="B113" s="306" t="s">
        <v>517</v>
      </c>
      <c r="C113" s="402">
        <v>83782000</v>
      </c>
      <c r="D113" s="589">
        <f>SUM(E113:G113)-8373330-1600000-8539600-6323156-7948000-7343244+31158286-32066515+411581</f>
        <v>67228322</v>
      </c>
      <c r="E113" s="374">
        <f>110613300+500000-3261000</f>
        <v>107852300</v>
      </c>
      <c r="F113" s="337"/>
      <c r="G113" s="335"/>
    </row>
    <row r="114" spans="1:7" ht="12" customHeight="1" thickBot="1">
      <c r="A114" s="307" t="s">
        <v>41</v>
      </c>
      <c r="B114" s="308" t="s">
        <v>339</v>
      </c>
      <c r="C114" s="406">
        <f>+C115+C117+C119</f>
        <v>135468000</v>
      </c>
      <c r="D114" s="410">
        <f>D115+D117+D119</f>
        <v>752975673</v>
      </c>
      <c r="E114" s="342">
        <f>+E115+E117+E119</f>
        <v>150430581</v>
      </c>
      <c r="F114" s="162">
        <f>+F115+F117+F119</f>
        <v>1901000</v>
      </c>
      <c r="G114" s="309">
        <f>+G115+G117+G119</f>
        <v>9272287</v>
      </c>
    </row>
    <row r="115" spans="1:7" ht="12" customHeight="1">
      <c r="A115" s="14" t="s">
        <v>122</v>
      </c>
      <c r="B115" s="7" t="s">
        <v>203</v>
      </c>
      <c r="C115" s="393">
        <v>78647000</v>
      </c>
      <c r="D115" s="587">
        <f>SUM(E115:G115)+15239176+979170-265000+63976+93988736+220065714+8904148</f>
        <v>367936621</v>
      </c>
      <c r="E115" s="349">
        <f>6621000+2963001+787402+10624171+3081125+300001+529000+1654000+447000+2237000+90200+6604000+301000+204000-18155486</f>
        <v>18287414</v>
      </c>
      <c r="F115" s="286">
        <v>1901000</v>
      </c>
      <c r="G115" s="336">
        <v>8772287</v>
      </c>
    </row>
    <row r="116" spans="1:7" ht="15.75">
      <c r="A116" s="14" t="s">
        <v>123</v>
      </c>
      <c r="B116" s="11" t="s">
        <v>343</v>
      </c>
      <c r="C116" s="393"/>
      <c r="D116" s="416">
        <f>SUM(E116:G116)-1000000+87765636+214128350</f>
        <v>315386684</v>
      </c>
      <c r="E116" s="349">
        <v>14492698</v>
      </c>
      <c r="F116" s="286"/>
      <c r="G116" s="336"/>
    </row>
    <row r="117" spans="1:7" ht="12" customHeight="1">
      <c r="A117" s="14" t="s">
        <v>124</v>
      </c>
      <c r="B117" s="11" t="s">
        <v>187</v>
      </c>
      <c r="C117" s="394">
        <v>46476000</v>
      </c>
      <c r="D117" s="588">
        <f>SUM(E117:G117)-134607+7509510+735000+1000000+839841+49594413+188498728</f>
        <v>337534552</v>
      </c>
      <c r="E117" s="318">
        <f>53340000+21000000+1513000+2996000+809000+9333667</f>
        <v>88991667</v>
      </c>
      <c r="F117" s="166"/>
      <c r="G117" s="320">
        <v>500000</v>
      </c>
    </row>
    <row r="118" spans="1:7" ht="12" customHeight="1">
      <c r="A118" s="14" t="s">
        <v>125</v>
      </c>
      <c r="B118" s="11" t="s">
        <v>344</v>
      </c>
      <c r="C118" s="394"/>
      <c r="D118" s="416">
        <f>SUM(E118:G118)+1000000+3795044+189429682-203244</f>
        <v>247361482</v>
      </c>
      <c r="E118" s="318">
        <v>53340000</v>
      </c>
      <c r="F118" s="330"/>
      <c r="G118" s="318"/>
    </row>
    <row r="119" spans="1:7" ht="12" customHeight="1">
      <c r="A119" s="14" t="s">
        <v>126</v>
      </c>
      <c r="B119" s="159" t="s">
        <v>205</v>
      </c>
      <c r="C119" s="394">
        <v>10345000</v>
      </c>
      <c r="D119" s="416">
        <f>SUM(D120:D127)</f>
        <v>47504500</v>
      </c>
      <c r="E119" s="318">
        <f>SUM(E120:E127)</f>
        <v>43151500</v>
      </c>
      <c r="F119" s="318"/>
      <c r="G119" s="318"/>
    </row>
    <row r="120" spans="1:7" ht="12" customHeight="1">
      <c r="A120" s="14" t="s">
        <v>135</v>
      </c>
      <c r="B120" s="158" t="s">
        <v>406</v>
      </c>
      <c r="C120" s="394"/>
      <c r="D120" s="416">
        <f aca="true" t="shared" si="1" ref="D120:D126">SUM(E120:G120)</f>
        <v>0</v>
      </c>
      <c r="E120" s="149"/>
      <c r="F120" s="149"/>
      <c r="G120" s="318"/>
    </row>
    <row r="121" spans="1:7" ht="12" customHeight="1">
      <c r="A121" s="14" t="s">
        <v>137</v>
      </c>
      <c r="B121" s="244" t="s">
        <v>349</v>
      </c>
      <c r="C121" s="394"/>
      <c r="D121" s="416">
        <f t="shared" si="1"/>
        <v>0</v>
      </c>
      <c r="E121" s="149"/>
      <c r="F121" s="149"/>
      <c r="G121" s="318"/>
    </row>
    <row r="122" spans="1:7" ht="12" customHeight="1">
      <c r="A122" s="14" t="s">
        <v>188</v>
      </c>
      <c r="B122" s="92" t="s">
        <v>332</v>
      </c>
      <c r="C122" s="394"/>
      <c r="D122" s="416">
        <f t="shared" si="1"/>
        <v>0</v>
      </c>
      <c r="E122" s="149"/>
      <c r="F122" s="149"/>
      <c r="G122" s="318"/>
    </row>
    <row r="123" spans="1:7" ht="12" customHeight="1">
      <c r="A123" s="14" t="s">
        <v>189</v>
      </c>
      <c r="B123" s="92" t="s">
        <v>348</v>
      </c>
      <c r="C123" s="394"/>
      <c r="D123" s="416">
        <f t="shared" si="1"/>
        <v>0</v>
      </c>
      <c r="E123" s="149"/>
      <c r="F123" s="149"/>
      <c r="G123" s="318"/>
    </row>
    <row r="124" spans="1:7" ht="12" customHeight="1">
      <c r="A124" s="14" t="s">
        <v>190</v>
      </c>
      <c r="B124" s="92" t="s">
        <v>347</v>
      </c>
      <c r="C124" s="394"/>
      <c r="D124" s="416">
        <f t="shared" si="1"/>
        <v>0</v>
      </c>
      <c r="E124" s="149"/>
      <c r="F124" s="149"/>
      <c r="G124" s="318"/>
    </row>
    <row r="125" spans="1:7" ht="12" customHeight="1">
      <c r="A125" s="14" t="s">
        <v>340</v>
      </c>
      <c r="B125" s="92" t="s">
        <v>335</v>
      </c>
      <c r="C125" s="394"/>
      <c r="D125" s="416">
        <f>SUM(E125:G125)+5000</f>
        <v>5000</v>
      </c>
      <c r="E125" s="149"/>
      <c r="F125" s="149"/>
      <c r="G125" s="318"/>
    </row>
    <row r="126" spans="1:7" ht="12" customHeight="1">
      <c r="A126" s="14" t="s">
        <v>341</v>
      </c>
      <c r="B126" s="92" t="s">
        <v>346</v>
      </c>
      <c r="C126" s="394"/>
      <c r="D126" s="416">
        <f t="shared" si="1"/>
        <v>0</v>
      </c>
      <c r="E126" s="149"/>
      <c r="F126" s="149"/>
      <c r="G126" s="318"/>
    </row>
    <row r="127" spans="1:7" ht="12" customHeight="1" thickBot="1">
      <c r="A127" s="12" t="s">
        <v>342</v>
      </c>
      <c r="B127" s="92" t="s">
        <v>345</v>
      </c>
      <c r="C127" s="395">
        <v>10345000</v>
      </c>
      <c r="D127" s="626">
        <f>SUM(E127:G127)+2400000+1348000+600000</f>
        <v>47499500</v>
      </c>
      <c r="E127" s="323">
        <f>42072000+1079500</f>
        <v>43151500</v>
      </c>
      <c r="F127" s="323"/>
      <c r="G127" s="323"/>
    </row>
    <row r="128" spans="1:7" ht="12" customHeight="1" thickBot="1">
      <c r="A128" s="19" t="s">
        <v>42</v>
      </c>
      <c r="B128" s="87" t="s">
        <v>518</v>
      </c>
      <c r="C128" s="341">
        <f>+C93+C114</f>
        <v>3041611000</v>
      </c>
      <c r="D128" s="410">
        <f>D114+D93</f>
        <v>3296775809</v>
      </c>
      <c r="E128" s="342">
        <f>+E93+E114</f>
        <v>521058948</v>
      </c>
      <c r="F128" s="162">
        <f>+F93+F114</f>
        <v>225723850</v>
      </c>
      <c r="G128" s="162">
        <f>+G93+G114</f>
        <v>1397286981</v>
      </c>
    </row>
    <row r="129" spans="1:7" ht="12" customHeight="1" thickBot="1">
      <c r="A129" s="19" t="s">
        <v>43</v>
      </c>
      <c r="B129" s="87" t="s">
        <v>519</v>
      </c>
      <c r="C129" s="341">
        <f>+C130+C131+C132</f>
        <v>103545000</v>
      </c>
      <c r="D129" s="410">
        <f>SUM(D130:D132)</f>
        <v>103161000</v>
      </c>
      <c r="E129" s="342">
        <f>+E130+E131+E132</f>
        <v>103161000</v>
      </c>
      <c r="F129" s="162">
        <f>+F130+F131+F132</f>
        <v>0</v>
      </c>
      <c r="G129" s="162">
        <f>+G130+G131+G132</f>
        <v>0</v>
      </c>
    </row>
    <row r="130" spans="1:7" ht="12" customHeight="1">
      <c r="A130" s="14" t="s">
        <v>240</v>
      </c>
      <c r="B130" s="11" t="s">
        <v>520</v>
      </c>
      <c r="C130" s="394">
        <v>3545000</v>
      </c>
      <c r="D130" s="412">
        <f>SUM(E130:G130)</f>
        <v>3161000</v>
      </c>
      <c r="E130" s="318">
        <v>3161000</v>
      </c>
      <c r="F130" s="318"/>
      <c r="G130" s="318"/>
    </row>
    <row r="131" spans="1:7" ht="12" customHeight="1">
      <c r="A131" s="14" t="s">
        <v>243</v>
      </c>
      <c r="B131" s="11" t="s">
        <v>521</v>
      </c>
      <c r="C131" s="394">
        <v>100000000</v>
      </c>
      <c r="D131" s="411">
        <f>SUM(E131:G131)</f>
        <v>100000000</v>
      </c>
      <c r="E131" s="149">
        <v>100000000</v>
      </c>
      <c r="F131" s="149"/>
      <c r="G131" s="149"/>
    </row>
    <row r="132" spans="1:7" ht="12" customHeight="1" thickBot="1">
      <c r="A132" s="12" t="s">
        <v>244</v>
      </c>
      <c r="B132" s="11" t="s">
        <v>522</v>
      </c>
      <c r="C132" s="394"/>
      <c r="D132" s="413">
        <f>SUM(E132:G132)</f>
        <v>0</v>
      </c>
      <c r="E132" s="149"/>
      <c r="F132" s="149"/>
      <c r="G132" s="149"/>
    </row>
    <row r="133" spans="1:7" ht="12" customHeight="1" thickBot="1">
      <c r="A133" s="19" t="s">
        <v>44</v>
      </c>
      <c r="B133" s="87" t="s">
        <v>523</v>
      </c>
      <c r="C133" s="341">
        <f>SUM(C134:C139)</f>
        <v>0</v>
      </c>
      <c r="D133" s="414">
        <f>SUM(D134:D139)</f>
        <v>0</v>
      </c>
      <c r="E133" s="342">
        <f>+E134+E135+E136+E137+E138+E139</f>
        <v>0</v>
      </c>
      <c r="F133" s="162">
        <f>+F134+F135+F136+F137+F138+F139</f>
        <v>0</v>
      </c>
      <c r="G133" s="162">
        <f>SUM(G134:G139)</f>
        <v>0</v>
      </c>
    </row>
    <row r="134" spans="1:7" ht="12" customHeight="1">
      <c r="A134" s="14" t="s">
        <v>109</v>
      </c>
      <c r="B134" s="8" t="s">
        <v>524</v>
      </c>
      <c r="C134" s="394"/>
      <c r="D134" s="412">
        <f aca="true" t="shared" si="2" ref="D134:D139">SUM(E134:G134)</f>
        <v>0</v>
      </c>
      <c r="E134" s="149"/>
      <c r="F134" s="149"/>
      <c r="G134" s="149"/>
    </row>
    <row r="135" spans="1:7" ht="12" customHeight="1">
      <c r="A135" s="14" t="s">
        <v>110</v>
      </c>
      <c r="B135" s="8" t="s">
        <v>525</v>
      </c>
      <c r="C135" s="394"/>
      <c r="D135" s="411">
        <f t="shared" si="2"/>
        <v>0</v>
      </c>
      <c r="E135" s="149"/>
      <c r="F135" s="149"/>
      <c r="G135" s="149"/>
    </row>
    <row r="136" spans="1:7" ht="12" customHeight="1">
      <c r="A136" s="14" t="s">
        <v>111</v>
      </c>
      <c r="B136" s="8" t="s">
        <v>526</v>
      </c>
      <c r="C136" s="394"/>
      <c r="D136" s="411">
        <f t="shared" si="2"/>
        <v>0</v>
      </c>
      <c r="E136" s="149"/>
      <c r="F136" s="149"/>
      <c r="G136" s="149"/>
    </row>
    <row r="137" spans="1:7" ht="12" customHeight="1">
      <c r="A137" s="14" t="s">
        <v>175</v>
      </c>
      <c r="B137" s="8" t="s">
        <v>527</v>
      </c>
      <c r="C137" s="394"/>
      <c r="D137" s="411">
        <f t="shared" si="2"/>
        <v>0</v>
      </c>
      <c r="E137" s="149"/>
      <c r="F137" s="149"/>
      <c r="G137" s="149"/>
    </row>
    <row r="138" spans="1:7" ht="12" customHeight="1">
      <c r="A138" s="14" t="s">
        <v>176</v>
      </c>
      <c r="B138" s="8" t="s">
        <v>528</v>
      </c>
      <c r="C138" s="394"/>
      <c r="D138" s="411">
        <f t="shared" si="2"/>
        <v>0</v>
      </c>
      <c r="E138" s="149"/>
      <c r="F138" s="149"/>
      <c r="G138" s="149"/>
    </row>
    <row r="139" spans="1:7" ht="12" customHeight="1" thickBot="1">
      <c r="A139" s="12" t="s">
        <v>177</v>
      </c>
      <c r="B139" s="8" t="s">
        <v>529</v>
      </c>
      <c r="C139" s="394"/>
      <c r="D139" s="413">
        <f t="shared" si="2"/>
        <v>0</v>
      </c>
      <c r="E139" s="149"/>
      <c r="F139" s="149"/>
      <c r="G139" s="149"/>
    </row>
    <row r="140" spans="1:7" ht="12" customHeight="1" thickBot="1">
      <c r="A140" s="19" t="s">
        <v>45</v>
      </c>
      <c r="B140" s="87" t="s">
        <v>530</v>
      </c>
      <c r="C140" s="345">
        <f>+C141+C142+C143+C144</f>
        <v>33302000</v>
      </c>
      <c r="D140" s="410">
        <f>SUM(D141:D144)</f>
        <v>35164932</v>
      </c>
      <c r="E140" s="346">
        <f>+E141+E142+E143+E144</f>
        <v>35164932</v>
      </c>
      <c r="F140" s="167">
        <f>+F141+F142+F143+F144</f>
        <v>0</v>
      </c>
      <c r="G140" s="167">
        <f>+G141+G142+G143+G144</f>
        <v>0</v>
      </c>
    </row>
    <row r="141" spans="1:7" ht="12" customHeight="1">
      <c r="A141" s="14" t="s">
        <v>112</v>
      </c>
      <c r="B141" s="8" t="s">
        <v>350</v>
      </c>
      <c r="C141" s="394"/>
      <c r="D141" s="412">
        <f>SUM(E141:G141)</f>
        <v>0</v>
      </c>
      <c r="E141" s="149"/>
      <c r="F141" s="149"/>
      <c r="G141" s="149"/>
    </row>
    <row r="142" spans="1:7" ht="12" customHeight="1">
      <c r="A142" s="14" t="s">
        <v>113</v>
      </c>
      <c r="B142" s="8" t="s">
        <v>351</v>
      </c>
      <c r="C142" s="394">
        <v>33302000</v>
      </c>
      <c r="D142" s="411">
        <f>SUM(E142:G142)</f>
        <v>35164932</v>
      </c>
      <c r="E142" s="149">
        <f>35164932</f>
        <v>35164932</v>
      </c>
      <c r="F142" s="149"/>
      <c r="G142" s="149"/>
    </row>
    <row r="143" spans="1:7" ht="12" customHeight="1">
      <c r="A143" s="14" t="s">
        <v>264</v>
      </c>
      <c r="B143" s="8" t="s">
        <v>531</v>
      </c>
      <c r="C143" s="394"/>
      <c r="D143" s="411">
        <f>SUM(E143:G143)</f>
        <v>0</v>
      </c>
      <c r="E143" s="149"/>
      <c r="F143" s="149"/>
      <c r="G143" s="149"/>
    </row>
    <row r="144" spans="1:7" ht="12" customHeight="1" thickBot="1">
      <c r="A144" s="12" t="s">
        <v>265</v>
      </c>
      <c r="B144" s="6" t="s">
        <v>369</v>
      </c>
      <c r="C144" s="394"/>
      <c r="D144" s="413">
        <f>SUM(E144:G144)</f>
        <v>0</v>
      </c>
      <c r="E144" s="149"/>
      <c r="F144" s="149"/>
      <c r="G144" s="149"/>
    </row>
    <row r="145" spans="1:7" ht="12" customHeight="1" thickBot="1">
      <c r="A145" s="19" t="s">
        <v>46</v>
      </c>
      <c r="B145" s="87" t="s">
        <v>532</v>
      </c>
      <c r="C145" s="356">
        <f>SUM(C146:C150)</f>
        <v>0</v>
      </c>
      <c r="D145" s="414">
        <f>SUM(D146:D150)</f>
        <v>0</v>
      </c>
      <c r="E145" s="357">
        <f>+E146+E147+E148+E149+E150</f>
        <v>0</v>
      </c>
      <c r="F145" s="170">
        <f>+F146+F147+F148+F149+F150</f>
        <v>0</v>
      </c>
      <c r="G145" s="170">
        <f>SUM(G146:G150)</f>
        <v>0</v>
      </c>
    </row>
    <row r="146" spans="1:7" ht="12" customHeight="1">
      <c r="A146" s="14" t="s">
        <v>114</v>
      </c>
      <c r="B146" s="8" t="s">
        <v>533</v>
      </c>
      <c r="C146" s="394"/>
      <c r="D146" s="412">
        <f aca="true" t="shared" si="3" ref="D146:D152">SUM(E146:G146)</f>
        <v>0</v>
      </c>
      <c r="E146" s="149"/>
      <c r="F146" s="149"/>
      <c r="G146" s="149"/>
    </row>
    <row r="147" spans="1:7" ht="12" customHeight="1">
      <c r="A147" s="14" t="s">
        <v>115</v>
      </c>
      <c r="B147" s="8" t="s">
        <v>534</v>
      </c>
      <c r="C147" s="394"/>
      <c r="D147" s="411">
        <f t="shared" si="3"/>
        <v>0</v>
      </c>
      <c r="E147" s="149"/>
      <c r="F147" s="149"/>
      <c r="G147" s="149"/>
    </row>
    <row r="148" spans="1:7" ht="12" customHeight="1">
      <c r="A148" s="14" t="s">
        <v>276</v>
      </c>
      <c r="B148" s="8" t="s">
        <v>535</v>
      </c>
      <c r="C148" s="394"/>
      <c r="D148" s="411">
        <f t="shared" si="3"/>
        <v>0</v>
      </c>
      <c r="E148" s="149"/>
      <c r="F148" s="149"/>
      <c r="G148" s="149"/>
    </row>
    <row r="149" spans="1:7" ht="12" customHeight="1">
      <c r="A149" s="14" t="s">
        <v>277</v>
      </c>
      <c r="B149" s="8" t="s">
        <v>536</v>
      </c>
      <c r="C149" s="394"/>
      <c r="D149" s="411">
        <f t="shared" si="3"/>
        <v>0</v>
      </c>
      <c r="E149" s="149"/>
      <c r="F149" s="149"/>
      <c r="G149" s="149"/>
    </row>
    <row r="150" spans="1:7" ht="12" customHeight="1" thickBot="1">
      <c r="A150" s="14" t="s">
        <v>537</v>
      </c>
      <c r="B150" s="8" t="s">
        <v>538</v>
      </c>
      <c r="C150" s="394"/>
      <c r="D150" s="413">
        <f t="shared" si="3"/>
        <v>0</v>
      </c>
      <c r="E150" s="150"/>
      <c r="F150" s="150"/>
      <c r="G150" s="149"/>
    </row>
    <row r="151" spans="1:7" ht="12" customHeight="1" thickBot="1">
      <c r="A151" s="19" t="s">
        <v>47</v>
      </c>
      <c r="B151" s="87" t="s">
        <v>539</v>
      </c>
      <c r="C151" s="358"/>
      <c r="D151" s="414">
        <f t="shared" si="3"/>
        <v>0</v>
      </c>
      <c r="E151" s="357"/>
      <c r="F151" s="170"/>
      <c r="G151" s="310"/>
    </row>
    <row r="152" spans="1:7" ht="12" customHeight="1" thickBot="1">
      <c r="A152" s="19" t="s">
        <v>48</v>
      </c>
      <c r="B152" s="87" t="s">
        <v>540</v>
      </c>
      <c r="C152" s="358"/>
      <c r="D152" s="414">
        <f t="shared" si="3"/>
        <v>0</v>
      </c>
      <c r="E152" s="357"/>
      <c r="F152" s="170"/>
      <c r="G152" s="310"/>
    </row>
    <row r="153" spans="1:7" ht="15" customHeight="1" thickBot="1">
      <c r="A153" s="19" t="s">
        <v>49</v>
      </c>
      <c r="B153" s="87" t="s">
        <v>541</v>
      </c>
      <c r="C153" s="359">
        <f>+C129+C133+C140+C145+C151+C152</f>
        <v>136847000</v>
      </c>
      <c r="D153" s="410">
        <f>D152+D151+D145+D140+D133+D129</f>
        <v>138325932</v>
      </c>
      <c r="E153" s="360">
        <f>+E129+E133+E140+E145+E151+E152</f>
        <v>138325932</v>
      </c>
      <c r="F153" s="258">
        <f>+F129+F133+F140+F145+F151+F152</f>
        <v>0</v>
      </c>
      <c r="G153" s="258">
        <f>+G129+G133+G140+G145+G151+G152</f>
        <v>0</v>
      </c>
    </row>
    <row r="154" spans="1:7" s="343" customFormat="1" ht="12.75" customHeight="1" thickBot="1">
      <c r="A154" s="160" t="s">
        <v>50</v>
      </c>
      <c r="B154" s="233" t="s">
        <v>542</v>
      </c>
      <c r="C154" s="359">
        <f>+C128+C153</f>
        <v>3178458000</v>
      </c>
      <c r="D154" s="410">
        <f>D153+D128</f>
        <v>3435101741</v>
      </c>
      <c r="E154" s="360">
        <f>+E128+E153</f>
        <v>659384880</v>
      </c>
      <c r="F154" s="258">
        <f>+F128+F153</f>
        <v>225723850</v>
      </c>
      <c r="G154" s="258">
        <f>+G128+G153</f>
        <v>1397286981</v>
      </c>
    </row>
    <row r="158" ht="16.5" customHeight="1"/>
  </sheetData>
  <sheetProtection/>
  <mergeCells count="4">
    <mergeCell ref="A1:D1"/>
    <mergeCell ref="A2:B2"/>
    <mergeCell ref="A89:D89"/>
    <mergeCell ref="A90:B90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&amp;R27. melléklet a 28/2017.(X.27.) önkormányzati rendelethez
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view="pageLayout" workbookViewId="0" topLeftCell="D1">
      <selection activeCell="N2" sqref="N2"/>
    </sheetView>
  </sheetViews>
  <sheetFormatPr defaultColWidth="9.00390625" defaultRowHeight="12.75"/>
  <cols>
    <col min="1" max="1" width="4.875" style="68" customWidth="1"/>
    <col min="2" max="2" width="31.125" style="81" customWidth="1"/>
    <col min="3" max="8" width="11.125" style="81" bestFit="1" customWidth="1"/>
    <col min="9" max="9" width="11.875" style="81" bestFit="1" customWidth="1"/>
    <col min="10" max="10" width="11.125" style="81" bestFit="1" customWidth="1"/>
    <col min="11" max="11" width="12.625" style="81" bestFit="1" customWidth="1"/>
    <col min="12" max="12" width="11.875" style="81" bestFit="1" customWidth="1"/>
    <col min="13" max="13" width="11.125" style="81" bestFit="1" customWidth="1"/>
    <col min="14" max="14" width="11.875" style="81" bestFit="1" customWidth="1"/>
    <col min="15" max="15" width="12.625" style="68" customWidth="1"/>
    <col min="16" max="16384" width="9.375" style="81" customWidth="1"/>
  </cols>
  <sheetData>
    <row r="1" spans="1:15" ht="31.5" customHeight="1">
      <c r="A1" s="892" t="s">
        <v>626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</row>
    <row r="2" ht="16.5" thickBot="1">
      <c r="O2" s="3" t="s">
        <v>633</v>
      </c>
    </row>
    <row r="3" spans="1:15" ht="35.25" customHeight="1" thickBot="1">
      <c r="A3" s="616" t="s">
        <v>38</v>
      </c>
      <c r="B3" s="617" t="s">
        <v>84</v>
      </c>
      <c r="C3" s="617" t="s">
        <v>92</v>
      </c>
      <c r="D3" s="617" t="s">
        <v>93</v>
      </c>
      <c r="E3" s="617" t="s">
        <v>94</v>
      </c>
      <c r="F3" s="617" t="s">
        <v>95</v>
      </c>
      <c r="G3" s="617" t="s">
        <v>96</v>
      </c>
      <c r="H3" s="617" t="s">
        <v>97</v>
      </c>
      <c r="I3" s="617" t="s">
        <v>98</v>
      </c>
      <c r="J3" s="617" t="s">
        <v>99</v>
      </c>
      <c r="K3" s="617" t="s">
        <v>100</v>
      </c>
      <c r="L3" s="617" t="s">
        <v>101</v>
      </c>
      <c r="M3" s="617" t="s">
        <v>102</v>
      </c>
      <c r="N3" s="617" t="s">
        <v>103</v>
      </c>
      <c r="O3" s="618" t="s">
        <v>74</v>
      </c>
    </row>
    <row r="4" spans="1:15" s="70" customFormat="1" ht="15" customHeight="1" thickBot="1">
      <c r="A4" s="69" t="s">
        <v>40</v>
      </c>
      <c r="B4" s="894" t="s">
        <v>78</v>
      </c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6"/>
    </row>
    <row r="5" spans="1:15" s="70" customFormat="1" ht="22.5">
      <c r="A5" s="71" t="s">
        <v>41</v>
      </c>
      <c r="B5" s="288" t="s">
        <v>353</v>
      </c>
      <c r="C5" s="322">
        <f>89000000-286000</f>
        <v>88714000</v>
      </c>
      <c r="D5" s="322">
        <f>89128000-280000</f>
        <v>88848000</v>
      </c>
      <c r="E5" s="322">
        <f>89000000-285000+5359522</f>
        <v>94074522</v>
      </c>
      <c r="F5" s="322">
        <f>89000000-285000+10461768+5359522</f>
        <v>104536290</v>
      </c>
      <c r="G5" s="322">
        <f>104000000-283192+5359522</f>
        <v>109076330</v>
      </c>
      <c r="H5" s="322">
        <f>109000000-283000+5359522</f>
        <v>114076522</v>
      </c>
      <c r="I5" s="322">
        <f>115000000-1280000+5359522-18683734</f>
        <v>100395788</v>
      </c>
      <c r="J5" s="322">
        <f>110000000-1280000+5359522</f>
        <v>114079522</v>
      </c>
      <c r="K5" s="322">
        <f>100000000-1280000+5359522-5893230</f>
        <v>98186292</v>
      </c>
      <c r="L5" s="322">
        <f>96000000-1280000+5359522</f>
        <v>100079522</v>
      </c>
      <c r="M5" s="322">
        <f>97000000-1280000+5359522</f>
        <v>101079522</v>
      </c>
      <c r="N5" s="322">
        <f>97215400-1280000+5359521</f>
        <v>101294921</v>
      </c>
      <c r="O5" s="824">
        <f aca="true" t="shared" si="0" ref="O5:O14">SUM(C5:N5)</f>
        <v>1214441231</v>
      </c>
    </row>
    <row r="6" spans="1:15" s="74" customFormat="1" ht="22.5">
      <c r="A6" s="72" t="s">
        <v>42</v>
      </c>
      <c r="B6" s="154" t="s">
        <v>397</v>
      </c>
      <c r="C6" s="299">
        <f>40000000+3000000</f>
        <v>43000000</v>
      </c>
      <c r="D6" s="299">
        <v>43000000</v>
      </c>
      <c r="E6" s="299">
        <f>38000000+40000000</f>
        <v>78000000</v>
      </c>
      <c r="F6" s="299">
        <f>30000000+40000000+362000+30000000</f>
        <v>100362000</v>
      </c>
      <c r="G6" s="825">
        <v>8000000</v>
      </c>
      <c r="H6" s="825">
        <v>8500000</v>
      </c>
      <c r="I6" s="825">
        <v>9000000</v>
      </c>
      <c r="J6" s="825">
        <v>8500000</v>
      </c>
      <c r="K6" s="825">
        <v>9000000</v>
      </c>
      <c r="L6" s="825">
        <v>8000000</v>
      </c>
      <c r="M6" s="825">
        <v>8500000</v>
      </c>
      <c r="N6" s="825">
        <v>8504323</v>
      </c>
      <c r="O6" s="826">
        <f t="shared" si="0"/>
        <v>332366323</v>
      </c>
    </row>
    <row r="7" spans="1:15" s="74" customFormat="1" ht="22.5">
      <c r="A7" s="72" t="s">
        <v>43</v>
      </c>
      <c r="B7" s="153" t="s">
        <v>398</v>
      </c>
      <c r="C7" s="300"/>
      <c r="D7" s="300"/>
      <c r="E7" s="300">
        <v>500000</v>
      </c>
      <c r="F7" s="300">
        <v>5000000</v>
      </c>
      <c r="G7" s="300">
        <f>3797300+3679276</f>
        <v>7476576</v>
      </c>
      <c r="H7" s="300">
        <f>6000000+71809476+2160000</f>
        <v>79969476</v>
      </c>
      <c r="I7" s="300">
        <v>15956160</v>
      </c>
      <c r="J7" s="300"/>
      <c r="K7" s="827">
        <f>232607039+202150930-15179276</f>
        <v>419578693</v>
      </c>
      <c r="L7" s="300">
        <v>3779393</v>
      </c>
      <c r="M7" s="300"/>
      <c r="N7" s="300"/>
      <c r="O7" s="826">
        <f t="shared" si="0"/>
        <v>532260298</v>
      </c>
    </row>
    <row r="8" spans="1:15" s="74" customFormat="1" ht="13.5" customHeight="1">
      <c r="A8" s="72" t="s">
        <v>44</v>
      </c>
      <c r="B8" s="152" t="s">
        <v>174</v>
      </c>
      <c r="C8" s="299">
        <v>5000000</v>
      </c>
      <c r="D8" s="299">
        <v>5000000</v>
      </c>
      <c r="E8" s="299">
        <v>120000000</v>
      </c>
      <c r="F8" s="299">
        <v>8390000</v>
      </c>
      <c r="G8" s="299">
        <v>5000000</v>
      </c>
      <c r="H8" s="299">
        <f>3000000</f>
        <v>3000000</v>
      </c>
      <c r="I8" s="299">
        <v>3000000</v>
      </c>
      <c r="J8" s="299">
        <v>3000000</v>
      </c>
      <c r="K8" s="299">
        <f>120000000+20000000</f>
        <v>140000000</v>
      </c>
      <c r="L8" s="299">
        <v>10000000</v>
      </c>
      <c r="M8" s="299">
        <f>7000000+2100000</f>
        <v>9100000</v>
      </c>
      <c r="N8" s="299">
        <f>30000000+15000000</f>
        <v>45000000</v>
      </c>
      <c r="O8" s="619">
        <f t="shared" si="0"/>
        <v>356490000</v>
      </c>
    </row>
    <row r="9" spans="1:15" s="74" customFormat="1" ht="13.5" customHeight="1">
      <c r="A9" s="72" t="s">
        <v>45</v>
      </c>
      <c r="B9" s="152" t="s">
        <v>399</v>
      </c>
      <c r="C9" s="299">
        <v>37000000</v>
      </c>
      <c r="D9" s="299">
        <v>37000000</v>
      </c>
      <c r="E9" s="299">
        <v>37000000</v>
      </c>
      <c r="F9" s="299">
        <v>37000000</v>
      </c>
      <c r="G9" s="299">
        <v>37000000</v>
      </c>
      <c r="H9" s="299">
        <f>37000000+270000</f>
        <v>37270000</v>
      </c>
      <c r="I9" s="299">
        <f>37000000+4327496+3500000+100000</f>
        <v>44927496</v>
      </c>
      <c r="J9" s="299">
        <f>37000000+100000</f>
        <v>37100000</v>
      </c>
      <c r="K9" s="825">
        <f>39000000+100000+2000000</f>
        <v>41100000</v>
      </c>
      <c r="L9" s="825">
        <f>39000000+6985000+100000-2000000+2000000</f>
        <v>46085000</v>
      </c>
      <c r="M9" s="825">
        <f>37054678+100000-3000000+2000000</f>
        <v>36154678</v>
      </c>
      <c r="N9" s="825">
        <f>37000000+555000+110437-2652270+1520700</f>
        <v>36533867</v>
      </c>
      <c r="O9" s="826">
        <f t="shared" si="0"/>
        <v>464171041</v>
      </c>
    </row>
    <row r="10" spans="1:15" s="74" customFormat="1" ht="13.5" customHeight="1">
      <c r="A10" s="72" t="s">
        <v>46</v>
      </c>
      <c r="B10" s="152" t="s">
        <v>32</v>
      </c>
      <c r="C10" s="299">
        <v>1920000</v>
      </c>
      <c r="D10" s="299">
        <v>3500000</v>
      </c>
      <c r="E10" s="299">
        <v>250000</v>
      </c>
      <c r="F10" s="299"/>
      <c r="G10" s="299">
        <v>19759000</v>
      </c>
      <c r="H10" s="299">
        <v>1000000</v>
      </c>
      <c r="I10" s="299">
        <v>11000000</v>
      </c>
      <c r="J10" s="299">
        <v>10000000</v>
      </c>
      <c r="K10" s="299"/>
      <c r="L10" s="299"/>
      <c r="M10" s="299"/>
      <c r="N10" s="299"/>
      <c r="O10" s="619">
        <f t="shared" si="0"/>
        <v>47429000</v>
      </c>
    </row>
    <row r="11" spans="1:15" s="74" customFormat="1" ht="13.5" customHeight="1">
      <c r="A11" s="72" t="s">
        <v>47</v>
      </c>
      <c r="B11" s="152" t="s">
        <v>355</v>
      </c>
      <c r="C11" s="299">
        <v>500000</v>
      </c>
      <c r="D11" s="299">
        <v>500000</v>
      </c>
      <c r="E11" s="299">
        <v>550000</v>
      </c>
      <c r="F11" s="299">
        <v>442000</v>
      </c>
      <c r="G11" s="299">
        <v>450000</v>
      </c>
      <c r="H11" s="299">
        <v>450000</v>
      </c>
      <c r="I11" s="299">
        <v>400000</v>
      </c>
      <c r="J11" s="299">
        <v>300000</v>
      </c>
      <c r="K11" s="299">
        <f>300000+80000</f>
        <v>380000</v>
      </c>
      <c r="L11" s="825">
        <f>1666000+140433</f>
        <v>1806433</v>
      </c>
      <c r="M11" s="299">
        <v>300000</v>
      </c>
      <c r="N11" s="299">
        <v>166000</v>
      </c>
      <c r="O11" s="826">
        <f t="shared" si="0"/>
        <v>6244433</v>
      </c>
    </row>
    <row r="12" spans="1:15" s="74" customFormat="1" ht="22.5">
      <c r="A12" s="72" t="s">
        <v>48</v>
      </c>
      <c r="B12" s="154" t="s">
        <v>385</v>
      </c>
      <c r="C12" s="299"/>
      <c r="D12" s="299"/>
      <c r="E12" s="299"/>
      <c r="F12" s="299"/>
      <c r="G12" s="299"/>
      <c r="H12" s="299"/>
      <c r="I12" s="299">
        <v>1200000</v>
      </c>
      <c r="J12" s="299"/>
      <c r="K12" s="299"/>
      <c r="L12" s="299"/>
      <c r="M12" s="299"/>
      <c r="N12" s="299"/>
      <c r="O12" s="619">
        <f t="shared" si="0"/>
        <v>1200000</v>
      </c>
    </row>
    <row r="13" spans="1:15" s="74" customFormat="1" ht="13.5" customHeight="1" thickBot="1">
      <c r="A13" s="72" t="s">
        <v>49</v>
      </c>
      <c r="B13" s="152" t="s">
        <v>33</v>
      </c>
      <c r="C13" s="73">
        <v>292999415</v>
      </c>
      <c r="D13" s="73"/>
      <c r="E13" s="73">
        <v>10000000</v>
      </c>
      <c r="F13" s="73"/>
      <c r="G13" s="73"/>
      <c r="H13" s="73">
        <v>20000000</v>
      </c>
      <c r="I13" s="73">
        <v>64100000</v>
      </c>
      <c r="J13" s="73">
        <v>20000000</v>
      </c>
      <c r="K13" s="299">
        <v>10000000</v>
      </c>
      <c r="L13" s="299"/>
      <c r="M13" s="299">
        <f>20000000+37900000+5500000</f>
        <v>63400000</v>
      </c>
      <c r="N13" s="299"/>
      <c r="O13" s="619">
        <f t="shared" si="0"/>
        <v>480499415</v>
      </c>
    </row>
    <row r="14" spans="1:15" s="70" customFormat="1" ht="15.75" customHeight="1" thickBot="1">
      <c r="A14" s="69" t="s">
        <v>50</v>
      </c>
      <c r="B14" s="34" t="s">
        <v>127</v>
      </c>
      <c r="C14" s="75">
        <f aca="true" t="shared" si="1" ref="C14:N14">SUM(C5:C13)</f>
        <v>469133415</v>
      </c>
      <c r="D14" s="75">
        <f t="shared" si="1"/>
        <v>177848000</v>
      </c>
      <c r="E14" s="75">
        <f t="shared" si="1"/>
        <v>340374522</v>
      </c>
      <c r="F14" s="75">
        <f t="shared" si="1"/>
        <v>255730290</v>
      </c>
      <c r="G14" s="75">
        <f t="shared" si="1"/>
        <v>186761906</v>
      </c>
      <c r="H14" s="75">
        <f t="shared" si="1"/>
        <v>264265998</v>
      </c>
      <c r="I14" s="75">
        <f t="shared" si="1"/>
        <v>249979444</v>
      </c>
      <c r="J14" s="75">
        <f t="shared" si="1"/>
        <v>192979522</v>
      </c>
      <c r="K14" s="75">
        <f t="shared" si="1"/>
        <v>718244985</v>
      </c>
      <c r="L14" s="75">
        <f t="shared" si="1"/>
        <v>169750348</v>
      </c>
      <c r="M14" s="75">
        <f t="shared" si="1"/>
        <v>218534200</v>
      </c>
      <c r="N14" s="75">
        <f t="shared" si="1"/>
        <v>191499111</v>
      </c>
      <c r="O14" s="76">
        <f t="shared" si="0"/>
        <v>3435101741</v>
      </c>
    </row>
    <row r="15" spans="1:15" s="70" customFormat="1" ht="15" customHeight="1" thickBot="1">
      <c r="A15" s="69" t="s">
        <v>51</v>
      </c>
      <c r="B15" s="894" t="s">
        <v>79</v>
      </c>
      <c r="C15" s="895"/>
      <c r="D15" s="895"/>
      <c r="E15" s="895"/>
      <c r="F15" s="895"/>
      <c r="G15" s="895"/>
      <c r="H15" s="895"/>
      <c r="I15" s="895"/>
      <c r="J15" s="895"/>
      <c r="K15" s="895"/>
      <c r="L15" s="895"/>
      <c r="M15" s="895"/>
      <c r="N15" s="895"/>
      <c r="O15" s="896"/>
    </row>
    <row r="16" spans="1:15" s="74" customFormat="1" ht="13.5" customHeight="1">
      <c r="A16" s="77" t="s">
        <v>52</v>
      </c>
      <c r="B16" s="155" t="s">
        <v>85</v>
      </c>
      <c r="C16" s="300">
        <v>83000000</v>
      </c>
      <c r="D16" s="300">
        <v>83105000</v>
      </c>
      <c r="E16" s="300">
        <f>83000000+31471300</f>
        <v>114471300</v>
      </c>
      <c r="F16" s="300">
        <f>81000000+31471300+326126+3025822</f>
        <v>115823248</v>
      </c>
      <c r="G16" s="827">
        <f>81000000+31471300+12214480+3025822-34000000</f>
        <v>93711602</v>
      </c>
      <c r="H16" s="827">
        <f>82000000+31471300+12214480+3025821-199044+76000+1000000-34500000</f>
        <v>95088557</v>
      </c>
      <c r="I16" s="827">
        <f>81000000+31471300+12214480+3025822-199044+15000+622444-34000000</f>
        <v>94150002</v>
      </c>
      <c r="J16" s="827">
        <f>81000000+31471300+12214480+3025822-199044+1275000+622444-34500000</f>
        <v>94910002</v>
      </c>
      <c r="K16" s="827">
        <f>81000000+31471300+12214480+3025822-199044+15000+1275000+622443-34500000</f>
        <v>94925001</v>
      </c>
      <c r="L16" s="827">
        <f>81205571+31471295+12214480+3025821-199044+622443+1903000+5000000-34000000</f>
        <v>101243566</v>
      </c>
      <c r="M16" s="827">
        <f>81000000+12214480-5+3025822-199044+622444+1904000+4000000-34000000</f>
        <v>68567697</v>
      </c>
      <c r="N16" s="827">
        <f>81000000+3025822-199044+20000+622444+1903000+1096+3960546-35533584</f>
        <v>54800280</v>
      </c>
      <c r="O16" s="828">
        <f aca="true" t="shared" si="2" ref="O16:O26">SUM(C16:N16)</f>
        <v>1093796255</v>
      </c>
    </row>
    <row r="17" spans="1:15" s="74" customFormat="1" ht="27" customHeight="1">
      <c r="A17" s="72" t="s">
        <v>53</v>
      </c>
      <c r="B17" s="154" t="s">
        <v>183</v>
      </c>
      <c r="C17" s="299">
        <f>17840000+340000</f>
        <v>18180000</v>
      </c>
      <c r="D17" s="299">
        <f>17863000+335000</f>
        <v>18198000</v>
      </c>
      <c r="E17" s="299">
        <f>17840000+3461842+407211</f>
        <v>21709053</v>
      </c>
      <c r="F17" s="299">
        <f>17400000+3461842+35874+644474</f>
        <v>21542190</v>
      </c>
      <c r="G17" s="825">
        <f>17400000+364361+3461842+1343593+644475-3500000</f>
        <v>19714271</v>
      </c>
      <c r="H17" s="825">
        <f>17620000+3461842+1343593+644474-40055+37984+220000-3000000</f>
        <v>20287838</v>
      </c>
      <c r="I17" s="825">
        <f>17400000+3461842+1343593+644475-40054+6000+112959-3500000</f>
        <v>19428815</v>
      </c>
      <c r="J17" s="825">
        <f>17400000+3461842+1343593+644474-40055+280500+112959-3000000</f>
        <v>20203313</v>
      </c>
      <c r="K17" s="825">
        <f>17400000+3461842+1343593+644475-40055+6000+280500+112959-3500000</f>
        <v>19709314</v>
      </c>
      <c r="L17" s="825">
        <f>17440000+3461842+1343593+644474-40054+112959+418000+60000+1200000-3500000</f>
        <v>21140814</v>
      </c>
      <c r="M17" s="825">
        <f>17400000+1343593-2+644475-40055+112959+419000+60000+950000-3000000</f>
        <v>17889970</v>
      </c>
      <c r="N17" s="825">
        <f>17400000+644475-40054+9830+112959+420000+61961+863037-5480392</f>
        <v>13991816</v>
      </c>
      <c r="O17" s="826">
        <f t="shared" si="2"/>
        <v>231995394</v>
      </c>
    </row>
    <row r="18" spans="1:15" s="74" customFormat="1" ht="13.5" customHeight="1">
      <c r="A18" s="72" t="s">
        <v>54</v>
      </c>
      <c r="B18" s="152" t="s">
        <v>152</v>
      </c>
      <c r="C18" s="299">
        <v>84000000</v>
      </c>
      <c r="D18" s="299">
        <v>84000000</v>
      </c>
      <c r="E18" s="299">
        <f>84000000+4158000</f>
        <v>88158000</v>
      </c>
      <c r="F18" s="299">
        <f>75000000+4158000</f>
        <v>79158000</v>
      </c>
      <c r="G18" s="825">
        <f>74000000+4158000+200000+3939600+3519761-2400000</f>
        <v>83417361</v>
      </c>
      <c r="H18" s="825">
        <f>52397442+4158000+200000+270000+3800000+3519761+3000000-2500000</f>
        <v>64845203</v>
      </c>
      <c r="I18" s="825">
        <f>60000000+4158000+200000+3800000+3519761+3000000+2000000-2500000</f>
        <v>74177761</v>
      </c>
      <c r="J18" s="825">
        <f>60000000+4158000+200000+3800000+3519761+1000000+2000000+2000000-2400000</f>
        <v>74277761</v>
      </c>
      <c r="K18" s="825">
        <f>55000000+4158000+200000+3800000+3519761+2295882+3000000+2000000-2500000</f>
        <v>71473643</v>
      </c>
      <c r="L18" s="825">
        <f>65000000+4158000+200000+3800000+3519761+3000000+1384339+2000000+1300000-2500000</f>
        <v>81862100</v>
      </c>
      <c r="M18" s="825">
        <f>75000000+4158000+200000+3800000+3519761+1500000+2000000+1429458-2500000</f>
        <v>89107219</v>
      </c>
      <c r="N18" s="825">
        <f>84000000+4158000-96+200000-8488680+3800000+3519761+1500000+565807+1300000-2400000-20295</f>
        <v>88134497</v>
      </c>
      <c r="O18" s="826">
        <f t="shared" si="2"/>
        <v>962611545</v>
      </c>
    </row>
    <row r="19" spans="1:15" s="74" customFormat="1" ht="13.5" customHeight="1">
      <c r="A19" s="72" t="s">
        <v>55</v>
      </c>
      <c r="B19" s="152" t="s">
        <v>184</v>
      </c>
      <c r="C19" s="299">
        <v>4000000</v>
      </c>
      <c r="D19" s="299">
        <v>4000000</v>
      </c>
      <c r="E19" s="299">
        <v>5000000</v>
      </c>
      <c r="F19" s="299">
        <v>4000000</v>
      </c>
      <c r="G19" s="299">
        <v>5000000</v>
      </c>
      <c r="H19" s="299">
        <v>5000000</v>
      </c>
      <c r="I19" s="299">
        <v>4000000</v>
      </c>
      <c r="J19" s="299">
        <v>17000000</v>
      </c>
      <c r="K19" s="299">
        <v>5000000</v>
      </c>
      <c r="L19" s="299">
        <f>4230000-2901260</f>
        <v>1328740</v>
      </c>
      <c r="M19" s="825">
        <f>17000000-2000000-5080000</f>
        <v>9920000</v>
      </c>
      <c r="N19" s="299">
        <f>21000000-2000000</f>
        <v>19000000</v>
      </c>
      <c r="O19" s="826">
        <f t="shared" si="2"/>
        <v>83248740</v>
      </c>
    </row>
    <row r="20" spans="1:15" s="74" customFormat="1" ht="13.5" customHeight="1">
      <c r="A20" s="72" t="s">
        <v>56</v>
      </c>
      <c r="B20" s="152" t="s">
        <v>34</v>
      </c>
      <c r="C20" s="299">
        <v>1500</v>
      </c>
      <c r="D20" s="299"/>
      <c r="E20" s="299">
        <f>8000000+3500000</f>
        <v>11500000</v>
      </c>
      <c r="F20" s="299">
        <v>2000000</v>
      </c>
      <c r="G20" s="299">
        <f>2000000+6600000+7242044+60754+2000000</f>
        <v>17902798</v>
      </c>
      <c r="H20" s="299">
        <v>10000000</v>
      </c>
      <c r="I20" s="299">
        <f>1165000+7351000</f>
        <v>8516000</v>
      </c>
      <c r="J20" s="299">
        <v>1000000</v>
      </c>
      <c r="K20" s="299">
        <f>8000000+4000000+3000000</f>
        <v>15000000</v>
      </c>
      <c r="L20" s="825">
        <f>2000000+3017500+6407504</f>
        <v>11425004</v>
      </c>
      <c r="M20" s="299">
        <f>2000000+4784709</f>
        <v>6784709</v>
      </c>
      <c r="N20" s="299">
        <v>1000000</v>
      </c>
      <c r="O20" s="826">
        <f t="shared" si="2"/>
        <v>85130011</v>
      </c>
    </row>
    <row r="21" spans="1:16" s="74" customFormat="1" ht="13.5" customHeight="1">
      <c r="A21" s="72" t="s">
        <v>57</v>
      </c>
      <c r="B21" s="152" t="s">
        <v>203</v>
      </c>
      <c r="C21" s="299">
        <v>2000000</v>
      </c>
      <c r="D21" s="299">
        <v>2000000</v>
      </c>
      <c r="E21" s="299">
        <v>2500000</v>
      </c>
      <c r="F21" s="299">
        <f>4500000+979170</f>
        <v>5479170</v>
      </c>
      <c r="G21" s="299">
        <f>8000000-265000</f>
        <v>7735000</v>
      </c>
      <c r="H21" s="299">
        <f>8500000+63976</f>
        <v>8563976</v>
      </c>
      <c r="I21" s="299">
        <f>2500000+18116187+2239176+988736+1000000</f>
        <v>24844099</v>
      </c>
      <c r="J21" s="825">
        <f>3000000+1000000-2000000</f>
        <v>2000000</v>
      </c>
      <c r="K21" s="825">
        <f>2000000+1000000-1000000</f>
        <v>2000000</v>
      </c>
      <c r="L21" s="825">
        <f>2000000+70000000+1000000+8904148-4000000</f>
        <v>77904148</v>
      </c>
      <c r="M21" s="825">
        <f>3000000+16000000+1000000-2000000</f>
        <v>18000000</v>
      </c>
      <c r="N21" s="825">
        <f>2000000+7000000+214128350+937364-9155486</f>
        <v>214910228</v>
      </c>
      <c r="O21" s="826">
        <f t="shared" si="2"/>
        <v>367936621</v>
      </c>
      <c r="P21" s="321"/>
    </row>
    <row r="22" spans="1:15" s="74" customFormat="1" ht="15.75">
      <c r="A22" s="72" t="s">
        <v>58</v>
      </c>
      <c r="B22" s="154" t="s">
        <v>187</v>
      </c>
      <c r="C22" s="299"/>
      <c r="D22" s="299"/>
      <c r="E22" s="299">
        <v>365393</v>
      </c>
      <c r="F22" s="299">
        <v>1794600</v>
      </c>
      <c r="G22" s="299">
        <f>2158000+578000+157000</f>
        <v>2893000</v>
      </c>
      <c r="H22" s="299">
        <f>2000000+1000000+239841</f>
        <v>3239841</v>
      </c>
      <c r="I22" s="299">
        <f>70000000+600000+200000</f>
        <v>70800000</v>
      </c>
      <c r="J22" s="825">
        <f>3000000+2866987+5566352+5929+3795044+2330000</f>
        <v>17564312</v>
      </c>
      <c r="K22" s="825"/>
      <c r="L22" s="825">
        <f>2500000+5714910+18700651+2330000</f>
        <v>29245561</v>
      </c>
      <c r="M22" s="825">
        <f>18459450+2330000</f>
        <v>20789450</v>
      </c>
      <c r="N22" s="825">
        <f>188498728+2343667</f>
        <v>190842395</v>
      </c>
      <c r="O22" s="826">
        <f t="shared" si="2"/>
        <v>337534552</v>
      </c>
    </row>
    <row r="23" spans="1:15" s="74" customFormat="1" ht="13.5" customHeight="1">
      <c r="A23" s="72" t="s">
        <v>59</v>
      </c>
      <c r="B23" s="152" t="s">
        <v>205</v>
      </c>
      <c r="C23" s="299"/>
      <c r="D23" s="299"/>
      <c r="E23" s="299"/>
      <c r="F23" s="299">
        <v>2400000</v>
      </c>
      <c r="G23" s="299">
        <v>1348000</v>
      </c>
      <c r="H23" s="299">
        <v>600000</v>
      </c>
      <c r="I23" s="299">
        <v>42072000</v>
      </c>
      <c r="J23" s="299"/>
      <c r="K23" s="299"/>
      <c r="L23" s="825">
        <v>1079500</v>
      </c>
      <c r="M23" s="299"/>
      <c r="N23" s="299">
        <v>5000</v>
      </c>
      <c r="O23" s="826">
        <f t="shared" si="2"/>
        <v>47504500</v>
      </c>
    </row>
    <row r="24" spans="1:15" s="74" customFormat="1" ht="13.5" customHeight="1">
      <c r="A24" s="72" t="s">
        <v>60</v>
      </c>
      <c r="B24" s="152" t="s">
        <v>72</v>
      </c>
      <c r="C24" s="299"/>
      <c r="D24" s="299"/>
      <c r="E24" s="299">
        <v>500000</v>
      </c>
      <c r="F24" s="299">
        <f>14000000-1700000-1600000-8539600</f>
        <v>2160400</v>
      </c>
      <c r="G24" s="299">
        <f>14000000-1700000+2396232-7948000</f>
        <v>6748232</v>
      </c>
      <c r="H24" s="299">
        <f>15000000-1700000-1000000-7343244+30115784-15000000</f>
        <v>20072540</v>
      </c>
      <c r="I24" s="299">
        <f>15000000-1700000-1000000-3912914</f>
        <v>8387086</v>
      </c>
      <c r="J24" s="299">
        <f>15000000-1700000-1000000-3000000</f>
        <v>9300000</v>
      </c>
      <c r="K24" s="299">
        <f>14613300-1700000-1010722-3000000</f>
        <v>8902578</v>
      </c>
      <c r="L24" s="825">
        <f>14500000-1700000-3000000+2000000-1604492</f>
        <v>10195508</v>
      </c>
      <c r="M24" s="299">
        <f>14000000-1700000-3000000+2000000</f>
        <v>11300000</v>
      </c>
      <c r="N24" s="299">
        <f>14000000-1700000-1745643-3000000+1897490</f>
        <v>9451847</v>
      </c>
      <c r="O24" s="826">
        <f t="shared" si="2"/>
        <v>87018191</v>
      </c>
    </row>
    <row r="25" spans="1:15" s="74" customFormat="1" ht="13.5" customHeight="1" thickBot="1">
      <c r="A25" s="72" t="s">
        <v>61</v>
      </c>
      <c r="B25" s="152" t="s">
        <v>35</v>
      </c>
      <c r="C25" s="73">
        <v>35164932</v>
      </c>
      <c r="D25" s="73"/>
      <c r="E25" s="73">
        <v>790000</v>
      </c>
      <c r="F25" s="299"/>
      <c r="G25" s="73"/>
      <c r="H25" s="299">
        <v>790000</v>
      </c>
      <c r="I25" s="299"/>
      <c r="J25" s="299"/>
      <c r="K25" s="299">
        <v>791000</v>
      </c>
      <c r="L25" s="299">
        <v>70000000</v>
      </c>
      <c r="M25" s="299"/>
      <c r="N25" s="299">
        <v>30790000</v>
      </c>
      <c r="O25" s="619">
        <f t="shared" si="2"/>
        <v>138325932</v>
      </c>
    </row>
    <row r="26" spans="1:15" s="70" customFormat="1" ht="15.75" customHeight="1" thickBot="1">
      <c r="A26" s="78" t="s">
        <v>62</v>
      </c>
      <c r="B26" s="34" t="s">
        <v>128</v>
      </c>
      <c r="C26" s="75">
        <f aca="true" t="shared" si="3" ref="C26:N26">SUM(C16:C25)</f>
        <v>226346432</v>
      </c>
      <c r="D26" s="75">
        <f t="shared" si="3"/>
        <v>191303000</v>
      </c>
      <c r="E26" s="75">
        <f t="shared" si="3"/>
        <v>244993746</v>
      </c>
      <c r="F26" s="75">
        <f t="shared" si="3"/>
        <v>234357608</v>
      </c>
      <c r="G26" s="75">
        <f t="shared" si="3"/>
        <v>238470264</v>
      </c>
      <c r="H26" s="75">
        <f t="shared" si="3"/>
        <v>228487955</v>
      </c>
      <c r="I26" s="75">
        <f t="shared" si="3"/>
        <v>346375763</v>
      </c>
      <c r="J26" s="75">
        <f t="shared" si="3"/>
        <v>236255388</v>
      </c>
      <c r="K26" s="75">
        <f t="shared" si="3"/>
        <v>217801536</v>
      </c>
      <c r="L26" s="75">
        <f t="shared" si="3"/>
        <v>405424941</v>
      </c>
      <c r="M26" s="75">
        <f t="shared" si="3"/>
        <v>242359045</v>
      </c>
      <c r="N26" s="75">
        <f t="shared" si="3"/>
        <v>622926063</v>
      </c>
      <c r="O26" s="76">
        <f t="shared" si="2"/>
        <v>3435101741</v>
      </c>
    </row>
    <row r="27" spans="1:15" ht="16.5" thickBot="1">
      <c r="A27" s="78" t="s">
        <v>63</v>
      </c>
      <c r="B27" s="156" t="s">
        <v>129</v>
      </c>
      <c r="C27" s="79">
        <f aca="true" t="shared" si="4" ref="C27:O27">C14-C26</f>
        <v>242786983</v>
      </c>
      <c r="D27" s="79">
        <f t="shared" si="4"/>
        <v>-13455000</v>
      </c>
      <c r="E27" s="79">
        <f t="shared" si="4"/>
        <v>95380776</v>
      </c>
      <c r="F27" s="79">
        <f t="shared" si="4"/>
        <v>21372682</v>
      </c>
      <c r="G27" s="79">
        <f t="shared" si="4"/>
        <v>-51708358</v>
      </c>
      <c r="H27" s="79">
        <f t="shared" si="4"/>
        <v>35778043</v>
      </c>
      <c r="I27" s="79">
        <f t="shared" si="4"/>
        <v>-96396319</v>
      </c>
      <c r="J27" s="79">
        <f t="shared" si="4"/>
        <v>-43275866</v>
      </c>
      <c r="K27" s="79">
        <f t="shared" si="4"/>
        <v>500443449</v>
      </c>
      <c r="L27" s="79">
        <f t="shared" si="4"/>
        <v>-235674593</v>
      </c>
      <c r="M27" s="79">
        <f t="shared" si="4"/>
        <v>-23824845</v>
      </c>
      <c r="N27" s="79">
        <f t="shared" si="4"/>
        <v>-431426952</v>
      </c>
      <c r="O27" s="80">
        <f t="shared" si="4"/>
        <v>0</v>
      </c>
    </row>
    <row r="28" ht="15.75">
      <c r="A28" s="82"/>
    </row>
    <row r="29" spans="2:15" ht="15.75">
      <c r="B29" s="83"/>
      <c r="C29" s="84"/>
      <c r="D29" s="84"/>
      <c r="O29" s="81"/>
    </row>
    <row r="30" ht="15.75">
      <c r="O30" s="81"/>
    </row>
    <row r="31" ht="15.75">
      <c r="O31" s="81"/>
    </row>
    <row r="32" ht="15.75">
      <c r="O32" s="81"/>
    </row>
    <row r="33" ht="15.75">
      <c r="O33" s="81"/>
    </row>
    <row r="34" ht="15.75">
      <c r="O34" s="81"/>
    </row>
    <row r="35" ht="15.75">
      <c r="O35" s="81"/>
    </row>
    <row r="36" ht="15.75">
      <c r="O36" s="81"/>
    </row>
    <row r="37" ht="15.75">
      <c r="O37" s="81"/>
    </row>
    <row r="38" ht="15.75">
      <c r="O38" s="81"/>
    </row>
    <row r="39" ht="15.75">
      <c r="O39" s="81"/>
    </row>
    <row r="40" ht="15.75">
      <c r="O40" s="81"/>
    </row>
    <row r="41" ht="15.75">
      <c r="O41" s="81"/>
    </row>
    <row r="42" ht="15.75">
      <c r="O42" s="81"/>
    </row>
    <row r="43" ht="15.75">
      <c r="O43" s="81"/>
    </row>
    <row r="44" ht="15.75">
      <c r="O44" s="81"/>
    </row>
    <row r="45" ht="15.75">
      <c r="O45" s="81"/>
    </row>
    <row r="46" ht="15.75">
      <c r="O46" s="81"/>
    </row>
    <row r="47" ht="15.75">
      <c r="O47" s="81"/>
    </row>
    <row r="48" ht="15.75">
      <c r="O48" s="81"/>
    </row>
    <row r="49" ht="15.75">
      <c r="O49" s="81"/>
    </row>
    <row r="50" ht="15.75">
      <c r="O50" s="81"/>
    </row>
    <row r="51" ht="15.75">
      <c r="O51" s="81"/>
    </row>
    <row r="52" ht="15.75">
      <c r="O52" s="81"/>
    </row>
    <row r="53" ht="15.75">
      <c r="O53" s="81"/>
    </row>
    <row r="54" ht="15.75">
      <c r="O54" s="81"/>
    </row>
    <row r="55" ht="15.75">
      <c r="O55" s="81"/>
    </row>
    <row r="56" ht="15.75">
      <c r="O56" s="81"/>
    </row>
    <row r="57" ht="15.75">
      <c r="O57" s="81"/>
    </row>
    <row r="58" ht="15.75">
      <c r="O58" s="81"/>
    </row>
    <row r="59" ht="15.75">
      <c r="O59" s="81"/>
    </row>
    <row r="60" ht="15.75">
      <c r="O60" s="81"/>
    </row>
    <row r="61" ht="15.75">
      <c r="O61" s="81"/>
    </row>
    <row r="62" ht="15.75">
      <c r="O62" s="81"/>
    </row>
    <row r="63" ht="15.75">
      <c r="O63" s="81"/>
    </row>
    <row r="64" ht="15.75">
      <c r="O64" s="81"/>
    </row>
    <row r="65" ht="15.75">
      <c r="O65" s="81"/>
    </row>
    <row r="66" ht="15.75">
      <c r="O66" s="81"/>
    </row>
    <row r="67" ht="15.75">
      <c r="O67" s="81"/>
    </row>
    <row r="68" ht="15.75">
      <c r="O68" s="81"/>
    </row>
    <row r="69" ht="15.75">
      <c r="O69" s="81"/>
    </row>
    <row r="70" ht="15.75">
      <c r="O70" s="81"/>
    </row>
    <row r="71" ht="15.75">
      <c r="O71" s="81"/>
    </row>
    <row r="72" ht="15.75">
      <c r="O72" s="81"/>
    </row>
    <row r="73" ht="15.75">
      <c r="O73" s="81"/>
    </row>
    <row r="74" ht="15.75">
      <c r="O74" s="81"/>
    </row>
    <row r="75" ht="15.75">
      <c r="O75" s="81"/>
    </row>
    <row r="76" ht="15.75">
      <c r="O76" s="81"/>
    </row>
    <row r="77" ht="15.75">
      <c r="O77" s="81"/>
    </row>
    <row r="78" ht="15.75">
      <c r="O78" s="81"/>
    </row>
    <row r="79" ht="15.75">
      <c r="O79" s="81"/>
    </row>
    <row r="80" ht="15.75">
      <c r="O80" s="81"/>
    </row>
    <row r="81" ht="15.75">
      <c r="O81" s="81"/>
    </row>
    <row r="82" ht="15.75">
      <c r="O82" s="81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7" r:id="rId1"/>
  <headerFooter alignWithMargins="0">
    <oddHeader>&amp;R&amp;"Times New Roman CE,Dőlt"&amp;11 28. melléklet a  28/2017.(X.27.) önkormányzati rendelethez
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view="pageLayout" workbookViewId="0" topLeftCell="A1">
      <selection activeCell="D2" sqref="D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897" t="s">
        <v>627</v>
      </c>
      <c r="B1" s="897"/>
      <c r="C1" s="897"/>
      <c r="D1" s="897"/>
    </row>
    <row r="2" spans="1:4" ht="17.25" customHeight="1">
      <c r="A2" s="229"/>
      <c r="B2" s="229"/>
      <c r="C2" s="229"/>
      <c r="D2" s="229"/>
    </row>
    <row r="3" spans="1:4" ht="13.5" thickBot="1">
      <c r="A3" s="104"/>
      <c r="B3" s="104"/>
      <c r="C3" s="898" t="s">
        <v>647</v>
      </c>
      <c r="D3" s="898"/>
    </row>
    <row r="4" spans="1:4" ht="42.75" customHeight="1" thickBot="1">
      <c r="A4" s="230" t="s">
        <v>91</v>
      </c>
      <c r="B4" s="231" t="s">
        <v>138</v>
      </c>
      <c r="C4" s="231" t="s">
        <v>139</v>
      </c>
      <c r="D4" s="232" t="s">
        <v>36</v>
      </c>
    </row>
    <row r="5" spans="1:6" ht="15.75" customHeight="1">
      <c r="A5" s="105" t="s">
        <v>40</v>
      </c>
      <c r="B5" s="26" t="s">
        <v>439</v>
      </c>
      <c r="C5" s="290" t="s">
        <v>440</v>
      </c>
      <c r="D5" s="27">
        <v>5000000</v>
      </c>
      <c r="E5" s="40"/>
      <c r="F5" s="40"/>
    </row>
    <row r="6" spans="1:6" ht="15.75" customHeight="1">
      <c r="A6" s="105" t="s">
        <v>41</v>
      </c>
      <c r="B6" s="28" t="s">
        <v>441</v>
      </c>
      <c r="C6" s="30" t="s">
        <v>440</v>
      </c>
      <c r="D6" s="29">
        <f>1500000+375000</f>
        <v>1875000</v>
      </c>
      <c r="E6" s="40"/>
      <c r="F6" s="40"/>
    </row>
    <row r="7" spans="1:6" ht="15.75" customHeight="1">
      <c r="A7" s="105" t="s">
        <v>42</v>
      </c>
      <c r="B7" s="28" t="s">
        <v>442</v>
      </c>
      <c r="C7" s="30" t="s">
        <v>440</v>
      </c>
      <c r="D7" s="29">
        <v>500000</v>
      </c>
      <c r="E7" s="40"/>
      <c r="F7" s="40"/>
    </row>
    <row r="8" spans="1:6" ht="15.75" customHeight="1">
      <c r="A8" s="105" t="s">
        <v>43</v>
      </c>
      <c r="B8" s="28" t="s">
        <v>443</v>
      </c>
      <c r="C8" s="28" t="s">
        <v>440</v>
      </c>
      <c r="D8" s="29">
        <f>4000000+2000000+4000000+2500000</f>
        <v>12500000</v>
      </c>
      <c r="E8" s="40"/>
      <c r="F8" s="40"/>
    </row>
    <row r="9" spans="1:6" ht="15.75" customHeight="1">
      <c r="A9" s="105" t="s">
        <v>44</v>
      </c>
      <c r="B9" s="28" t="s">
        <v>444</v>
      </c>
      <c r="C9" s="292" t="s">
        <v>440</v>
      </c>
      <c r="D9" s="29">
        <v>200000</v>
      </c>
      <c r="E9" s="40"/>
      <c r="F9" s="40"/>
    </row>
    <row r="10" spans="1:6" ht="15.75" customHeight="1">
      <c r="A10" s="105" t="s">
        <v>45</v>
      </c>
      <c r="B10" s="28" t="s">
        <v>445</v>
      </c>
      <c r="C10" s="28" t="s">
        <v>440</v>
      </c>
      <c r="D10" s="29">
        <v>800000</v>
      </c>
      <c r="E10" s="40"/>
      <c r="F10" s="40"/>
    </row>
    <row r="11" spans="1:6" ht="15.75" customHeight="1">
      <c r="A11" s="105" t="s">
        <v>46</v>
      </c>
      <c r="B11" s="28" t="s">
        <v>446</v>
      </c>
      <c r="C11" s="291" t="s">
        <v>440</v>
      </c>
      <c r="D11" s="29">
        <v>150000</v>
      </c>
      <c r="E11" s="40"/>
      <c r="F11" s="40"/>
    </row>
    <row r="12" spans="1:6" ht="15.75" customHeight="1">
      <c r="A12" s="105" t="s">
        <v>47</v>
      </c>
      <c r="B12" s="28" t="s">
        <v>447</v>
      </c>
      <c r="C12" s="291" t="s">
        <v>440</v>
      </c>
      <c r="D12" s="29">
        <v>50000</v>
      </c>
      <c r="E12" s="40"/>
      <c r="F12" s="40"/>
    </row>
    <row r="13" spans="1:6" ht="15.75" customHeight="1">
      <c r="A13" s="105" t="s">
        <v>48</v>
      </c>
      <c r="B13" s="28" t="s">
        <v>489</v>
      </c>
      <c r="C13" s="28" t="s">
        <v>448</v>
      </c>
      <c r="D13" s="29">
        <v>42072000</v>
      </c>
      <c r="E13" s="40"/>
      <c r="F13" s="40"/>
    </row>
    <row r="14" spans="1:6" ht="15.75" customHeight="1">
      <c r="A14" s="105" t="s">
        <v>49</v>
      </c>
      <c r="B14" s="28" t="s">
        <v>489</v>
      </c>
      <c r="C14" s="28" t="s">
        <v>440</v>
      </c>
      <c r="D14" s="29">
        <v>7562000</v>
      </c>
      <c r="E14" s="40"/>
      <c r="F14" s="40"/>
    </row>
    <row r="15" spans="1:6" ht="15.75" customHeight="1">
      <c r="A15" s="105" t="s">
        <v>50</v>
      </c>
      <c r="B15" s="28" t="s">
        <v>449</v>
      </c>
      <c r="C15" s="28" t="s">
        <v>440</v>
      </c>
      <c r="D15" s="29">
        <v>16678000</v>
      </c>
      <c r="E15" s="40"/>
      <c r="F15" s="315"/>
    </row>
    <row r="16" spans="1:6" ht="15.75" customHeight="1">
      <c r="A16" s="105" t="s">
        <v>51</v>
      </c>
      <c r="B16" s="28" t="s">
        <v>450</v>
      </c>
      <c r="C16" s="28" t="s">
        <v>440</v>
      </c>
      <c r="D16" s="29">
        <v>536000</v>
      </c>
      <c r="E16" s="40"/>
      <c r="F16" s="40"/>
    </row>
    <row r="17" spans="1:4" ht="15.75" customHeight="1">
      <c r="A17" s="105" t="s">
        <v>52</v>
      </c>
      <c r="B17" s="28" t="s">
        <v>649</v>
      </c>
      <c r="C17" s="28" t="s">
        <v>440</v>
      </c>
      <c r="D17" s="29">
        <v>189000</v>
      </c>
    </row>
    <row r="18" spans="1:4" ht="15.75" customHeight="1">
      <c r="A18" s="829" t="s">
        <v>53</v>
      </c>
      <c r="B18" s="830" t="s">
        <v>11</v>
      </c>
      <c r="C18" s="830" t="s">
        <v>440</v>
      </c>
      <c r="D18" s="831">
        <f>3500000+6600000+7351000+3261000</f>
        <v>20712000</v>
      </c>
    </row>
    <row r="19" spans="1:4" ht="15.75" customHeight="1">
      <c r="A19" s="105" t="s">
        <v>54</v>
      </c>
      <c r="B19" s="28" t="s">
        <v>12</v>
      </c>
      <c r="C19" s="28" t="s">
        <v>448</v>
      </c>
      <c r="D19" s="55">
        <v>2400000</v>
      </c>
    </row>
    <row r="20" spans="1:4" ht="15.75" customHeight="1">
      <c r="A20" s="105" t="s">
        <v>55</v>
      </c>
      <c r="B20" s="28" t="s">
        <v>687</v>
      </c>
      <c r="C20" s="28" t="s">
        <v>448</v>
      </c>
      <c r="D20" s="55">
        <v>1348000</v>
      </c>
    </row>
    <row r="21" spans="1:4" ht="21">
      <c r="A21" s="829" t="s">
        <v>56</v>
      </c>
      <c r="B21" s="832" t="s">
        <v>738</v>
      </c>
      <c r="C21" s="830" t="s">
        <v>448</v>
      </c>
      <c r="D21" s="831">
        <f>600000+1079500</f>
        <v>1679500</v>
      </c>
    </row>
    <row r="22" spans="1:4" ht="21">
      <c r="A22" s="829" t="s">
        <v>57</v>
      </c>
      <c r="B22" s="832" t="s">
        <v>740</v>
      </c>
      <c r="C22" s="830" t="s">
        <v>440</v>
      </c>
      <c r="D22" s="831">
        <v>3000000</v>
      </c>
    </row>
    <row r="23" spans="1:4" ht="15.75" customHeight="1">
      <c r="A23" s="105" t="s">
        <v>58</v>
      </c>
      <c r="B23" s="28" t="s">
        <v>0</v>
      </c>
      <c r="C23" s="28" t="s">
        <v>440</v>
      </c>
      <c r="D23" s="55">
        <f>60754-60754</f>
        <v>0</v>
      </c>
    </row>
    <row r="24" spans="1:4" ht="15.75" customHeight="1">
      <c r="A24" s="105" t="s">
        <v>59</v>
      </c>
      <c r="B24" s="28" t="s">
        <v>711</v>
      </c>
      <c r="C24" s="28" t="s">
        <v>440</v>
      </c>
      <c r="D24" s="55">
        <v>163000</v>
      </c>
    </row>
    <row r="25" spans="1:4" ht="15.75" customHeight="1">
      <c r="A25" s="105" t="s">
        <v>60</v>
      </c>
      <c r="B25" s="28" t="s">
        <v>712</v>
      </c>
      <c r="C25" s="28" t="s">
        <v>440</v>
      </c>
      <c r="D25" s="55">
        <v>4568000</v>
      </c>
    </row>
    <row r="26" spans="1:4" ht="15.75" customHeight="1">
      <c r="A26" s="105" t="s">
        <v>61</v>
      </c>
      <c r="B26" s="28" t="s">
        <v>726</v>
      </c>
      <c r="C26" s="28" t="s">
        <v>440</v>
      </c>
      <c r="D26" s="55">
        <v>250000</v>
      </c>
    </row>
    <row r="27" spans="1:4" ht="15.75" customHeight="1">
      <c r="A27" s="105" t="s">
        <v>62</v>
      </c>
      <c r="B27" s="28" t="s">
        <v>727</v>
      </c>
      <c r="C27" s="28" t="s">
        <v>440</v>
      </c>
      <c r="D27" s="55">
        <v>100000</v>
      </c>
    </row>
    <row r="28" spans="1:4" ht="15.75" customHeight="1">
      <c r="A28" s="829" t="s">
        <v>63</v>
      </c>
      <c r="B28" s="830" t="s">
        <v>741</v>
      </c>
      <c r="C28" s="830" t="s">
        <v>440</v>
      </c>
      <c r="D28" s="831">
        <v>60000</v>
      </c>
    </row>
    <row r="29" spans="1:4" ht="15.75" customHeight="1">
      <c r="A29" s="829" t="s">
        <v>64</v>
      </c>
      <c r="B29" s="830" t="s">
        <v>742</v>
      </c>
      <c r="C29" s="830" t="s">
        <v>440</v>
      </c>
      <c r="D29" s="831">
        <v>80000</v>
      </c>
    </row>
    <row r="30" spans="1:4" ht="15.75" customHeight="1">
      <c r="A30" s="105" t="s">
        <v>65</v>
      </c>
      <c r="B30" s="332"/>
      <c r="C30" s="28"/>
      <c r="D30" s="55"/>
    </row>
    <row r="31" spans="1:4" ht="15.75" customHeight="1">
      <c r="A31" s="105" t="s">
        <v>66</v>
      </c>
      <c r="B31" s="332"/>
      <c r="C31" s="28"/>
      <c r="D31" s="55"/>
    </row>
    <row r="32" spans="1:4" ht="15.75" customHeight="1">
      <c r="A32" s="105" t="s">
        <v>67</v>
      </c>
      <c r="B32" s="332"/>
      <c r="C32" s="28"/>
      <c r="D32" s="55"/>
    </row>
    <row r="33" spans="1:4" ht="15.75" customHeight="1">
      <c r="A33" s="105" t="s">
        <v>68</v>
      </c>
      <c r="B33" s="332"/>
      <c r="C33" s="28"/>
      <c r="D33" s="55"/>
    </row>
    <row r="34" spans="1:4" ht="15.75" customHeight="1">
      <c r="A34" s="105" t="s">
        <v>140</v>
      </c>
      <c r="B34" s="332"/>
      <c r="C34" s="28"/>
      <c r="D34" s="55"/>
    </row>
    <row r="35" spans="1:4" ht="15.75" customHeight="1">
      <c r="A35" s="105" t="s">
        <v>141</v>
      </c>
      <c r="B35" s="332"/>
      <c r="C35" s="28"/>
      <c r="D35" s="55"/>
    </row>
    <row r="36" spans="1:4" ht="15.75" customHeight="1">
      <c r="A36" s="105" t="s">
        <v>142</v>
      </c>
      <c r="B36" s="28"/>
      <c r="C36" s="28"/>
      <c r="D36" s="55"/>
    </row>
    <row r="37" spans="1:4" ht="15.75" customHeight="1">
      <c r="A37" s="105" t="s">
        <v>143</v>
      </c>
      <c r="B37" s="28"/>
      <c r="C37" s="28"/>
      <c r="D37" s="55"/>
    </row>
    <row r="38" spans="1:4" ht="15.75" customHeight="1" thickBot="1">
      <c r="A38" s="105" t="s">
        <v>739</v>
      </c>
      <c r="B38" s="30"/>
      <c r="C38" s="30"/>
      <c r="D38" s="56"/>
    </row>
    <row r="39" spans="1:4" ht="15.75" customHeight="1" thickBot="1">
      <c r="A39" s="899" t="s">
        <v>74</v>
      </c>
      <c r="B39" s="900"/>
      <c r="C39" s="106"/>
      <c r="D39" s="107">
        <f>SUM(D5:D38)</f>
        <v>122472500</v>
      </c>
    </row>
  </sheetData>
  <sheetProtection/>
  <mergeCells count="3">
    <mergeCell ref="A1:D1"/>
    <mergeCell ref="C3:D3"/>
    <mergeCell ref="A39:B39"/>
  </mergeCells>
  <conditionalFormatting sqref="D39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29. melléklet a 28/2017.(X.27.) önkormányzati rendelethez
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2"/>
  <sheetViews>
    <sheetView view="pageLayout" zoomScaleNormal="115" zoomScaleSheetLayoutView="100" workbookViewId="0" topLeftCell="A1">
      <selection activeCell="D1" sqref="D1:F16384"/>
    </sheetView>
  </sheetViews>
  <sheetFormatPr defaultColWidth="9.00390625" defaultRowHeight="12.75"/>
  <cols>
    <col min="1" max="1" width="9.50390625" style="234" customWidth="1"/>
    <col min="2" max="2" width="83.875" style="234" customWidth="1"/>
    <col min="3" max="3" width="21.625" style="235" customWidth="1"/>
    <col min="4" max="4" width="19.375" style="245" hidden="1" customWidth="1"/>
    <col min="5" max="5" width="15.875" style="245" hidden="1" customWidth="1"/>
    <col min="6" max="6" width="15.375" style="245" hidden="1" customWidth="1"/>
    <col min="7" max="16384" width="9.375" style="245" customWidth="1"/>
  </cols>
  <sheetData>
    <row r="1" spans="1:3" ht="15.75" customHeight="1">
      <c r="A1" s="841" t="s">
        <v>37</v>
      </c>
      <c r="B1" s="841"/>
      <c r="C1" s="841"/>
    </row>
    <row r="2" spans="1:3" ht="15.75" customHeight="1" thickBot="1">
      <c r="A2" s="845"/>
      <c r="B2" s="845"/>
      <c r="C2" s="171" t="s">
        <v>632</v>
      </c>
    </row>
    <row r="3" spans="1:6" ht="37.5" customHeight="1" thickBot="1">
      <c r="A3" s="22" t="s">
        <v>91</v>
      </c>
      <c r="B3" s="23" t="s">
        <v>39</v>
      </c>
      <c r="C3" s="35" t="s">
        <v>618</v>
      </c>
      <c r="D3" s="234" t="s">
        <v>655</v>
      </c>
      <c r="E3" s="234" t="s">
        <v>656</v>
      </c>
      <c r="F3" s="234" t="s">
        <v>657</v>
      </c>
    </row>
    <row r="4" spans="1:3" s="246" customFormat="1" ht="12" customHeight="1" thickBot="1">
      <c r="A4" s="240" t="s">
        <v>491</v>
      </c>
      <c r="B4" s="241" t="s">
        <v>492</v>
      </c>
      <c r="C4" s="242" t="s">
        <v>493</v>
      </c>
    </row>
    <row r="5" spans="1:6" s="247" customFormat="1" ht="12" customHeight="1" thickBot="1">
      <c r="A5" s="19" t="s">
        <v>40</v>
      </c>
      <c r="B5" s="20" t="s">
        <v>224</v>
      </c>
      <c r="C5" s="167">
        <f aca="true" t="shared" si="0" ref="C5:C68">SUM(D5:F5)</f>
        <v>143252109</v>
      </c>
      <c r="D5" s="342">
        <f>+D6+D7+D8+D9+D10+D11</f>
        <v>143252109</v>
      </c>
      <c r="E5" s="162">
        <f>+E6+E7+E8+E9+E10+E11</f>
        <v>0</v>
      </c>
      <c r="F5" s="162">
        <f>+F6+F7+F8+F9+F10+F11</f>
        <v>0</v>
      </c>
    </row>
    <row r="6" spans="1:6" s="247" customFormat="1" ht="12" customHeight="1">
      <c r="A6" s="14" t="s">
        <v>116</v>
      </c>
      <c r="B6" s="248" t="s">
        <v>225</v>
      </c>
      <c r="C6" s="382">
        <f t="shared" si="0"/>
        <v>0</v>
      </c>
      <c r="D6" s="344"/>
      <c r="E6" s="286"/>
      <c r="F6" s="164"/>
    </row>
    <row r="7" spans="1:6" s="247" customFormat="1" ht="12" customHeight="1">
      <c r="A7" s="13" t="s">
        <v>117</v>
      </c>
      <c r="B7" s="249" t="s">
        <v>226</v>
      </c>
      <c r="C7" s="383">
        <f t="shared" si="0"/>
        <v>0</v>
      </c>
      <c r="D7" s="149"/>
      <c r="E7" s="166"/>
      <c r="F7" s="163"/>
    </row>
    <row r="8" spans="1:6" s="247" customFormat="1" ht="12" customHeight="1">
      <c r="A8" s="13" t="s">
        <v>118</v>
      </c>
      <c r="B8" s="249" t="s">
        <v>609</v>
      </c>
      <c r="C8" s="383">
        <f t="shared" si="0"/>
        <v>133737400</v>
      </c>
      <c r="D8" s="149">
        <f>118423160+15562200-247960</f>
        <v>133737400</v>
      </c>
      <c r="E8" s="166"/>
      <c r="F8" s="163"/>
    </row>
    <row r="9" spans="1:6" s="247" customFormat="1" ht="12" customHeight="1">
      <c r="A9" s="13" t="s">
        <v>119</v>
      </c>
      <c r="B9" s="249" t="s">
        <v>228</v>
      </c>
      <c r="C9" s="383">
        <f t="shared" si="0"/>
        <v>0</v>
      </c>
      <c r="D9" s="149"/>
      <c r="E9" s="166"/>
      <c r="F9" s="163"/>
    </row>
    <row r="10" spans="1:6" s="247" customFormat="1" ht="12" customHeight="1">
      <c r="A10" s="13" t="s">
        <v>159</v>
      </c>
      <c r="B10" s="158" t="s">
        <v>494</v>
      </c>
      <c r="C10" s="383">
        <f t="shared" si="0"/>
        <v>9514709</v>
      </c>
      <c r="D10" s="318">
        <f>9514709</f>
        <v>9514709</v>
      </c>
      <c r="E10" s="166"/>
      <c r="F10" s="166"/>
    </row>
    <row r="11" spans="1:6" s="247" customFormat="1" ht="12" customHeight="1" thickBot="1">
      <c r="A11" s="15" t="s">
        <v>120</v>
      </c>
      <c r="B11" s="159" t="s">
        <v>495</v>
      </c>
      <c r="C11" s="384">
        <f t="shared" si="0"/>
        <v>0</v>
      </c>
      <c r="D11" s="149"/>
      <c r="E11" s="163"/>
      <c r="F11" s="163"/>
    </row>
    <row r="12" spans="1:6" s="247" customFormat="1" ht="12" customHeight="1" thickBot="1">
      <c r="A12" s="19" t="s">
        <v>41</v>
      </c>
      <c r="B12" s="157" t="s">
        <v>229</v>
      </c>
      <c r="C12" s="167">
        <f t="shared" si="0"/>
        <v>156198666</v>
      </c>
      <c r="D12" s="342">
        <f>+D13+D14+D15+D16+D17</f>
        <v>150713666</v>
      </c>
      <c r="E12" s="162">
        <f>+E13+E14+E15+E16+E17</f>
        <v>0</v>
      </c>
      <c r="F12" s="162">
        <f>+F13+F14+F15+F16+F17</f>
        <v>5485000</v>
      </c>
    </row>
    <row r="13" spans="1:6" s="247" customFormat="1" ht="12" customHeight="1">
      <c r="A13" s="14" t="s">
        <v>122</v>
      </c>
      <c r="B13" s="248" t="s">
        <v>230</v>
      </c>
      <c r="C13" s="382">
        <f t="shared" si="0"/>
        <v>0</v>
      </c>
      <c r="D13" s="344"/>
      <c r="E13" s="164"/>
      <c r="F13" s="164"/>
    </row>
    <row r="14" spans="1:6" s="247" customFormat="1" ht="12" customHeight="1">
      <c r="A14" s="13" t="s">
        <v>123</v>
      </c>
      <c r="B14" s="249" t="s">
        <v>231</v>
      </c>
      <c r="C14" s="383">
        <f t="shared" si="0"/>
        <v>0</v>
      </c>
      <c r="D14" s="149"/>
      <c r="E14" s="163"/>
      <c r="F14" s="163"/>
    </row>
    <row r="15" spans="1:6" s="247" customFormat="1" ht="12" customHeight="1">
      <c r="A15" s="13" t="s">
        <v>124</v>
      </c>
      <c r="B15" s="249" t="s">
        <v>400</v>
      </c>
      <c r="C15" s="383">
        <f t="shared" si="0"/>
        <v>0</v>
      </c>
      <c r="D15" s="149"/>
      <c r="E15" s="163"/>
      <c r="F15" s="163"/>
    </row>
    <row r="16" spans="1:6" s="247" customFormat="1" ht="12" customHeight="1">
      <c r="A16" s="13" t="s">
        <v>125</v>
      </c>
      <c r="B16" s="249" t="s">
        <v>401</v>
      </c>
      <c r="C16" s="383">
        <f t="shared" si="0"/>
        <v>0</v>
      </c>
      <c r="D16" s="149"/>
      <c r="E16" s="163"/>
      <c r="F16" s="163"/>
    </row>
    <row r="17" spans="1:6" s="247" customFormat="1" ht="12" customHeight="1">
      <c r="A17" s="13" t="s">
        <v>126</v>
      </c>
      <c r="B17" s="249" t="s">
        <v>232</v>
      </c>
      <c r="C17" s="383">
        <f t="shared" si="0"/>
        <v>156198666</v>
      </c>
      <c r="D17" s="318">
        <f>2285000+110446000+3111000+374405+5445044+12549488+16502729</f>
        <v>150713666</v>
      </c>
      <c r="E17" s="320"/>
      <c r="F17" s="166">
        <v>5485000</v>
      </c>
    </row>
    <row r="18" spans="1:6" s="247" customFormat="1" ht="12" customHeight="1" thickBot="1">
      <c r="A18" s="15" t="s">
        <v>135</v>
      </c>
      <c r="B18" s="159" t="s">
        <v>233</v>
      </c>
      <c r="C18" s="384">
        <f t="shared" si="0"/>
        <v>16877134</v>
      </c>
      <c r="D18" s="323">
        <f>374405+16502729</f>
        <v>16877134</v>
      </c>
      <c r="E18" s="237"/>
      <c r="F18" s="237"/>
    </row>
    <row r="19" spans="1:6" s="247" customFormat="1" ht="12" customHeight="1" thickBot="1">
      <c r="A19" s="19" t="s">
        <v>42</v>
      </c>
      <c r="B19" s="20" t="s">
        <v>234</v>
      </c>
      <c r="C19" s="319">
        <f t="shared" si="0"/>
        <v>204815930</v>
      </c>
      <c r="D19" s="342">
        <f>+D20+D21+D22+D23+D24</f>
        <v>204815930</v>
      </c>
      <c r="E19" s="162">
        <f>+E20+E21+E22+E23+E24</f>
        <v>0</v>
      </c>
      <c r="F19" s="162">
        <f>+F20+F21+F22+F23+F24</f>
        <v>0</v>
      </c>
    </row>
    <row r="20" spans="1:6" s="247" customFormat="1" ht="12" customHeight="1">
      <c r="A20" s="14" t="s">
        <v>105</v>
      </c>
      <c r="B20" s="248" t="s">
        <v>235</v>
      </c>
      <c r="C20" s="382">
        <f t="shared" si="0"/>
        <v>0</v>
      </c>
      <c r="D20" s="344"/>
      <c r="E20" s="316"/>
      <c r="F20" s="164"/>
    </row>
    <row r="21" spans="1:6" s="247" customFormat="1" ht="12" customHeight="1">
      <c r="A21" s="13" t="s">
        <v>106</v>
      </c>
      <c r="B21" s="249" t="s">
        <v>236</v>
      </c>
      <c r="C21" s="383">
        <f t="shared" si="0"/>
        <v>0</v>
      </c>
      <c r="D21" s="149"/>
      <c r="E21" s="166"/>
      <c r="F21" s="163"/>
    </row>
    <row r="22" spans="1:6" s="247" customFormat="1" ht="12" customHeight="1">
      <c r="A22" s="13" t="s">
        <v>107</v>
      </c>
      <c r="B22" s="249" t="s">
        <v>402</v>
      </c>
      <c r="C22" s="383">
        <f t="shared" si="0"/>
        <v>0</v>
      </c>
      <c r="D22" s="149"/>
      <c r="E22" s="166"/>
      <c r="F22" s="163"/>
    </row>
    <row r="23" spans="1:6" s="247" customFormat="1" ht="12" customHeight="1">
      <c r="A23" s="13" t="s">
        <v>108</v>
      </c>
      <c r="B23" s="249" t="s">
        <v>403</v>
      </c>
      <c r="C23" s="383">
        <f t="shared" si="0"/>
        <v>0</v>
      </c>
      <c r="D23" s="149"/>
      <c r="E23" s="166"/>
      <c r="F23" s="163"/>
    </row>
    <row r="24" spans="1:6" s="247" customFormat="1" ht="12" customHeight="1">
      <c r="A24" s="13" t="s">
        <v>171</v>
      </c>
      <c r="B24" s="249" t="s">
        <v>237</v>
      </c>
      <c r="C24" s="383">
        <f t="shared" si="0"/>
        <v>204815930</v>
      </c>
      <c r="D24" s="318">
        <f>2665000+199720812+2430118</f>
        <v>204815930</v>
      </c>
      <c r="E24" s="166"/>
      <c r="F24" s="166"/>
    </row>
    <row r="25" spans="1:6" s="247" customFormat="1" ht="12" customHeight="1" thickBot="1">
      <c r="A25" s="15" t="s">
        <v>172</v>
      </c>
      <c r="B25" s="250" t="s">
        <v>238</v>
      </c>
      <c r="C25" s="384">
        <f t="shared" si="0"/>
        <v>202150930</v>
      </c>
      <c r="D25" s="323">
        <f>199720812+2430118</f>
        <v>202150930</v>
      </c>
      <c r="E25" s="237"/>
      <c r="F25" s="237"/>
    </row>
    <row r="26" spans="1:6" s="247" customFormat="1" ht="12" customHeight="1" thickBot="1">
      <c r="A26" s="19" t="s">
        <v>173</v>
      </c>
      <c r="B26" s="20" t="s">
        <v>239</v>
      </c>
      <c r="C26" s="319">
        <f t="shared" si="0"/>
        <v>0</v>
      </c>
      <c r="D26" s="346">
        <f>+D27+D31+D32+D33</f>
        <v>0</v>
      </c>
      <c r="E26" s="167">
        <f>+E27+E31+E32+E33</f>
        <v>0</v>
      </c>
      <c r="F26" s="167">
        <f>+F27+F31+F32+F33</f>
        <v>0</v>
      </c>
    </row>
    <row r="27" spans="1:6" s="247" customFormat="1" ht="12" customHeight="1">
      <c r="A27" s="14" t="s">
        <v>240</v>
      </c>
      <c r="B27" s="248" t="s">
        <v>496</v>
      </c>
      <c r="C27" s="382">
        <f t="shared" si="0"/>
        <v>0</v>
      </c>
      <c r="D27" s="372">
        <f>+D28+D29+D30</f>
        <v>0</v>
      </c>
      <c r="E27" s="243"/>
      <c r="F27" s="243">
        <f>+F28+F29+F30</f>
        <v>0</v>
      </c>
    </row>
    <row r="28" spans="1:6" s="247" customFormat="1" ht="12" customHeight="1">
      <c r="A28" s="13" t="s">
        <v>241</v>
      </c>
      <c r="B28" s="249" t="s">
        <v>246</v>
      </c>
      <c r="C28" s="383">
        <f t="shared" si="0"/>
        <v>0</v>
      </c>
      <c r="D28" s="149"/>
      <c r="E28" s="163"/>
      <c r="F28" s="163"/>
    </row>
    <row r="29" spans="1:6" s="247" customFormat="1" ht="12" customHeight="1">
      <c r="A29" s="13" t="s">
        <v>242</v>
      </c>
      <c r="B29" s="249" t="s">
        <v>247</v>
      </c>
      <c r="C29" s="383">
        <f t="shared" si="0"/>
        <v>0</v>
      </c>
      <c r="D29" s="149"/>
      <c r="E29" s="163"/>
      <c r="F29" s="163"/>
    </row>
    <row r="30" spans="1:6" s="247" customFormat="1" ht="12" customHeight="1">
      <c r="A30" s="13" t="s">
        <v>497</v>
      </c>
      <c r="B30" s="301" t="s">
        <v>498</v>
      </c>
      <c r="C30" s="383">
        <f t="shared" si="0"/>
        <v>0</v>
      </c>
      <c r="D30" s="149"/>
      <c r="E30" s="166"/>
      <c r="F30" s="163"/>
    </row>
    <row r="31" spans="1:6" s="247" customFormat="1" ht="12" customHeight="1">
      <c r="A31" s="13" t="s">
        <v>243</v>
      </c>
      <c r="B31" s="249" t="s">
        <v>248</v>
      </c>
      <c r="C31" s="383">
        <f t="shared" si="0"/>
        <v>0</v>
      </c>
      <c r="D31" s="149"/>
      <c r="E31" s="163"/>
      <c r="F31" s="163"/>
    </row>
    <row r="32" spans="1:6" s="247" customFormat="1" ht="12" customHeight="1">
      <c r="A32" s="13" t="s">
        <v>244</v>
      </c>
      <c r="B32" s="249" t="s">
        <v>249</v>
      </c>
      <c r="C32" s="383">
        <f t="shared" si="0"/>
        <v>0</v>
      </c>
      <c r="D32" s="149"/>
      <c r="E32" s="163"/>
      <c r="F32" s="163"/>
    </row>
    <row r="33" spans="1:6" s="247" customFormat="1" ht="12" customHeight="1" thickBot="1">
      <c r="A33" s="15" t="s">
        <v>245</v>
      </c>
      <c r="B33" s="250" t="s">
        <v>250</v>
      </c>
      <c r="C33" s="384">
        <f t="shared" si="0"/>
        <v>0</v>
      </c>
      <c r="D33" s="150"/>
      <c r="E33" s="237"/>
      <c r="F33" s="165"/>
    </row>
    <row r="34" spans="1:6" s="247" customFormat="1" ht="12" customHeight="1" thickBot="1">
      <c r="A34" s="19" t="s">
        <v>44</v>
      </c>
      <c r="B34" s="20" t="s">
        <v>499</v>
      </c>
      <c r="C34" s="167">
        <f t="shared" si="0"/>
        <v>227439448</v>
      </c>
      <c r="D34" s="342">
        <f>SUM(D35:D45)</f>
        <v>14598046</v>
      </c>
      <c r="E34" s="162">
        <f>SUM(E35:E45)</f>
        <v>635000</v>
      </c>
      <c r="F34" s="162">
        <f>SUM(F35:F45)</f>
        <v>212206402</v>
      </c>
    </row>
    <row r="35" spans="1:6" s="247" customFormat="1" ht="12" customHeight="1">
      <c r="A35" s="14" t="s">
        <v>109</v>
      </c>
      <c r="B35" s="248" t="s">
        <v>253</v>
      </c>
      <c r="C35" s="382">
        <f t="shared" si="0"/>
        <v>9489677</v>
      </c>
      <c r="D35" s="344">
        <f>3937000+52677+5500000</f>
        <v>9489677</v>
      </c>
      <c r="E35" s="286"/>
      <c r="F35" s="164"/>
    </row>
    <row r="36" spans="1:6" s="247" customFormat="1" ht="12" customHeight="1">
      <c r="A36" s="13" t="s">
        <v>110</v>
      </c>
      <c r="B36" s="249" t="s">
        <v>254</v>
      </c>
      <c r="C36" s="383">
        <f t="shared" si="0"/>
        <v>40174581</v>
      </c>
      <c r="D36" s="318">
        <f>160000+5500000+862205+3500000-5415056-5500000+719500</f>
        <v>-173351</v>
      </c>
      <c r="E36" s="166">
        <v>500000</v>
      </c>
      <c r="F36" s="164">
        <v>39847932</v>
      </c>
    </row>
    <row r="37" spans="1:6" s="247" customFormat="1" ht="12" customHeight="1">
      <c r="A37" s="13" t="s">
        <v>111</v>
      </c>
      <c r="B37" s="249" t="s">
        <v>255</v>
      </c>
      <c r="C37" s="383">
        <f t="shared" si="0"/>
        <v>10525000</v>
      </c>
      <c r="D37" s="318"/>
      <c r="E37" s="166"/>
      <c r="F37" s="164">
        <v>10525000</v>
      </c>
    </row>
    <row r="38" spans="1:6" s="247" customFormat="1" ht="12" customHeight="1">
      <c r="A38" s="13" t="s">
        <v>175</v>
      </c>
      <c r="B38" s="249" t="s">
        <v>256</v>
      </c>
      <c r="C38" s="383">
        <f t="shared" si="0"/>
        <v>0</v>
      </c>
      <c r="D38" s="149"/>
      <c r="E38" s="166"/>
      <c r="F38" s="164"/>
    </row>
    <row r="39" spans="1:6" s="247" customFormat="1" ht="12" customHeight="1">
      <c r="A39" s="13" t="s">
        <v>176</v>
      </c>
      <c r="B39" s="249" t="s">
        <v>257</v>
      </c>
      <c r="C39" s="383">
        <f t="shared" si="0"/>
        <v>158991720</v>
      </c>
      <c r="D39" s="149"/>
      <c r="E39" s="166"/>
      <c r="F39" s="164">
        <v>158991720</v>
      </c>
    </row>
    <row r="40" spans="1:6" s="247" customFormat="1" ht="12" customHeight="1">
      <c r="A40" s="13" t="s">
        <v>177</v>
      </c>
      <c r="B40" s="249" t="s">
        <v>258</v>
      </c>
      <c r="C40" s="383">
        <f t="shared" si="0"/>
        <v>7811956</v>
      </c>
      <c r="D40" s="149">
        <f>1063000+44000+1485000+14223+232795+2715688-719500</f>
        <v>4835206</v>
      </c>
      <c r="E40" s="166">
        <v>135000</v>
      </c>
      <c r="F40" s="164">
        <v>2841750</v>
      </c>
    </row>
    <row r="41" spans="1:6" s="247" customFormat="1" ht="12" customHeight="1">
      <c r="A41" s="13" t="s">
        <v>178</v>
      </c>
      <c r="B41" s="249" t="s">
        <v>259</v>
      </c>
      <c r="C41" s="383">
        <f t="shared" si="0"/>
        <v>0</v>
      </c>
      <c r="D41" s="149"/>
      <c r="E41" s="166"/>
      <c r="F41" s="164"/>
    </row>
    <row r="42" spans="1:6" s="247" customFormat="1" ht="12" customHeight="1">
      <c r="A42" s="13" t="s">
        <v>179</v>
      </c>
      <c r="B42" s="249" t="s">
        <v>606</v>
      </c>
      <c r="C42" s="383">
        <f t="shared" si="0"/>
        <v>30000</v>
      </c>
      <c r="D42" s="149">
        <v>30000</v>
      </c>
      <c r="E42" s="166"/>
      <c r="F42" s="166"/>
    </row>
    <row r="43" spans="1:6" s="247" customFormat="1" ht="12" customHeight="1">
      <c r="A43" s="13" t="s">
        <v>251</v>
      </c>
      <c r="B43" s="249" t="s">
        <v>261</v>
      </c>
      <c r="C43" s="383">
        <f t="shared" si="0"/>
        <v>0</v>
      </c>
      <c r="D43" s="318"/>
      <c r="E43" s="166"/>
      <c r="F43" s="166"/>
    </row>
    <row r="44" spans="1:6" s="247" customFormat="1" ht="12" customHeight="1">
      <c r="A44" s="15" t="s">
        <v>252</v>
      </c>
      <c r="B44" s="250" t="s">
        <v>500</v>
      </c>
      <c r="C44" s="383">
        <f t="shared" si="0"/>
        <v>0</v>
      </c>
      <c r="D44" s="323"/>
      <c r="E44" s="237"/>
      <c r="F44" s="237"/>
    </row>
    <row r="45" spans="1:6" s="247" customFormat="1" ht="12" customHeight="1" thickBot="1">
      <c r="A45" s="15" t="s">
        <v>501</v>
      </c>
      <c r="B45" s="159" t="s">
        <v>262</v>
      </c>
      <c r="C45" s="384">
        <f t="shared" si="0"/>
        <v>416514</v>
      </c>
      <c r="D45" s="323">
        <v>416514</v>
      </c>
      <c r="E45" s="237"/>
      <c r="F45" s="237"/>
    </row>
    <row r="46" spans="1:6" s="247" customFormat="1" ht="12" customHeight="1" thickBot="1">
      <c r="A46" s="19" t="s">
        <v>45</v>
      </c>
      <c r="B46" s="20" t="s">
        <v>263</v>
      </c>
      <c r="C46" s="167">
        <f t="shared" si="0"/>
        <v>250000</v>
      </c>
      <c r="D46" s="342">
        <f>SUM(D47:D51)</f>
        <v>250000</v>
      </c>
      <c r="E46" s="162">
        <f>SUM(E47:E51)</f>
        <v>0</v>
      </c>
      <c r="F46" s="162">
        <f>SUM(F47:F51)</f>
        <v>0</v>
      </c>
    </row>
    <row r="47" spans="1:6" s="247" customFormat="1" ht="12" customHeight="1">
      <c r="A47" s="14" t="s">
        <v>112</v>
      </c>
      <c r="B47" s="248" t="s">
        <v>267</v>
      </c>
      <c r="C47" s="382">
        <f t="shared" si="0"/>
        <v>0</v>
      </c>
      <c r="D47" s="349"/>
      <c r="E47" s="286"/>
      <c r="F47" s="286"/>
    </row>
    <row r="48" spans="1:6" s="247" customFormat="1" ht="12" customHeight="1">
      <c r="A48" s="13" t="s">
        <v>113</v>
      </c>
      <c r="B48" s="249" t="s">
        <v>268</v>
      </c>
      <c r="C48" s="383">
        <f t="shared" si="0"/>
        <v>0</v>
      </c>
      <c r="D48" s="318"/>
      <c r="E48" s="166"/>
      <c r="F48" s="166"/>
    </row>
    <row r="49" spans="1:6" s="247" customFormat="1" ht="12" customHeight="1">
      <c r="A49" s="13" t="s">
        <v>264</v>
      </c>
      <c r="B49" s="249" t="s">
        <v>269</v>
      </c>
      <c r="C49" s="383">
        <f t="shared" si="0"/>
        <v>250000</v>
      </c>
      <c r="D49" s="318">
        <v>250000</v>
      </c>
      <c r="E49" s="166"/>
      <c r="F49" s="166"/>
    </row>
    <row r="50" spans="1:6" s="247" customFormat="1" ht="12" customHeight="1">
      <c r="A50" s="13" t="s">
        <v>265</v>
      </c>
      <c r="B50" s="249" t="s">
        <v>270</v>
      </c>
      <c r="C50" s="383">
        <f t="shared" si="0"/>
        <v>0</v>
      </c>
      <c r="D50" s="318"/>
      <c r="E50" s="166"/>
      <c r="F50" s="166"/>
    </row>
    <row r="51" spans="1:6" s="247" customFormat="1" ht="12" customHeight="1" thickBot="1">
      <c r="A51" s="15" t="s">
        <v>266</v>
      </c>
      <c r="B51" s="159" t="s">
        <v>271</v>
      </c>
      <c r="C51" s="384">
        <f t="shared" si="0"/>
        <v>0</v>
      </c>
      <c r="D51" s="323"/>
      <c r="E51" s="237"/>
      <c r="F51" s="237"/>
    </row>
    <row r="52" spans="1:6" s="247" customFormat="1" ht="12" customHeight="1" thickBot="1">
      <c r="A52" s="19" t="s">
        <v>180</v>
      </c>
      <c r="B52" s="20" t="s">
        <v>272</v>
      </c>
      <c r="C52" s="167">
        <f t="shared" si="0"/>
        <v>1566000</v>
      </c>
      <c r="D52" s="342">
        <f>SUM(D53:D55)</f>
        <v>1566000</v>
      </c>
      <c r="E52" s="162">
        <f>SUM(E53:E55)</f>
        <v>0</v>
      </c>
      <c r="F52" s="162">
        <f>SUM(F53:F55)</f>
        <v>0</v>
      </c>
    </row>
    <row r="53" spans="1:6" s="247" customFormat="1" ht="12" customHeight="1">
      <c r="A53" s="14" t="s">
        <v>114</v>
      </c>
      <c r="B53" s="248" t="s">
        <v>273</v>
      </c>
      <c r="C53" s="382">
        <f t="shared" si="0"/>
        <v>0</v>
      </c>
      <c r="D53" s="344"/>
      <c r="E53" s="164"/>
      <c r="F53" s="164"/>
    </row>
    <row r="54" spans="1:6" s="247" customFormat="1" ht="12" customHeight="1">
      <c r="A54" s="13" t="s">
        <v>115</v>
      </c>
      <c r="B54" s="249" t="s">
        <v>404</v>
      </c>
      <c r="C54" s="383">
        <f t="shared" si="0"/>
        <v>1566000</v>
      </c>
      <c r="D54" s="318">
        <v>1566000</v>
      </c>
      <c r="E54" s="166"/>
      <c r="F54" s="166"/>
    </row>
    <row r="55" spans="1:6" s="247" customFormat="1" ht="12" customHeight="1">
      <c r="A55" s="13" t="s">
        <v>276</v>
      </c>
      <c r="B55" s="249" t="s">
        <v>274</v>
      </c>
      <c r="C55" s="383">
        <f t="shared" si="0"/>
        <v>0</v>
      </c>
      <c r="D55" s="318"/>
      <c r="E55" s="166"/>
      <c r="F55" s="166"/>
    </row>
    <row r="56" spans="1:6" s="247" customFormat="1" ht="12" customHeight="1" thickBot="1">
      <c r="A56" s="15" t="s">
        <v>277</v>
      </c>
      <c r="B56" s="159" t="s">
        <v>275</v>
      </c>
      <c r="C56" s="384">
        <f t="shared" si="0"/>
        <v>0</v>
      </c>
      <c r="D56" s="150"/>
      <c r="E56" s="165"/>
      <c r="F56" s="165"/>
    </row>
    <row r="57" spans="1:6" s="247" customFormat="1" ht="12" customHeight="1" thickBot="1">
      <c r="A57" s="19" t="s">
        <v>47</v>
      </c>
      <c r="B57" s="157" t="s">
        <v>278</v>
      </c>
      <c r="C57" s="167">
        <f t="shared" si="0"/>
        <v>1200000</v>
      </c>
      <c r="D57" s="342">
        <f>SUM(D58:D60)</f>
        <v>1200000</v>
      </c>
      <c r="E57" s="162">
        <f>SUM(E58:E60)</f>
        <v>0</v>
      </c>
      <c r="F57" s="162">
        <f>SUM(F58:F60)</f>
        <v>0</v>
      </c>
    </row>
    <row r="58" spans="1:6" s="247" customFormat="1" ht="12" customHeight="1">
      <c r="A58" s="14" t="s">
        <v>181</v>
      </c>
      <c r="B58" s="248" t="s">
        <v>280</v>
      </c>
      <c r="C58" s="382">
        <f t="shared" si="0"/>
        <v>0</v>
      </c>
      <c r="D58" s="318"/>
      <c r="E58" s="166"/>
      <c r="F58" s="166"/>
    </row>
    <row r="59" spans="1:6" s="247" customFormat="1" ht="12" customHeight="1">
      <c r="A59" s="13" t="s">
        <v>182</v>
      </c>
      <c r="B59" s="249" t="s">
        <v>405</v>
      </c>
      <c r="C59" s="383">
        <f t="shared" si="0"/>
        <v>0</v>
      </c>
      <c r="D59" s="318"/>
      <c r="E59" s="166"/>
      <c r="F59" s="166"/>
    </row>
    <row r="60" spans="1:6" s="247" customFormat="1" ht="12" customHeight="1">
      <c r="A60" s="13" t="s">
        <v>204</v>
      </c>
      <c r="B60" s="249" t="s">
        <v>281</v>
      </c>
      <c r="C60" s="383">
        <f t="shared" si="0"/>
        <v>1200000</v>
      </c>
      <c r="D60" s="318">
        <v>1200000</v>
      </c>
      <c r="E60" s="166"/>
      <c r="F60" s="166"/>
    </row>
    <row r="61" spans="1:6" s="247" customFormat="1" ht="12" customHeight="1" thickBot="1">
      <c r="A61" s="15" t="s">
        <v>279</v>
      </c>
      <c r="B61" s="159" t="s">
        <v>282</v>
      </c>
      <c r="C61" s="384">
        <f t="shared" si="0"/>
        <v>0</v>
      </c>
      <c r="D61" s="318"/>
      <c r="E61" s="166"/>
      <c r="F61" s="166"/>
    </row>
    <row r="62" spans="1:6" s="247" customFormat="1" ht="12" customHeight="1" thickBot="1">
      <c r="A62" s="302" t="s">
        <v>502</v>
      </c>
      <c r="B62" s="20" t="s">
        <v>283</v>
      </c>
      <c r="C62" s="167">
        <f t="shared" si="0"/>
        <v>734722153</v>
      </c>
      <c r="D62" s="346">
        <f>+D5+D12+D19+D26+D34+D46+D52+D57</f>
        <v>516395751</v>
      </c>
      <c r="E62" s="167">
        <f>+E5+E12+E19+E26+E34+E46+E52+E57</f>
        <v>635000</v>
      </c>
      <c r="F62" s="167">
        <f>+F5+F12+F19+F26+F34+F46+F52+F57</f>
        <v>217691402</v>
      </c>
    </row>
    <row r="63" spans="1:6" s="247" customFormat="1" ht="12" customHeight="1" thickBot="1">
      <c r="A63" s="303" t="s">
        <v>284</v>
      </c>
      <c r="B63" s="157" t="s">
        <v>285</v>
      </c>
      <c r="C63" s="167">
        <f t="shared" si="0"/>
        <v>182000000</v>
      </c>
      <c r="D63" s="342">
        <f>SUM(D64:D66)</f>
        <v>182000000</v>
      </c>
      <c r="E63" s="162">
        <f>SUM(E64:E66)</f>
        <v>0</v>
      </c>
      <c r="F63" s="319">
        <f>SUM(F64:F66)</f>
        <v>0</v>
      </c>
    </row>
    <row r="64" spans="1:6" s="247" customFormat="1" ht="12" customHeight="1">
      <c r="A64" s="14" t="s">
        <v>316</v>
      </c>
      <c r="B64" s="248" t="s">
        <v>286</v>
      </c>
      <c r="C64" s="382">
        <f t="shared" si="0"/>
        <v>82000000</v>
      </c>
      <c r="D64" s="324">
        <f>44100000+37900000</f>
        <v>82000000</v>
      </c>
      <c r="E64" s="166"/>
      <c r="F64" s="166">
        <v>0</v>
      </c>
    </row>
    <row r="65" spans="1:6" s="247" customFormat="1" ht="12" customHeight="1">
      <c r="A65" s="13" t="s">
        <v>325</v>
      </c>
      <c r="B65" s="249" t="s">
        <v>287</v>
      </c>
      <c r="C65" s="383">
        <f t="shared" si="0"/>
        <v>100000000</v>
      </c>
      <c r="D65" s="318">
        <v>100000000</v>
      </c>
      <c r="E65" s="166"/>
      <c r="F65" s="166"/>
    </row>
    <row r="66" spans="1:6" s="247" customFormat="1" ht="12" customHeight="1" thickBot="1">
      <c r="A66" s="15" t="s">
        <v>326</v>
      </c>
      <c r="B66" s="304" t="s">
        <v>503</v>
      </c>
      <c r="C66" s="384">
        <f t="shared" si="0"/>
        <v>0</v>
      </c>
      <c r="D66" s="318"/>
      <c r="E66" s="166"/>
      <c r="F66" s="166"/>
    </row>
    <row r="67" spans="1:6" s="247" customFormat="1" ht="12" customHeight="1" thickBot="1">
      <c r="A67" s="303" t="s">
        <v>289</v>
      </c>
      <c r="B67" s="157" t="s">
        <v>290</v>
      </c>
      <c r="C67" s="319">
        <f t="shared" si="0"/>
        <v>0</v>
      </c>
      <c r="D67" s="342">
        <f>SUM(D68:D71)</f>
        <v>0</v>
      </c>
      <c r="E67" s="162">
        <f>SUM(E68:E71)</f>
        <v>0</v>
      </c>
      <c r="F67" s="162">
        <f>SUM(F68:F71)</f>
        <v>0</v>
      </c>
    </row>
    <row r="68" spans="1:6" s="247" customFormat="1" ht="12" customHeight="1">
      <c r="A68" s="14" t="s">
        <v>160</v>
      </c>
      <c r="B68" s="248" t="s">
        <v>291</v>
      </c>
      <c r="C68" s="382">
        <f t="shared" si="0"/>
        <v>0</v>
      </c>
      <c r="D68" s="318"/>
      <c r="E68" s="166"/>
      <c r="F68" s="166"/>
    </row>
    <row r="69" spans="1:6" s="247" customFormat="1" ht="12" customHeight="1">
      <c r="A69" s="13" t="s">
        <v>161</v>
      </c>
      <c r="B69" s="249" t="s">
        <v>292</v>
      </c>
      <c r="C69" s="383">
        <f aca="true" t="shared" si="1" ref="C69:C87">SUM(D69:F69)</f>
        <v>0</v>
      </c>
      <c r="D69" s="318"/>
      <c r="E69" s="166"/>
      <c r="F69" s="166"/>
    </row>
    <row r="70" spans="1:6" s="247" customFormat="1" ht="12" customHeight="1">
      <c r="A70" s="13" t="s">
        <v>317</v>
      </c>
      <c r="B70" s="249" t="s">
        <v>293</v>
      </c>
      <c r="C70" s="383">
        <f t="shared" si="1"/>
        <v>0</v>
      </c>
      <c r="D70" s="318"/>
      <c r="E70" s="166"/>
      <c r="F70" s="166"/>
    </row>
    <row r="71" spans="1:6" s="247" customFormat="1" ht="12" customHeight="1" thickBot="1">
      <c r="A71" s="15" t="s">
        <v>318</v>
      </c>
      <c r="B71" s="159" t="s">
        <v>294</v>
      </c>
      <c r="C71" s="384">
        <f t="shared" si="1"/>
        <v>0</v>
      </c>
      <c r="D71" s="318"/>
      <c r="E71" s="166"/>
      <c r="F71" s="166"/>
    </row>
    <row r="72" spans="1:6" s="247" customFormat="1" ht="12" customHeight="1" thickBot="1">
      <c r="A72" s="303" t="s">
        <v>295</v>
      </c>
      <c r="B72" s="157" t="s">
        <v>296</v>
      </c>
      <c r="C72" s="167">
        <f t="shared" si="1"/>
        <v>418046</v>
      </c>
      <c r="D72" s="342">
        <f>SUM(D73:D74)</f>
        <v>0</v>
      </c>
      <c r="E72" s="162">
        <f>SUM(E73:E74)</f>
        <v>0</v>
      </c>
      <c r="F72" s="162">
        <f>SUM(F73:F74)</f>
        <v>418046</v>
      </c>
    </row>
    <row r="73" spans="1:6" s="247" customFormat="1" ht="12" customHeight="1">
      <c r="A73" s="14" t="s">
        <v>319</v>
      </c>
      <c r="B73" s="248" t="s">
        <v>297</v>
      </c>
      <c r="C73" s="382">
        <f t="shared" si="1"/>
        <v>418046</v>
      </c>
      <c r="D73" s="318"/>
      <c r="E73" s="166"/>
      <c r="F73" s="166">
        <v>418046</v>
      </c>
    </row>
    <row r="74" spans="1:6" s="247" customFormat="1" ht="12" customHeight="1" thickBot="1">
      <c r="A74" s="15" t="s">
        <v>320</v>
      </c>
      <c r="B74" s="159" t="s">
        <v>298</v>
      </c>
      <c r="C74" s="384">
        <f t="shared" si="1"/>
        <v>0</v>
      </c>
      <c r="D74" s="318"/>
      <c r="E74" s="166"/>
      <c r="F74" s="166"/>
    </row>
    <row r="75" spans="1:6" s="247" customFormat="1" ht="12" customHeight="1" thickBot="1">
      <c r="A75" s="303" t="s">
        <v>299</v>
      </c>
      <c r="B75" s="157" t="s">
        <v>300</v>
      </c>
      <c r="C75" s="167">
        <f t="shared" si="1"/>
        <v>0</v>
      </c>
      <c r="D75" s="342">
        <f>SUM(D76:D78)</f>
        <v>0</v>
      </c>
      <c r="E75" s="162">
        <f>SUM(E76:E78)</f>
        <v>0</v>
      </c>
      <c r="F75" s="162">
        <f>SUM(F76:F78)</f>
        <v>0</v>
      </c>
    </row>
    <row r="76" spans="1:6" s="247" customFormat="1" ht="12" customHeight="1">
      <c r="A76" s="14" t="s">
        <v>321</v>
      </c>
      <c r="B76" s="248" t="s">
        <v>301</v>
      </c>
      <c r="C76" s="382">
        <f t="shared" si="1"/>
        <v>0</v>
      </c>
      <c r="D76" s="318"/>
      <c r="E76" s="166"/>
      <c r="F76" s="166"/>
    </row>
    <row r="77" spans="1:6" s="247" customFormat="1" ht="12" customHeight="1">
      <c r="A77" s="13" t="s">
        <v>322</v>
      </c>
      <c r="B77" s="249" t="s">
        <v>302</v>
      </c>
      <c r="C77" s="383">
        <f t="shared" si="1"/>
        <v>0</v>
      </c>
      <c r="D77" s="318"/>
      <c r="E77" s="166"/>
      <c r="F77" s="166"/>
    </row>
    <row r="78" spans="1:6" s="247" customFormat="1" ht="12" customHeight="1" thickBot="1">
      <c r="A78" s="15" t="s">
        <v>323</v>
      </c>
      <c r="B78" s="159" t="s">
        <v>303</v>
      </c>
      <c r="C78" s="384">
        <f t="shared" si="1"/>
        <v>0</v>
      </c>
      <c r="D78" s="318"/>
      <c r="E78" s="166"/>
      <c r="F78" s="166"/>
    </row>
    <row r="79" spans="1:6" s="247" customFormat="1" ht="12" customHeight="1" thickBot="1">
      <c r="A79" s="303" t="s">
        <v>304</v>
      </c>
      <c r="B79" s="157" t="s">
        <v>324</v>
      </c>
      <c r="C79" s="167">
        <f t="shared" si="1"/>
        <v>0</v>
      </c>
      <c r="D79" s="342">
        <f>SUM(D80:D83)</f>
        <v>0</v>
      </c>
      <c r="E79" s="162">
        <f>SUM(E80:E83)</f>
        <v>0</v>
      </c>
      <c r="F79" s="162">
        <f>SUM(F80:F83)</f>
        <v>0</v>
      </c>
    </row>
    <row r="80" spans="1:6" s="247" customFormat="1" ht="12" customHeight="1">
      <c r="A80" s="252" t="s">
        <v>305</v>
      </c>
      <c r="B80" s="248" t="s">
        <v>306</v>
      </c>
      <c r="C80" s="382">
        <f t="shared" si="1"/>
        <v>0</v>
      </c>
      <c r="D80" s="318"/>
      <c r="E80" s="166"/>
      <c r="F80" s="166"/>
    </row>
    <row r="81" spans="1:6" s="247" customFormat="1" ht="12" customHeight="1">
      <c r="A81" s="253" t="s">
        <v>307</v>
      </c>
      <c r="B81" s="249" t="s">
        <v>308</v>
      </c>
      <c r="C81" s="383">
        <f t="shared" si="1"/>
        <v>0</v>
      </c>
      <c r="D81" s="318"/>
      <c r="E81" s="166"/>
      <c r="F81" s="166"/>
    </row>
    <row r="82" spans="1:6" s="247" customFormat="1" ht="12" customHeight="1">
      <c r="A82" s="253" t="s">
        <v>309</v>
      </c>
      <c r="B82" s="249" t="s">
        <v>310</v>
      </c>
      <c r="C82" s="383">
        <f t="shared" si="1"/>
        <v>0</v>
      </c>
      <c r="D82" s="318"/>
      <c r="E82" s="166"/>
      <c r="F82" s="166"/>
    </row>
    <row r="83" spans="1:6" s="247" customFormat="1" ht="12" customHeight="1" thickBot="1">
      <c r="A83" s="254" t="s">
        <v>311</v>
      </c>
      <c r="B83" s="159" t="s">
        <v>312</v>
      </c>
      <c r="C83" s="384">
        <f t="shared" si="1"/>
        <v>0</v>
      </c>
      <c r="D83" s="318"/>
      <c r="E83" s="166"/>
      <c r="F83" s="166"/>
    </row>
    <row r="84" spans="1:6" s="247" customFormat="1" ht="12" customHeight="1" thickBot="1">
      <c r="A84" s="303" t="s">
        <v>313</v>
      </c>
      <c r="B84" s="157" t="s">
        <v>504</v>
      </c>
      <c r="C84" s="162">
        <f t="shared" si="1"/>
        <v>0</v>
      </c>
      <c r="D84" s="350"/>
      <c r="E84" s="287"/>
      <c r="F84" s="287"/>
    </row>
    <row r="85" spans="1:6" s="247" customFormat="1" ht="13.5" customHeight="1" thickBot="1">
      <c r="A85" s="303" t="s">
        <v>315</v>
      </c>
      <c r="B85" s="157" t="s">
        <v>314</v>
      </c>
      <c r="C85" s="162">
        <f t="shared" si="1"/>
        <v>0</v>
      </c>
      <c r="D85" s="350"/>
      <c r="E85" s="287"/>
      <c r="F85" s="287"/>
    </row>
    <row r="86" spans="1:6" s="247" customFormat="1" ht="15.75" customHeight="1" thickBot="1">
      <c r="A86" s="303" t="s">
        <v>327</v>
      </c>
      <c r="B86" s="255" t="s">
        <v>505</v>
      </c>
      <c r="C86" s="162">
        <f t="shared" si="1"/>
        <v>182418046</v>
      </c>
      <c r="D86" s="346">
        <f>+D63+D67+D72+D75+D79+D85+D84</f>
        <v>182000000</v>
      </c>
      <c r="E86" s="167">
        <f>+E63+E67+E72+E75+E79+E85+E84</f>
        <v>0</v>
      </c>
      <c r="F86" s="167">
        <f>+F63+F67+F72+F75+F79+F85+F84</f>
        <v>418046</v>
      </c>
    </row>
    <row r="87" spans="1:6" s="247" customFormat="1" ht="16.5" customHeight="1" thickBot="1">
      <c r="A87" s="305" t="s">
        <v>506</v>
      </c>
      <c r="B87" s="256" t="s">
        <v>507</v>
      </c>
      <c r="C87" s="162">
        <f t="shared" si="1"/>
        <v>917140199</v>
      </c>
      <c r="D87" s="346">
        <f>+D62+D86</f>
        <v>698395751</v>
      </c>
      <c r="E87" s="167">
        <f>+E62+E86</f>
        <v>635000</v>
      </c>
      <c r="F87" s="167">
        <f>+F62+F86</f>
        <v>218109448</v>
      </c>
    </row>
    <row r="88" spans="1:3" s="247" customFormat="1" ht="83.25" customHeight="1">
      <c r="A88" s="4"/>
      <c r="B88" s="5"/>
      <c r="C88" s="168"/>
    </row>
    <row r="89" spans="1:3" ht="16.5" customHeight="1">
      <c r="A89" s="841" t="s">
        <v>69</v>
      </c>
      <c r="B89" s="841"/>
      <c r="C89" s="841"/>
    </row>
    <row r="90" spans="1:3" s="257" customFormat="1" ht="16.5" customHeight="1" thickBot="1">
      <c r="A90" s="843" t="s">
        <v>163</v>
      </c>
      <c r="B90" s="843"/>
      <c r="C90" s="89" t="s">
        <v>632</v>
      </c>
    </row>
    <row r="91" spans="1:3" ht="37.5" customHeight="1" thickBot="1">
      <c r="A91" s="22" t="s">
        <v>91</v>
      </c>
      <c r="B91" s="23" t="s">
        <v>70</v>
      </c>
      <c r="C91" s="35" t="str">
        <f>+C3</f>
        <v>2017. évi előirányzat</v>
      </c>
    </row>
    <row r="92" spans="1:3" s="246" customFormat="1" ht="12" customHeight="1" thickBot="1">
      <c r="A92" s="31" t="s">
        <v>491</v>
      </c>
      <c r="B92" s="32" t="s">
        <v>492</v>
      </c>
      <c r="C92" s="33" t="s">
        <v>493</v>
      </c>
    </row>
    <row r="93" spans="1:6" ht="12" customHeight="1" thickBot="1">
      <c r="A93" s="21" t="s">
        <v>40</v>
      </c>
      <c r="B93" s="25" t="s">
        <v>545</v>
      </c>
      <c r="C93" s="162">
        <f aca="true" t="shared" si="2" ref="C93:C154">SUM(D93:F93)</f>
        <v>678209059</v>
      </c>
      <c r="D93" s="354">
        <f>+D94+D95+D96+D97+D98+D111</f>
        <v>113816615</v>
      </c>
      <c r="E93" s="161">
        <f>+E94+E95+E96+E97+E98+E111</f>
        <v>4419000</v>
      </c>
      <c r="F93" s="162">
        <f>F94+F95+F96+F97+F98+F111</f>
        <v>559973444</v>
      </c>
    </row>
    <row r="94" spans="1:6" ht="12" customHeight="1">
      <c r="A94" s="16" t="s">
        <v>116</v>
      </c>
      <c r="B94" s="9" t="s">
        <v>71</v>
      </c>
      <c r="C94" s="704">
        <f t="shared" si="2"/>
        <v>325903253</v>
      </c>
      <c r="D94" s="373">
        <f>310000+175000+172000+24000+3882000+3749000-282000+589000+24000+76000+2550000+416250+2550648+481496+3435648+3375000+515000+4000+6730000+750000+2921000-1000000</f>
        <v>31448042</v>
      </c>
      <c r="E94" s="328"/>
      <c r="F94" s="328">
        <f>258452451+7750306+28252454</f>
        <v>294455211</v>
      </c>
    </row>
    <row r="95" spans="1:6" ht="12" customHeight="1">
      <c r="A95" s="13" t="s">
        <v>117</v>
      </c>
      <c r="B95" s="7" t="s">
        <v>183</v>
      </c>
      <c r="C95" s="703">
        <f t="shared" si="2"/>
        <v>76994807</v>
      </c>
      <c r="D95" s="318">
        <f>62000+33000+48000+808000+1652000-63900+117000+10800+37984+561000-41845+554400+765067+210221+911250+102000+1460052+149000+578359+1000000</f>
        <v>8954388</v>
      </c>
      <c r="E95" s="166"/>
      <c r="F95" s="166">
        <f>60280532+1688942+6070945</f>
        <v>68040419</v>
      </c>
    </row>
    <row r="96" spans="1:6" ht="12" customHeight="1">
      <c r="A96" s="13" t="s">
        <v>118</v>
      </c>
      <c r="B96" s="7" t="s">
        <v>152</v>
      </c>
      <c r="C96" s="703">
        <f t="shared" si="2"/>
        <v>261600995</v>
      </c>
      <c r="D96" s="323">
        <f>4801000+800001+376000+120000+386000+50000+18800+32000+22000+11212000+1682000+295900+401000+411000+1600000+26600000+7585000+1232300+80000-29210-800001+1025256+1035000+143504+138750-19000000-4000+8134750+8729191+115500+400000+2110440</f>
        <v>59704181</v>
      </c>
      <c r="E96" s="237">
        <v>4419000</v>
      </c>
      <c r="F96" s="166">
        <f>196774214-59900+635000+128500</f>
        <v>197477814</v>
      </c>
    </row>
    <row r="97" spans="1:6" ht="12" customHeight="1">
      <c r="A97" s="13" t="s">
        <v>119</v>
      </c>
      <c r="B97" s="7" t="s">
        <v>184</v>
      </c>
      <c r="C97" s="383">
        <f t="shared" si="2"/>
        <v>0</v>
      </c>
      <c r="D97" s="323"/>
      <c r="E97" s="237"/>
      <c r="F97" s="166"/>
    </row>
    <row r="98" spans="1:6" ht="12" customHeight="1">
      <c r="A98" s="13" t="s">
        <v>130</v>
      </c>
      <c r="B98" s="6" t="s">
        <v>185</v>
      </c>
      <c r="C98" s="383">
        <f t="shared" si="2"/>
        <v>13710004</v>
      </c>
      <c r="D98" s="323">
        <f>SUM(D99:D110)</f>
        <v>13710004</v>
      </c>
      <c r="E98" s="237">
        <f>SUM(E99:E110)</f>
        <v>0</v>
      </c>
      <c r="F98" s="237"/>
    </row>
    <row r="99" spans="1:6" ht="12" customHeight="1">
      <c r="A99" s="13" t="s">
        <v>120</v>
      </c>
      <c r="B99" s="7" t="s">
        <v>508</v>
      </c>
      <c r="C99" s="703">
        <f t="shared" si="2"/>
        <v>2799004</v>
      </c>
      <c r="D99" s="323">
        <f>2792500+6504</f>
        <v>2799004</v>
      </c>
      <c r="E99" s="237"/>
      <c r="F99" s="237"/>
    </row>
    <row r="100" spans="1:6" ht="12" customHeight="1">
      <c r="A100" s="13" t="s">
        <v>121</v>
      </c>
      <c r="B100" s="93" t="s">
        <v>509</v>
      </c>
      <c r="C100" s="383">
        <f t="shared" si="2"/>
        <v>0</v>
      </c>
      <c r="D100" s="323"/>
      <c r="E100" s="237"/>
      <c r="F100" s="237"/>
    </row>
    <row r="101" spans="1:6" ht="12" customHeight="1">
      <c r="A101" s="13" t="s">
        <v>131</v>
      </c>
      <c r="B101" s="93" t="s">
        <v>510</v>
      </c>
      <c r="C101" s="383">
        <f t="shared" si="2"/>
        <v>0</v>
      </c>
      <c r="D101" s="323"/>
      <c r="E101" s="237"/>
      <c r="F101" s="237"/>
    </row>
    <row r="102" spans="1:6" ht="12" customHeight="1">
      <c r="A102" s="13" t="s">
        <v>132</v>
      </c>
      <c r="B102" s="91" t="s">
        <v>330</v>
      </c>
      <c r="C102" s="383">
        <f t="shared" si="2"/>
        <v>0</v>
      </c>
      <c r="D102" s="323"/>
      <c r="E102" s="237"/>
      <c r="F102" s="237"/>
    </row>
    <row r="103" spans="1:6" ht="12" customHeight="1">
      <c r="A103" s="13" t="s">
        <v>133</v>
      </c>
      <c r="B103" s="92" t="s">
        <v>331</v>
      </c>
      <c r="C103" s="383">
        <f t="shared" si="2"/>
        <v>0</v>
      </c>
      <c r="D103" s="323"/>
      <c r="E103" s="237"/>
      <c r="F103" s="237"/>
    </row>
    <row r="104" spans="1:6" ht="12" customHeight="1">
      <c r="A104" s="13" t="s">
        <v>134</v>
      </c>
      <c r="B104" s="92" t="s">
        <v>332</v>
      </c>
      <c r="C104" s="383">
        <f t="shared" si="2"/>
        <v>0</v>
      </c>
      <c r="D104" s="323"/>
      <c r="E104" s="237"/>
      <c r="F104" s="237"/>
    </row>
    <row r="105" spans="1:6" ht="12" customHeight="1">
      <c r="A105" s="13" t="s">
        <v>136</v>
      </c>
      <c r="B105" s="91" t="s">
        <v>333</v>
      </c>
      <c r="C105" s="383">
        <f t="shared" si="2"/>
        <v>0</v>
      </c>
      <c r="D105" s="323"/>
      <c r="E105" s="237"/>
      <c r="F105" s="237"/>
    </row>
    <row r="106" spans="1:6" ht="12" customHeight="1">
      <c r="A106" s="13" t="s">
        <v>186</v>
      </c>
      <c r="B106" s="91" t="s">
        <v>334</v>
      </c>
      <c r="C106" s="383">
        <f t="shared" si="2"/>
        <v>0</v>
      </c>
      <c r="D106" s="323"/>
      <c r="E106" s="237"/>
      <c r="F106" s="237"/>
    </row>
    <row r="107" spans="1:6" ht="12" customHeight="1">
      <c r="A107" s="13" t="s">
        <v>328</v>
      </c>
      <c r="B107" s="92" t="s">
        <v>335</v>
      </c>
      <c r="C107" s="383">
        <f t="shared" si="2"/>
        <v>0</v>
      </c>
      <c r="D107" s="323"/>
      <c r="E107" s="237"/>
      <c r="F107" s="237"/>
    </row>
    <row r="108" spans="1:6" ht="12" customHeight="1">
      <c r="A108" s="12" t="s">
        <v>329</v>
      </c>
      <c r="B108" s="93" t="s">
        <v>336</v>
      </c>
      <c r="C108" s="383">
        <f t="shared" si="2"/>
        <v>0</v>
      </c>
      <c r="D108" s="323"/>
      <c r="E108" s="237"/>
      <c r="F108" s="237"/>
    </row>
    <row r="109" spans="1:6" ht="12" customHeight="1">
      <c r="A109" s="13" t="s">
        <v>511</v>
      </c>
      <c r="B109" s="93" t="s">
        <v>337</v>
      </c>
      <c r="C109" s="383">
        <f t="shared" si="2"/>
        <v>0</v>
      </c>
      <c r="D109" s="323"/>
      <c r="E109" s="237"/>
      <c r="F109" s="237"/>
    </row>
    <row r="110" spans="1:6" ht="12" customHeight="1">
      <c r="A110" s="15" t="s">
        <v>512</v>
      </c>
      <c r="B110" s="93" t="s">
        <v>338</v>
      </c>
      <c r="C110" s="703">
        <f t="shared" si="2"/>
        <v>10911000</v>
      </c>
      <c r="D110" s="318">
        <f>5000000+800000+150000+50000+163000+4568000+100000+80000</f>
        <v>10911000</v>
      </c>
      <c r="E110" s="166"/>
      <c r="F110" s="331"/>
    </row>
    <row r="111" spans="1:6" ht="12" customHeight="1">
      <c r="A111" s="13" t="s">
        <v>513</v>
      </c>
      <c r="B111" s="7" t="s">
        <v>72</v>
      </c>
      <c r="C111" s="383">
        <f t="shared" si="2"/>
        <v>0</v>
      </c>
      <c r="D111" s="149"/>
      <c r="E111" s="166"/>
      <c r="F111" s="163"/>
    </row>
    <row r="112" spans="1:6" ht="12" customHeight="1">
      <c r="A112" s="13" t="s">
        <v>514</v>
      </c>
      <c r="B112" s="7" t="s">
        <v>515</v>
      </c>
      <c r="C112" s="383">
        <f t="shared" si="2"/>
        <v>0</v>
      </c>
      <c r="D112" s="150"/>
      <c r="E112" s="237"/>
      <c r="F112" s="163"/>
    </row>
    <row r="113" spans="1:6" ht="12" customHeight="1" thickBot="1">
      <c r="A113" s="17" t="s">
        <v>516</v>
      </c>
      <c r="B113" s="306" t="s">
        <v>517</v>
      </c>
      <c r="C113" s="384">
        <f t="shared" si="2"/>
        <v>0</v>
      </c>
      <c r="D113" s="355"/>
      <c r="E113" s="337"/>
      <c r="F113" s="169"/>
    </row>
    <row r="114" spans="1:6" ht="12" customHeight="1" thickBot="1">
      <c r="A114" s="307" t="s">
        <v>41</v>
      </c>
      <c r="B114" s="308" t="s">
        <v>339</v>
      </c>
      <c r="C114" s="167">
        <f t="shared" si="2"/>
        <v>241310939</v>
      </c>
      <c r="D114" s="342">
        <f>+D115+D117+D119</f>
        <v>238095779</v>
      </c>
      <c r="E114" s="162">
        <f>+E115+E117+E119</f>
        <v>0</v>
      </c>
      <c r="F114" s="309">
        <f>+F115+F117+F119</f>
        <v>3215160</v>
      </c>
    </row>
    <row r="115" spans="1:6" ht="12" customHeight="1">
      <c r="A115" s="14" t="s">
        <v>122</v>
      </c>
      <c r="B115" s="7" t="s">
        <v>203</v>
      </c>
      <c r="C115" s="704">
        <f t="shared" si="2"/>
        <v>11280605</v>
      </c>
      <c r="D115" s="349">
        <f>2963001+300001+90200+301000+973976-300001+96110+2835000+310040+60000+127000+2430118+1200000-2921000-400000</f>
        <v>8065445</v>
      </c>
      <c r="E115" s="286"/>
      <c r="F115" s="286">
        <f>3155260+59900</f>
        <v>3215160</v>
      </c>
    </row>
    <row r="116" spans="1:6" ht="12" customHeight="1">
      <c r="A116" s="14" t="s">
        <v>123</v>
      </c>
      <c r="B116" s="11" t="s">
        <v>343</v>
      </c>
      <c r="C116" s="383">
        <f t="shared" si="2"/>
        <v>0</v>
      </c>
      <c r="D116" s="349"/>
      <c r="E116" s="286"/>
      <c r="F116" s="286"/>
    </row>
    <row r="117" spans="1:6" ht="12" customHeight="1">
      <c r="A117" s="14" t="s">
        <v>124</v>
      </c>
      <c r="B117" s="11" t="s">
        <v>187</v>
      </c>
      <c r="C117" s="383">
        <f t="shared" si="2"/>
        <v>229430334</v>
      </c>
      <c r="D117" s="149">
        <f>21000000+300001+18700651+189429682</f>
        <v>229430334</v>
      </c>
      <c r="E117" s="166"/>
      <c r="F117" s="166"/>
    </row>
    <row r="118" spans="1:6" ht="12" customHeight="1">
      <c r="A118" s="14" t="s">
        <v>125</v>
      </c>
      <c r="B118" s="11" t="s">
        <v>344</v>
      </c>
      <c r="C118" s="383">
        <f t="shared" si="2"/>
        <v>189429682</v>
      </c>
      <c r="D118" s="149">
        <v>189429682</v>
      </c>
      <c r="E118" s="330"/>
      <c r="F118" s="318"/>
    </row>
    <row r="119" spans="1:6" ht="12" customHeight="1">
      <c r="A119" s="14" t="s">
        <v>126</v>
      </c>
      <c r="B119" s="159" t="s">
        <v>205</v>
      </c>
      <c r="C119" s="383">
        <f t="shared" si="2"/>
        <v>600000</v>
      </c>
      <c r="D119" s="324">
        <f>SUM(D120:D127)</f>
        <v>600000</v>
      </c>
      <c r="E119" s="318"/>
      <c r="F119" s="318"/>
    </row>
    <row r="120" spans="1:6" ht="12" customHeight="1">
      <c r="A120" s="14" t="s">
        <v>135</v>
      </c>
      <c r="B120" s="158" t="s">
        <v>406</v>
      </c>
      <c r="C120" s="383">
        <f t="shared" si="2"/>
        <v>0</v>
      </c>
      <c r="D120" s="324"/>
      <c r="E120" s="149"/>
      <c r="F120" s="149"/>
    </row>
    <row r="121" spans="1:6" ht="12" customHeight="1">
      <c r="A121" s="14" t="s">
        <v>137</v>
      </c>
      <c r="B121" s="244" t="s">
        <v>349</v>
      </c>
      <c r="C121" s="383">
        <f t="shared" si="2"/>
        <v>0</v>
      </c>
      <c r="D121" s="324"/>
      <c r="E121" s="149"/>
      <c r="F121" s="149"/>
    </row>
    <row r="122" spans="1:6" ht="15.75">
      <c r="A122" s="14" t="s">
        <v>188</v>
      </c>
      <c r="B122" s="92" t="s">
        <v>332</v>
      </c>
      <c r="C122" s="383">
        <f t="shared" si="2"/>
        <v>0</v>
      </c>
      <c r="D122" s="324"/>
      <c r="E122" s="149"/>
      <c r="F122" s="149"/>
    </row>
    <row r="123" spans="1:6" ht="12" customHeight="1">
      <c r="A123" s="14" t="s">
        <v>189</v>
      </c>
      <c r="B123" s="92" t="s">
        <v>348</v>
      </c>
      <c r="C123" s="383">
        <f t="shared" si="2"/>
        <v>0</v>
      </c>
      <c r="D123" s="324"/>
      <c r="E123" s="149"/>
      <c r="F123" s="149"/>
    </row>
    <row r="124" spans="1:6" ht="12" customHeight="1">
      <c r="A124" s="14" t="s">
        <v>190</v>
      </c>
      <c r="B124" s="92" t="s">
        <v>347</v>
      </c>
      <c r="C124" s="383">
        <f t="shared" si="2"/>
        <v>0</v>
      </c>
      <c r="D124" s="324"/>
      <c r="E124" s="149"/>
      <c r="F124" s="149"/>
    </row>
    <row r="125" spans="1:6" ht="12" customHeight="1">
      <c r="A125" s="14" t="s">
        <v>340</v>
      </c>
      <c r="B125" s="92" t="s">
        <v>335</v>
      </c>
      <c r="C125" s="383">
        <f t="shared" si="2"/>
        <v>0</v>
      </c>
      <c r="D125" s="324"/>
      <c r="E125" s="149"/>
      <c r="F125" s="149"/>
    </row>
    <row r="126" spans="1:6" ht="12" customHeight="1">
      <c r="A126" s="14" t="s">
        <v>341</v>
      </c>
      <c r="B126" s="92" t="s">
        <v>346</v>
      </c>
      <c r="C126" s="383">
        <f t="shared" si="2"/>
        <v>0</v>
      </c>
      <c r="D126" s="324"/>
      <c r="E126" s="149"/>
      <c r="F126" s="149"/>
    </row>
    <row r="127" spans="1:6" ht="16.5" thickBot="1">
      <c r="A127" s="12" t="s">
        <v>342</v>
      </c>
      <c r="B127" s="92" t="s">
        <v>345</v>
      </c>
      <c r="C127" s="384">
        <f t="shared" si="2"/>
        <v>600000</v>
      </c>
      <c r="D127" s="325">
        <v>600000</v>
      </c>
      <c r="E127" s="323"/>
      <c r="F127" s="323"/>
    </row>
    <row r="128" spans="1:6" ht="12" customHeight="1" thickBot="1">
      <c r="A128" s="19" t="s">
        <v>42</v>
      </c>
      <c r="B128" s="87" t="s">
        <v>518</v>
      </c>
      <c r="C128" s="167">
        <f t="shared" si="2"/>
        <v>919519998</v>
      </c>
      <c r="D128" s="342">
        <f>+D93+D114</f>
        <v>351912394</v>
      </c>
      <c r="E128" s="162">
        <f>+E93+E114</f>
        <v>4419000</v>
      </c>
      <c r="F128" s="162">
        <f>+F93+F114</f>
        <v>563188604</v>
      </c>
    </row>
    <row r="129" spans="1:6" ht="12" customHeight="1" thickBot="1">
      <c r="A129" s="19" t="s">
        <v>43</v>
      </c>
      <c r="B129" s="87" t="s">
        <v>519</v>
      </c>
      <c r="C129" s="167">
        <f t="shared" si="2"/>
        <v>103161000</v>
      </c>
      <c r="D129" s="342">
        <f>+D130+D131+D132</f>
        <v>103161000</v>
      </c>
      <c r="E129" s="162">
        <f>+E130+E131+E132</f>
        <v>0</v>
      </c>
      <c r="F129" s="162">
        <f>+F130+F131+F132</f>
        <v>0</v>
      </c>
    </row>
    <row r="130" spans="1:6" ht="12" customHeight="1">
      <c r="A130" s="14" t="s">
        <v>240</v>
      </c>
      <c r="B130" s="11" t="s">
        <v>520</v>
      </c>
      <c r="C130" s="382">
        <f t="shared" si="2"/>
        <v>3161000</v>
      </c>
      <c r="D130" s="318">
        <v>3161000</v>
      </c>
      <c r="E130" s="318"/>
      <c r="F130" s="318"/>
    </row>
    <row r="131" spans="1:6" ht="12" customHeight="1">
      <c r="A131" s="14" t="s">
        <v>243</v>
      </c>
      <c r="B131" s="11" t="s">
        <v>521</v>
      </c>
      <c r="C131" s="383">
        <f t="shared" si="2"/>
        <v>100000000</v>
      </c>
      <c r="D131" s="149">
        <v>100000000</v>
      </c>
      <c r="E131" s="149"/>
      <c r="F131" s="149"/>
    </row>
    <row r="132" spans="1:6" ht="12" customHeight="1" thickBot="1">
      <c r="A132" s="12" t="s">
        <v>244</v>
      </c>
      <c r="B132" s="11" t="s">
        <v>522</v>
      </c>
      <c r="C132" s="384">
        <f t="shared" si="2"/>
        <v>0</v>
      </c>
      <c r="D132" s="149"/>
      <c r="E132" s="149"/>
      <c r="F132" s="149"/>
    </row>
    <row r="133" spans="1:6" ht="12" customHeight="1" thickBot="1">
      <c r="A133" s="19" t="s">
        <v>44</v>
      </c>
      <c r="B133" s="87" t="s">
        <v>523</v>
      </c>
      <c r="C133" s="319">
        <f t="shared" si="2"/>
        <v>0</v>
      </c>
      <c r="D133" s="342">
        <f>+D134+D135+D136+D137+D138+D139</f>
        <v>0</v>
      </c>
      <c r="E133" s="162">
        <f>+E134+E135+E136+E137+E138+E139</f>
        <v>0</v>
      </c>
      <c r="F133" s="162">
        <f>SUM(F134:F139)</f>
        <v>0</v>
      </c>
    </row>
    <row r="134" spans="1:6" ht="12" customHeight="1">
      <c r="A134" s="14" t="s">
        <v>109</v>
      </c>
      <c r="B134" s="8" t="s">
        <v>524</v>
      </c>
      <c r="C134" s="382">
        <f t="shared" si="2"/>
        <v>0</v>
      </c>
      <c r="D134" s="149"/>
      <c r="E134" s="149"/>
      <c r="F134" s="149"/>
    </row>
    <row r="135" spans="1:6" ht="12" customHeight="1">
      <c r="A135" s="14" t="s">
        <v>110</v>
      </c>
      <c r="B135" s="8" t="s">
        <v>525</v>
      </c>
      <c r="C135" s="383">
        <f t="shared" si="2"/>
        <v>0</v>
      </c>
      <c r="D135" s="149"/>
      <c r="E135" s="149"/>
      <c r="F135" s="149"/>
    </row>
    <row r="136" spans="1:6" ht="12" customHeight="1">
      <c r="A136" s="14" t="s">
        <v>111</v>
      </c>
      <c r="B136" s="8" t="s">
        <v>526</v>
      </c>
      <c r="C136" s="383">
        <f t="shared" si="2"/>
        <v>0</v>
      </c>
      <c r="D136" s="149"/>
      <c r="E136" s="149"/>
      <c r="F136" s="149"/>
    </row>
    <row r="137" spans="1:6" ht="12" customHeight="1">
      <c r="A137" s="14" t="s">
        <v>175</v>
      </c>
      <c r="B137" s="8" t="s">
        <v>527</v>
      </c>
      <c r="C137" s="383">
        <f t="shared" si="2"/>
        <v>0</v>
      </c>
      <c r="D137" s="149"/>
      <c r="E137" s="149"/>
      <c r="F137" s="149"/>
    </row>
    <row r="138" spans="1:6" ht="12" customHeight="1">
      <c r="A138" s="14" t="s">
        <v>176</v>
      </c>
      <c r="B138" s="8" t="s">
        <v>528</v>
      </c>
      <c r="C138" s="383">
        <f t="shared" si="2"/>
        <v>0</v>
      </c>
      <c r="D138" s="149"/>
      <c r="E138" s="149"/>
      <c r="F138" s="149"/>
    </row>
    <row r="139" spans="1:6" ht="12" customHeight="1" thickBot="1">
      <c r="A139" s="12" t="s">
        <v>177</v>
      </c>
      <c r="B139" s="8" t="s">
        <v>529</v>
      </c>
      <c r="C139" s="384">
        <f t="shared" si="2"/>
        <v>0</v>
      </c>
      <c r="D139" s="149"/>
      <c r="E139" s="149"/>
      <c r="F139" s="149"/>
    </row>
    <row r="140" spans="1:6" ht="12" customHeight="1" thickBot="1">
      <c r="A140" s="19" t="s">
        <v>45</v>
      </c>
      <c r="B140" s="87" t="s">
        <v>530</v>
      </c>
      <c r="C140" s="167">
        <f t="shared" si="2"/>
        <v>0</v>
      </c>
      <c r="D140" s="346">
        <f>+D141+D142+D143+D144</f>
        <v>0</v>
      </c>
      <c r="E140" s="167">
        <f>+E141+E142+E143+E144</f>
        <v>0</v>
      </c>
      <c r="F140" s="167">
        <f>+F141+F142+F143+F144</f>
        <v>0</v>
      </c>
    </row>
    <row r="141" spans="1:6" ht="12" customHeight="1">
      <c r="A141" s="14" t="s">
        <v>112</v>
      </c>
      <c r="B141" s="8" t="s">
        <v>350</v>
      </c>
      <c r="C141" s="382">
        <f t="shared" si="2"/>
        <v>0</v>
      </c>
      <c r="D141" s="149"/>
      <c r="E141" s="149"/>
      <c r="F141" s="149"/>
    </row>
    <row r="142" spans="1:6" ht="12" customHeight="1">
      <c r="A142" s="14" t="s">
        <v>113</v>
      </c>
      <c r="B142" s="8" t="s">
        <v>351</v>
      </c>
      <c r="C142" s="383">
        <f t="shared" si="2"/>
        <v>0</v>
      </c>
      <c r="D142" s="149"/>
      <c r="E142" s="149"/>
      <c r="F142" s="149"/>
    </row>
    <row r="143" spans="1:6" ht="12" customHeight="1">
      <c r="A143" s="14" t="s">
        <v>264</v>
      </c>
      <c r="B143" s="8" t="s">
        <v>531</v>
      </c>
      <c r="C143" s="383">
        <f t="shared" si="2"/>
        <v>0</v>
      </c>
      <c r="D143" s="149"/>
      <c r="E143" s="149"/>
      <c r="F143" s="149"/>
    </row>
    <row r="144" spans="1:6" ht="12" customHeight="1" thickBot="1">
      <c r="A144" s="12" t="s">
        <v>265</v>
      </c>
      <c r="B144" s="6" t="s">
        <v>369</v>
      </c>
      <c r="C144" s="384">
        <f t="shared" si="2"/>
        <v>0</v>
      </c>
      <c r="D144" s="149"/>
      <c r="E144" s="149"/>
      <c r="F144" s="149"/>
    </row>
    <row r="145" spans="1:6" ht="12" customHeight="1" thickBot="1">
      <c r="A145" s="19" t="s">
        <v>46</v>
      </c>
      <c r="B145" s="87" t="s">
        <v>532</v>
      </c>
      <c r="C145" s="167">
        <f t="shared" si="2"/>
        <v>0</v>
      </c>
      <c r="D145" s="357">
        <f>+D146+D147+D148+D149+D150</f>
        <v>0</v>
      </c>
      <c r="E145" s="170">
        <f>+E146+E147+E148+E149+E150</f>
        <v>0</v>
      </c>
      <c r="F145" s="170">
        <f>SUM(F146:F150)</f>
        <v>0</v>
      </c>
    </row>
    <row r="146" spans="1:6" ht="12" customHeight="1">
      <c r="A146" s="14" t="s">
        <v>114</v>
      </c>
      <c r="B146" s="8" t="s">
        <v>533</v>
      </c>
      <c r="C146" s="382">
        <f t="shared" si="2"/>
        <v>0</v>
      </c>
      <c r="D146" s="149"/>
      <c r="E146" s="149"/>
      <c r="F146" s="149"/>
    </row>
    <row r="147" spans="1:6" ht="12" customHeight="1">
      <c r="A147" s="14" t="s">
        <v>115</v>
      </c>
      <c r="B147" s="8" t="s">
        <v>534</v>
      </c>
      <c r="C147" s="383">
        <f t="shared" si="2"/>
        <v>0</v>
      </c>
      <c r="D147" s="149"/>
      <c r="E147" s="149"/>
      <c r="F147" s="149"/>
    </row>
    <row r="148" spans="1:6" ht="12" customHeight="1">
      <c r="A148" s="14" t="s">
        <v>276</v>
      </c>
      <c r="B148" s="8" t="s">
        <v>535</v>
      </c>
      <c r="C148" s="383">
        <f t="shared" si="2"/>
        <v>0</v>
      </c>
      <c r="D148" s="149"/>
      <c r="E148" s="149"/>
      <c r="F148" s="149"/>
    </row>
    <row r="149" spans="1:6" ht="12" customHeight="1">
      <c r="A149" s="14" t="s">
        <v>277</v>
      </c>
      <c r="B149" s="8" t="s">
        <v>536</v>
      </c>
      <c r="C149" s="383">
        <f t="shared" si="2"/>
        <v>0</v>
      </c>
      <c r="D149" s="149"/>
      <c r="E149" s="149"/>
      <c r="F149" s="149"/>
    </row>
    <row r="150" spans="1:6" ht="12" customHeight="1" thickBot="1">
      <c r="A150" s="14" t="s">
        <v>537</v>
      </c>
      <c r="B150" s="8" t="s">
        <v>538</v>
      </c>
      <c r="C150" s="384">
        <f t="shared" si="2"/>
        <v>0</v>
      </c>
      <c r="D150" s="150"/>
      <c r="E150" s="150"/>
      <c r="F150" s="149"/>
    </row>
    <row r="151" spans="1:6" ht="12" customHeight="1" thickBot="1">
      <c r="A151" s="19" t="s">
        <v>47</v>
      </c>
      <c r="B151" s="87" t="s">
        <v>539</v>
      </c>
      <c r="C151" s="162">
        <f t="shared" si="2"/>
        <v>0</v>
      </c>
      <c r="D151" s="357"/>
      <c r="E151" s="170"/>
      <c r="F151" s="310"/>
    </row>
    <row r="152" spans="1:6" ht="12" customHeight="1" thickBot="1">
      <c r="A152" s="19" t="s">
        <v>48</v>
      </c>
      <c r="B152" s="87" t="s">
        <v>540</v>
      </c>
      <c r="C152" s="162">
        <f t="shared" si="2"/>
        <v>0</v>
      </c>
      <c r="D152" s="357"/>
      <c r="E152" s="170"/>
      <c r="F152" s="310"/>
    </row>
    <row r="153" spans="1:9" ht="15" customHeight="1" thickBot="1">
      <c r="A153" s="19" t="s">
        <v>49</v>
      </c>
      <c r="B153" s="87" t="s">
        <v>541</v>
      </c>
      <c r="C153" s="162">
        <f t="shared" si="2"/>
        <v>103161000</v>
      </c>
      <c r="D153" s="360">
        <f>+D129+D133+D140+D145+D151+D152</f>
        <v>103161000</v>
      </c>
      <c r="E153" s="258">
        <f>+E129+E133+E140+E145+E151+E152</f>
        <v>0</v>
      </c>
      <c r="F153" s="258">
        <f>+F129+F133+F140+F145+F151+F152</f>
        <v>0</v>
      </c>
      <c r="G153" s="259"/>
      <c r="H153" s="259"/>
      <c r="I153" s="259"/>
    </row>
    <row r="154" spans="1:6" s="247" customFormat="1" ht="12.75" customHeight="1" thickBot="1">
      <c r="A154" s="160" t="s">
        <v>50</v>
      </c>
      <c r="B154" s="233" t="s">
        <v>542</v>
      </c>
      <c r="C154" s="162">
        <f t="shared" si="2"/>
        <v>1022680998</v>
      </c>
      <c r="D154" s="360">
        <f>+D128+D153</f>
        <v>455073394</v>
      </c>
      <c r="E154" s="258">
        <f>+E128+E153</f>
        <v>4419000</v>
      </c>
      <c r="F154" s="258">
        <f>+F128+F153</f>
        <v>563188604</v>
      </c>
    </row>
    <row r="155" ht="7.5" customHeight="1"/>
    <row r="156" spans="1:3" ht="15.75">
      <c r="A156" s="844" t="s">
        <v>352</v>
      </c>
      <c r="B156" s="844"/>
      <c r="C156" s="844"/>
    </row>
    <row r="157" spans="1:3" ht="15" customHeight="1" thickBot="1">
      <c r="A157" s="842" t="s">
        <v>164</v>
      </c>
      <c r="B157" s="842"/>
      <c r="C157" s="171" t="s">
        <v>632</v>
      </c>
    </row>
    <row r="158" spans="1:3" ht="13.5" customHeight="1" thickBot="1">
      <c r="A158" s="19">
        <v>1</v>
      </c>
      <c r="B158" s="24" t="s">
        <v>543</v>
      </c>
      <c r="C158" s="162">
        <f>+C62-C128</f>
        <v>-184797845</v>
      </c>
    </row>
    <row r="159" spans="1:3" ht="27.75" customHeight="1" thickBot="1">
      <c r="A159" s="19" t="s">
        <v>41</v>
      </c>
      <c r="B159" s="24" t="s">
        <v>544</v>
      </c>
      <c r="C159" s="162">
        <f>+C86-C153</f>
        <v>79257046</v>
      </c>
    </row>
    <row r="162" ht="15.75">
      <c r="D162" s="259"/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melléklet a 28/2017.(X.27.)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61"/>
  <sheetViews>
    <sheetView tabSelected="1" view="pageLayout" workbookViewId="0" topLeftCell="D1">
      <selection activeCell="O4" sqref="O4"/>
    </sheetView>
  </sheetViews>
  <sheetFormatPr defaultColWidth="10.625" defaultRowHeight="12.75"/>
  <cols>
    <col min="1" max="1" width="42.375" style="500" customWidth="1"/>
    <col min="2" max="2" width="12.625" style="501" bestFit="1" customWidth="1"/>
    <col min="3" max="4" width="11.125" style="501" bestFit="1" customWidth="1"/>
    <col min="5" max="5" width="11.375" style="501" bestFit="1" customWidth="1"/>
    <col min="6" max="6" width="11.125" style="501" bestFit="1" customWidth="1"/>
    <col min="7" max="7" width="13.625" style="502" bestFit="1" customWidth="1"/>
    <col min="8" max="8" width="1.12109375" style="502" customWidth="1"/>
    <col min="9" max="9" width="12.625" style="500" bestFit="1" customWidth="1"/>
    <col min="10" max="10" width="11.125" style="500" bestFit="1" customWidth="1"/>
    <col min="11" max="11" width="12.625" style="500" bestFit="1" customWidth="1"/>
    <col min="12" max="13" width="11.125" style="500" bestFit="1" customWidth="1"/>
    <col min="14" max="14" width="15.125" style="503" bestFit="1" customWidth="1"/>
    <col min="15" max="15" width="15.125" style="500" bestFit="1" customWidth="1"/>
    <col min="16" max="16384" width="10.625" style="500" customWidth="1"/>
  </cols>
  <sheetData>
    <row r="1" spans="10:13" ht="12.75">
      <c r="J1" s="901"/>
      <c r="K1" s="901"/>
      <c r="L1" s="901"/>
      <c r="M1" s="901"/>
    </row>
    <row r="2" spans="1:14" ht="12.75">
      <c r="A2" s="504"/>
      <c r="E2" s="505"/>
      <c r="I2" s="504"/>
      <c r="J2" s="902"/>
      <c r="K2" s="902"/>
      <c r="L2" s="902"/>
      <c r="M2" s="902"/>
      <c r="N2" s="506"/>
    </row>
    <row r="3" spans="1:14" ht="17.25" customHeight="1">
      <c r="A3" s="507" t="s">
        <v>628</v>
      </c>
      <c r="B3" s="508"/>
      <c r="C3" s="508"/>
      <c r="D3" s="508"/>
      <c r="E3" s="508"/>
      <c r="F3" s="508"/>
      <c r="G3" s="509"/>
      <c r="H3" s="509"/>
      <c r="I3" s="510"/>
      <c r="J3" s="510"/>
      <c r="K3" s="510"/>
      <c r="L3" s="510"/>
      <c r="M3" s="510"/>
      <c r="N3" s="511"/>
    </row>
    <row r="4" spans="1:14" ht="19.5">
      <c r="A4" s="512" t="s">
        <v>451</v>
      </c>
      <c r="B4" s="508"/>
      <c r="C4" s="508"/>
      <c r="D4" s="508"/>
      <c r="E4" s="508"/>
      <c r="F4" s="508"/>
      <c r="G4" s="509"/>
      <c r="H4" s="509"/>
      <c r="I4" s="510"/>
      <c r="J4" s="510"/>
      <c r="K4" s="510"/>
      <c r="L4" s="510"/>
      <c r="M4" s="510"/>
      <c r="N4" s="511"/>
    </row>
    <row r="5" spans="1:14" ht="0.75" customHeight="1" thickBot="1">
      <c r="A5" s="513"/>
      <c r="B5" s="508"/>
      <c r="C5" s="508"/>
      <c r="D5" s="508"/>
      <c r="E5" s="508"/>
      <c r="F5" s="508"/>
      <c r="G5" s="509"/>
      <c r="H5" s="509"/>
      <c r="I5" s="510"/>
      <c r="J5" s="510"/>
      <c r="K5" s="510"/>
      <c r="L5" s="510"/>
      <c r="M5" s="510"/>
      <c r="N5" s="506" t="s">
        <v>410</v>
      </c>
    </row>
    <row r="6" spans="1:14" ht="15.75">
      <c r="A6" s="514" t="s">
        <v>196</v>
      </c>
      <c r="B6" s="903" t="s">
        <v>452</v>
      </c>
      <c r="C6" s="904"/>
      <c r="D6" s="904"/>
      <c r="E6" s="904"/>
      <c r="F6" s="904"/>
      <c r="G6" s="905"/>
      <c r="H6" s="515"/>
      <c r="I6" s="903" t="s">
        <v>453</v>
      </c>
      <c r="J6" s="904"/>
      <c r="K6" s="904"/>
      <c r="L6" s="904"/>
      <c r="M6" s="904"/>
      <c r="N6" s="905"/>
    </row>
    <row r="7" spans="1:14" ht="12.75">
      <c r="A7" s="516"/>
      <c r="B7" s="517" t="s">
        <v>454</v>
      </c>
      <c r="C7" s="518" t="s">
        <v>426</v>
      </c>
      <c r="D7" s="518" t="s">
        <v>476</v>
      </c>
      <c r="E7" s="518" t="s">
        <v>455</v>
      </c>
      <c r="F7" s="518" t="s">
        <v>599</v>
      </c>
      <c r="G7" s="519" t="s">
        <v>630</v>
      </c>
      <c r="H7" s="520"/>
      <c r="I7" s="517" t="s">
        <v>454</v>
      </c>
      <c r="J7" s="518" t="s">
        <v>426</v>
      </c>
      <c r="K7" s="518" t="s">
        <v>485</v>
      </c>
      <c r="L7" s="518" t="s">
        <v>147</v>
      </c>
      <c r="M7" s="518" t="s">
        <v>477</v>
      </c>
      <c r="N7" s="519" t="s">
        <v>631</v>
      </c>
    </row>
    <row r="8" spans="1:14" ht="13.5" thickBot="1">
      <c r="A8" s="521"/>
      <c r="B8" s="522" t="s">
        <v>456</v>
      </c>
      <c r="C8" s="523" t="s">
        <v>456</v>
      </c>
      <c r="D8" s="523" t="s">
        <v>456</v>
      </c>
      <c r="E8" s="523" t="s">
        <v>457</v>
      </c>
      <c r="F8" s="523"/>
      <c r="G8" s="524" t="s">
        <v>458</v>
      </c>
      <c r="H8" s="525"/>
      <c r="I8" s="620" t="s">
        <v>459</v>
      </c>
      <c r="J8" s="621" t="s">
        <v>432</v>
      </c>
      <c r="K8" s="621" t="s">
        <v>428</v>
      </c>
      <c r="L8" s="621"/>
      <c r="M8" s="621"/>
      <c r="N8" s="622" t="s">
        <v>460</v>
      </c>
    </row>
    <row r="9" spans="1:194" ht="12.75">
      <c r="A9" s="623" t="s">
        <v>478</v>
      </c>
      <c r="B9" s="526">
        <v>4075000</v>
      </c>
      <c r="C9" s="527"/>
      <c r="D9" s="528"/>
      <c r="E9" s="527"/>
      <c r="F9" s="527"/>
      <c r="G9" s="529">
        <f>SUM(B9:F9)</f>
        <v>4075000</v>
      </c>
      <c r="H9" s="530"/>
      <c r="I9" s="531"/>
      <c r="J9" s="527">
        <f>291340+78662</f>
        <v>370002</v>
      </c>
      <c r="K9" s="532"/>
      <c r="L9" s="527"/>
      <c r="M9" s="527"/>
      <c r="N9" s="533">
        <f aca="true" t="shared" si="0" ref="N9:N16">SUM(I9:M9)</f>
        <v>370002</v>
      </c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34"/>
      <c r="AD9" s="534"/>
      <c r="AE9" s="534"/>
      <c r="AF9" s="534"/>
      <c r="AG9" s="534"/>
      <c r="AH9" s="534"/>
      <c r="AI9" s="534"/>
      <c r="AJ9" s="534"/>
      <c r="AK9" s="534"/>
      <c r="AL9" s="534"/>
      <c r="AM9" s="534"/>
      <c r="AN9" s="534"/>
      <c r="AO9" s="534"/>
      <c r="AP9" s="534"/>
      <c r="AQ9" s="534"/>
      <c r="AR9" s="534"/>
      <c r="AS9" s="534"/>
      <c r="AT9" s="534"/>
      <c r="AU9" s="534"/>
      <c r="AV9" s="534"/>
      <c r="AW9" s="534"/>
      <c r="AX9" s="534"/>
      <c r="AY9" s="534"/>
      <c r="AZ9" s="534"/>
      <c r="BA9" s="534"/>
      <c r="BB9" s="534"/>
      <c r="BC9" s="534"/>
      <c r="BD9" s="534"/>
      <c r="BE9" s="534"/>
      <c r="BF9" s="534"/>
      <c r="BG9" s="534"/>
      <c r="BH9" s="534"/>
      <c r="BI9" s="534"/>
      <c r="BJ9" s="534"/>
      <c r="BK9" s="534"/>
      <c r="BL9" s="534"/>
      <c r="BM9" s="534"/>
      <c r="BN9" s="534"/>
      <c r="BO9" s="534"/>
      <c r="BP9" s="534"/>
      <c r="BQ9" s="534"/>
      <c r="BR9" s="534"/>
      <c r="BS9" s="534"/>
      <c r="BT9" s="534"/>
      <c r="BU9" s="534"/>
      <c r="BV9" s="534"/>
      <c r="BW9" s="534"/>
      <c r="BX9" s="534"/>
      <c r="BY9" s="534"/>
      <c r="BZ9" s="534"/>
      <c r="CA9" s="534"/>
      <c r="CB9" s="534"/>
      <c r="CC9" s="534"/>
      <c r="CD9" s="534"/>
      <c r="CE9" s="534"/>
      <c r="CF9" s="534"/>
      <c r="CG9" s="534"/>
      <c r="CH9" s="534"/>
      <c r="CI9" s="534"/>
      <c r="CJ9" s="534"/>
      <c r="CK9" s="534"/>
      <c r="CL9" s="534"/>
      <c r="CM9" s="534"/>
      <c r="CN9" s="534"/>
      <c r="CO9" s="534"/>
      <c r="CP9" s="534"/>
      <c r="CQ9" s="534"/>
      <c r="CR9" s="534"/>
      <c r="CS9" s="534"/>
      <c r="CT9" s="534"/>
      <c r="CU9" s="534"/>
      <c r="CV9" s="534"/>
      <c r="CW9" s="534"/>
      <c r="CX9" s="534"/>
      <c r="CY9" s="534"/>
      <c r="CZ9" s="534"/>
      <c r="DA9" s="534"/>
      <c r="DB9" s="534"/>
      <c r="DC9" s="534"/>
      <c r="DD9" s="534"/>
      <c r="DE9" s="534"/>
      <c r="DF9" s="534"/>
      <c r="DG9" s="534"/>
      <c r="DH9" s="534"/>
      <c r="DI9" s="534"/>
      <c r="DJ9" s="534"/>
      <c r="DK9" s="534"/>
      <c r="DL9" s="534"/>
      <c r="DM9" s="534"/>
      <c r="DN9" s="534"/>
      <c r="DO9" s="534"/>
      <c r="DP9" s="534"/>
      <c r="DQ9" s="534"/>
      <c r="DR9" s="534"/>
      <c r="DS9" s="534"/>
      <c r="DT9" s="534"/>
      <c r="DU9" s="534"/>
      <c r="DV9" s="534"/>
      <c r="DW9" s="534"/>
      <c r="DX9" s="534"/>
      <c r="DY9" s="534"/>
      <c r="DZ9" s="534"/>
      <c r="EA9" s="534"/>
      <c r="EB9" s="534"/>
      <c r="EC9" s="534"/>
      <c r="ED9" s="534"/>
      <c r="EE9" s="534"/>
      <c r="EF9" s="534"/>
      <c r="EG9" s="534"/>
      <c r="EH9" s="534"/>
      <c r="EI9" s="534"/>
      <c r="EJ9" s="534"/>
      <c r="EK9" s="534"/>
      <c r="EL9" s="534"/>
      <c r="EM9" s="534"/>
      <c r="EN9" s="534"/>
      <c r="EO9" s="534"/>
      <c r="EP9" s="534"/>
      <c r="EQ9" s="534"/>
      <c r="ER9" s="534"/>
      <c r="ES9" s="534"/>
      <c r="ET9" s="534"/>
      <c r="EU9" s="534"/>
      <c r="EV9" s="534"/>
      <c r="EW9" s="534"/>
      <c r="EX9" s="534"/>
      <c r="EY9" s="534"/>
      <c r="EZ9" s="534"/>
      <c r="FA9" s="534"/>
      <c r="FB9" s="534"/>
      <c r="FC9" s="534"/>
      <c r="FD9" s="534"/>
      <c r="FE9" s="534"/>
      <c r="FF9" s="534"/>
      <c r="FG9" s="534"/>
      <c r="FH9" s="534"/>
      <c r="FI9" s="534"/>
      <c r="FJ9" s="534"/>
      <c r="FK9" s="534"/>
      <c r="FL9" s="534"/>
      <c r="FM9" s="534"/>
      <c r="FN9" s="534"/>
      <c r="FO9" s="534"/>
      <c r="FP9" s="534"/>
      <c r="FQ9" s="534"/>
      <c r="FR9" s="534"/>
      <c r="FS9" s="534"/>
      <c r="FT9" s="534"/>
      <c r="FU9" s="534"/>
      <c r="FV9" s="534"/>
      <c r="FW9" s="534"/>
      <c r="FX9" s="534"/>
      <c r="FY9" s="534"/>
      <c r="FZ9" s="534"/>
      <c r="GA9" s="534"/>
      <c r="GB9" s="534"/>
      <c r="GC9" s="534"/>
      <c r="GD9" s="534"/>
      <c r="GE9" s="534"/>
      <c r="GF9" s="534"/>
      <c r="GG9" s="534"/>
      <c r="GH9" s="534"/>
      <c r="GI9" s="534"/>
      <c r="GJ9" s="534"/>
      <c r="GK9" s="534"/>
      <c r="GL9" s="534"/>
    </row>
    <row r="10" spans="1:14" ht="12.75">
      <c r="A10" s="541" t="s">
        <v>586</v>
      </c>
      <c r="B10" s="535"/>
      <c r="C10" s="536"/>
      <c r="D10" s="536"/>
      <c r="E10" s="536"/>
      <c r="F10" s="536"/>
      <c r="G10" s="537">
        <f>SUM(B10:F10)</f>
        <v>0</v>
      </c>
      <c r="H10" s="538"/>
      <c r="I10" s="539">
        <v>12011000</v>
      </c>
      <c r="J10" s="536"/>
      <c r="K10" s="536"/>
      <c r="L10" s="536"/>
      <c r="M10" s="536"/>
      <c r="N10" s="540">
        <f t="shared" si="0"/>
        <v>12011000</v>
      </c>
    </row>
    <row r="11" spans="1:14" ht="12.75">
      <c r="A11" s="541" t="s">
        <v>603</v>
      </c>
      <c r="B11" s="535"/>
      <c r="C11" s="536"/>
      <c r="D11" s="536"/>
      <c r="E11" s="536"/>
      <c r="F11" s="536"/>
      <c r="G11" s="537">
        <f>SUM(B11:F11)</f>
        <v>0</v>
      </c>
      <c r="H11" s="538"/>
      <c r="I11" s="539"/>
      <c r="J11" s="536"/>
      <c r="K11" s="536"/>
      <c r="L11" s="536"/>
      <c r="M11" s="536"/>
      <c r="N11" s="540">
        <f t="shared" si="0"/>
        <v>0</v>
      </c>
    </row>
    <row r="12" spans="1:14" ht="12.75">
      <c r="A12" s="541" t="s">
        <v>604</v>
      </c>
      <c r="B12" s="535"/>
      <c r="C12" s="536">
        <f>15690532-15690532</f>
        <v>0</v>
      </c>
      <c r="D12" s="536"/>
      <c r="E12" s="536"/>
      <c r="F12" s="536"/>
      <c r="G12" s="537">
        <f>SUM(B12:F12)</f>
        <v>0</v>
      </c>
      <c r="H12" s="542"/>
      <c r="I12" s="539"/>
      <c r="J12" s="536">
        <f>6621000+4226991-2180250-588668+14535000+3924450+2122000+572940</f>
        <v>29233463</v>
      </c>
      <c r="K12" s="536"/>
      <c r="L12" s="536"/>
      <c r="M12" s="536"/>
      <c r="N12" s="540">
        <f t="shared" si="0"/>
        <v>29233463</v>
      </c>
    </row>
    <row r="13" spans="1:14" ht="12.75">
      <c r="A13" s="541" t="s">
        <v>479</v>
      </c>
      <c r="B13" s="535"/>
      <c r="C13" s="543"/>
      <c r="D13" s="536"/>
      <c r="E13" s="536"/>
      <c r="F13" s="536"/>
      <c r="G13" s="537">
        <f aca="true" t="shared" si="1" ref="G13:G19">SUM(B13:F13)</f>
        <v>0</v>
      </c>
      <c r="H13" s="544" t="e">
        <f>SUM(#REF!)</f>
        <v>#REF!</v>
      </c>
      <c r="I13" s="539"/>
      <c r="J13" s="536"/>
      <c r="K13" s="536"/>
      <c r="L13" s="536"/>
      <c r="M13" s="536"/>
      <c r="N13" s="540">
        <f t="shared" si="0"/>
        <v>0</v>
      </c>
    </row>
    <row r="14" spans="1:14" ht="12.75">
      <c r="A14" s="545" t="s">
        <v>587</v>
      </c>
      <c r="B14" s="535">
        <f>7285000+5500000+1485000</f>
        <v>14270000</v>
      </c>
      <c r="C14" s="546"/>
      <c r="D14" s="536"/>
      <c r="E14" s="546"/>
      <c r="F14" s="546"/>
      <c r="G14" s="540">
        <f t="shared" si="1"/>
        <v>14270000</v>
      </c>
      <c r="H14" s="538"/>
      <c r="I14" s="539">
        <f>4801000+5200000+1647000+900000-162000+46000</f>
        <v>12432000</v>
      </c>
      <c r="J14" s="536"/>
      <c r="K14" s="546"/>
      <c r="L14" s="546"/>
      <c r="M14" s="546"/>
      <c r="N14" s="540">
        <f t="shared" si="0"/>
        <v>12432000</v>
      </c>
    </row>
    <row r="15" spans="1:14" ht="12.75">
      <c r="A15" s="541" t="s">
        <v>461</v>
      </c>
      <c r="B15" s="535"/>
      <c r="C15" s="536"/>
      <c r="D15" s="536"/>
      <c r="E15" s="536"/>
      <c r="F15" s="536"/>
      <c r="G15" s="537">
        <f t="shared" si="1"/>
        <v>0</v>
      </c>
      <c r="H15" s="538"/>
      <c r="I15" s="539">
        <f>8715000+638680+172444-2122000-572940</f>
        <v>6831184</v>
      </c>
      <c r="J15" s="536">
        <f>529000+141000+39000</f>
        <v>709000</v>
      </c>
      <c r="K15" s="536"/>
      <c r="L15" s="536"/>
      <c r="M15" s="536"/>
      <c r="N15" s="540">
        <f t="shared" si="0"/>
        <v>7540184</v>
      </c>
    </row>
    <row r="16" spans="1:14" ht="12.75">
      <c r="A16" s="541" t="s">
        <v>462</v>
      </c>
      <c r="B16" s="535">
        <v>100000</v>
      </c>
      <c r="C16" s="536"/>
      <c r="D16" s="536"/>
      <c r="E16" s="536"/>
      <c r="F16" s="536"/>
      <c r="G16" s="537">
        <f t="shared" si="1"/>
        <v>100000</v>
      </c>
      <c r="H16" s="538"/>
      <c r="I16" s="539">
        <f>1817000+300000+81000</f>
        <v>2198000</v>
      </c>
      <c r="J16" s="536">
        <v>1513000</v>
      </c>
      <c r="K16" s="536"/>
      <c r="L16" s="536"/>
      <c r="M16" s="536"/>
      <c r="N16" s="540">
        <f t="shared" si="0"/>
        <v>3711000</v>
      </c>
    </row>
    <row r="17" spans="1:14" ht="12.75">
      <c r="A17" s="541" t="s">
        <v>463</v>
      </c>
      <c r="B17" s="535"/>
      <c r="C17" s="536"/>
      <c r="D17" s="536"/>
      <c r="E17" s="536"/>
      <c r="F17" s="536"/>
      <c r="G17" s="537">
        <f t="shared" si="1"/>
        <v>0</v>
      </c>
      <c r="H17" s="538"/>
      <c r="I17" s="539"/>
      <c r="J17" s="536"/>
      <c r="K17" s="536"/>
      <c r="L17" s="536"/>
      <c r="M17" s="536"/>
      <c r="N17" s="540">
        <f aca="true" t="shared" si="2" ref="N17:N51">SUM(I17:M17)</f>
        <v>0</v>
      </c>
    </row>
    <row r="18" spans="1:14" ht="12.75">
      <c r="A18" s="541" t="s">
        <v>464</v>
      </c>
      <c r="B18" s="547">
        <v>6840000</v>
      </c>
      <c r="C18" s="546">
        <v>2160000</v>
      </c>
      <c r="D18" s="546"/>
      <c r="E18" s="546"/>
      <c r="F18" s="546"/>
      <c r="G18" s="540">
        <f t="shared" si="1"/>
        <v>9000000</v>
      </c>
      <c r="H18" s="548"/>
      <c r="I18" s="838">
        <f>31466000+66000-231000-45738+6840000-132000-26136-198000-39204</f>
        <v>37699922</v>
      </c>
      <c r="J18" s="536">
        <v>2160000</v>
      </c>
      <c r="K18" s="546"/>
      <c r="L18" s="546"/>
      <c r="M18" s="546"/>
      <c r="N18" s="540">
        <f t="shared" si="2"/>
        <v>39859922</v>
      </c>
    </row>
    <row r="19" spans="1:14" ht="12.75">
      <c r="A19" s="545" t="s">
        <v>465</v>
      </c>
      <c r="B19" s="547"/>
      <c r="C19" s="546"/>
      <c r="D19" s="546"/>
      <c r="E19" s="546"/>
      <c r="F19" s="546"/>
      <c r="G19" s="540">
        <f t="shared" si="1"/>
        <v>0</v>
      </c>
      <c r="H19" s="548"/>
      <c r="I19" s="539">
        <f>300000+6294578+1699536+241138+65107+500000+135000</f>
        <v>9235359</v>
      </c>
      <c r="J19" s="546"/>
      <c r="K19" s="546"/>
      <c r="L19" s="546"/>
      <c r="M19" s="546"/>
      <c r="N19" s="540">
        <f t="shared" si="2"/>
        <v>9235359</v>
      </c>
    </row>
    <row r="20" spans="1:14" ht="12.75">
      <c r="A20" s="541" t="s">
        <v>466</v>
      </c>
      <c r="B20" s="535">
        <f>SUM(B21:B23)</f>
        <v>0</v>
      </c>
      <c r="C20" s="536">
        <f>SUM(C21:C23)</f>
        <v>0</v>
      </c>
      <c r="D20" s="536">
        <f>SUM(D21:D23)</f>
        <v>354390000</v>
      </c>
      <c r="E20" s="536"/>
      <c r="F20" s="536"/>
      <c r="G20" s="540">
        <f>SUM(G21:G23)</f>
        <v>354390000</v>
      </c>
      <c r="H20" s="548"/>
      <c r="I20" s="549"/>
      <c r="J20" s="546"/>
      <c r="K20" s="546">
        <f>SUM(K21:K23)</f>
        <v>0</v>
      </c>
      <c r="L20" s="546"/>
      <c r="M20" s="546"/>
      <c r="N20" s="540">
        <f t="shared" si="2"/>
        <v>0</v>
      </c>
    </row>
    <row r="21" spans="1:14" ht="12.75">
      <c r="A21" s="550" t="s">
        <v>480</v>
      </c>
      <c r="B21" s="535"/>
      <c r="C21" s="546"/>
      <c r="D21" s="535">
        <f>282890000+3500000+35000000</f>
        <v>321390000</v>
      </c>
      <c r="E21" s="546"/>
      <c r="F21" s="546"/>
      <c r="G21" s="551">
        <f aca="true" t="shared" si="3" ref="G21:G27">SUM(B21:F21)</f>
        <v>321390000</v>
      </c>
      <c r="H21" s="548"/>
      <c r="I21" s="549"/>
      <c r="J21" s="546"/>
      <c r="K21" s="546"/>
      <c r="L21" s="546"/>
      <c r="M21" s="546"/>
      <c r="N21" s="552">
        <f t="shared" si="2"/>
        <v>0</v>
      </c>
    </row>
    <row r="22" spans="1:14" ht="12.75">
      <c r="A22" s="550" t="s">
        <v>467</v>
      </c>
      <c r="B22" s="535"/>
      <c r="C22" s="546"/>
      <c r="D22" s="535">
        <v>27000000</v>
      </c>
      <c r="E22" s="546"/>
      <c r="F22" s="546"/>
      <c r="G22" s="551">
        <f t="shared" si="3"/>
        <v>27000000</v>
      </c>
      <c r="H22" s="548"/>
      <c r="I22" s="549"/>
      <c r="J22" s="546"/>
      <c r="K22" s="546"/>
      <c r="L22" s="546"/>
      <c r="M22" s="546"/>
      <c r="N22" s="552">
        <f t="shared" si="2"/>
        <v>0</v>
      </c>
    </row>
    <row r="23" spans="1:14" ht="12.75">
      <c r="A23" s="550" t="s">
        <v>588</v>
      </c>
      <c r="B23" s="535"/>
      <c r="C23" s="546"/>
      <c r="D23" s="535">
        <v>6000000</v>
      </c>
      <c r="E23" s="546"/>
      <c r="F23" s="546"/>
      <c r="G23" s="551">
        <f t="shared" si="3"/>
        <v>6000000</v>
      </c>
      <c r="H23" s="548"/>
      <c r="I23" s="549"/>
      <c r="J23" s="546"/>
      <c r="K23" s="546"/>
      <c r="L23" s="546"/>
      <c r="M23" s="546"/>
      <c r="N23" s="552">
        <f t="shared" si="2"/>
        <v>0</v>
      </c>
    </row>
    <row r="24" spans="1:14" ht="12.75">
      <c r="A24" s="553" t="s">
        <v>9</v>
      </c>
      <c r="B24" s="547"/>
      <c r="C24" s="546"/>
      <c r="D24" s="546"/>
      <c r="E24" s="546"/>
      <c r="F24" s="546"/>
      <c r="G24" s="551">
        <f t="shared" si="3"/>
        <v>0</v>
      </c>
      <c r="H24" s="548"/>
      <c r="I24" s="539">
        <f>26600000-19000000</f>
        <v>7600000</v>
      </c>
      <c r="J24" s="536"/>
      <c r="K24" s="546"/>
      <c r="L24" s="546"/>
      <c r="M24" s="546"/>
      <c r="N24" s="540">
        <f t="shared" si="2"/>
        <v>7600000</v>
      </c>
    </row>
    <row r="25" spans="1:14" ht="12.75">
      <c r="A25" s="541" t="s">
        <v>490</v>
      </c>
      <c r="B25" s="547"/>
      <c r="C25" s="546"/>
      <c r="D25" s="546"/>
      <c r="E25" s="546"/>
      <c r="F25" s="546"/>
      <c r="G25" s="540">
        <f t="shared" si="3"/>
        <v>0</v>
      </c>
      <c r="H25" s="548"/>
      <c r="I25" s="539">
        <f>835000+1200000+324000</f>
        <v>2359000</v>
      </c>
      <c r="J25" s="546"/>
      <c r="K25" s="546"/>
      <c r="L25" s="546"/>
      <c r="M25" s="546"/>
      <c r="N25" s="540">
        <f t="shared" si="2"/>
        <v>2359000</v>
      </c>
    </row>
    <row r="26" spans="1:14" ht="12.75">
      <c r="A26" s="541" t="s">
        <v>468</v>
      </c>
      <c r="B26" s="547"/>
      <c r="C26" s="546"/>
      <c r="D26" s="546"/>
      <c r="E26" s="546"/>
      <c r="F26" s="546"/>
      <c r="G26" s="540">
        <f t="shared" si="3"/>
        <v>0</v>
      </c>
      <c r="H26" s="548"/>
      <c r="I26" s="539">
        <v>34925000</v>
      </c>
      <c r="J26" s="546">
        <v>2237000</v>
      </c>
      <c r="K26" s="546"/>
      <c r="L26" s="546"/>
      <c r="M26" s="546"/>
      <c r="N26" s="540">
        <f t="shared" si="2"/>
        <v>37162000</v>
      </c>
    </row>
    <row r="27" spans="1:14" ht="13.5" customHeight="1">
      <c r="A27" s="624" t="s">
        <v>469</v>
      </c>
      <c r="B27" s="554">
        <f>210000+1060845+383000+8458000+378000+723064+195228+3111000+1770000+2100000-4705000</f>
        <v>13684137</v>
      </c>
      <c r="C27" s="555"/>
      <c r="D27" s="556"/>
      <c r="E27" s="556"/>
      <c r="F27" s="555"/>
      <c r="G27" s="557">
        <f t="shared" si="3"/>
        <v>13684137</v>
      </c>
      <c r="H27" s="548"/>
      <c r="I27" s="836">
        <f>40773000+6010000+1233000+3429000+16678000+589000+117000+315000+86000+812000+3500000+1982000+91440+918292+6600000+1905000+600000+361225+723064+195228+208420+56274+3191000+163000+4568000+2037000+448140+594094+267717+72000+62992+249697+7351000-4705000+200000+54000+165000+44550+22000+132448+100000-23622+157480+65694+24000-24000+4250-4250+3000000+60000+3261000</f>
        <v>108721133</v>
      </c>
      <c r="J27" s="835">
        <f>6604000+2400000+1348000+5000+157480+1974646+575674-157480-42520-54000+1079500</f>
        <v>13890300</v>
      </c>
      <c r="K27" s="555"/>
      <c r="L27" s="556"/>
      <c r="M27" s="556"/>
      <c r="N27" s="557">
        <f t="shared" si="2"/>
        <v>122611433</v>
      </c>
    </row>
    <row r="28" spans="1:14" ht="12.75">
      <c r="A28" s="541" t="s">
        <v>481</v>
      </c>
      <c r="B28" s="535">
        <f aca="true" t="shared" si="4" ref="B28:G28">SUM(B29:B31)</f>
        <v>1366368719</v>
      </c>
      <c r="C28" s="535">
        <f t="shared" si="4"/>
        <v>15690532</v>
      </c>
      <c r="D28" s="535">
        <f t="shared" si="4"/>
        <v>0</v>
      </c>
      <c r="E28" s="535">
        <f t="shared" si="4"/>
        <v>0</v>
      </c>
      <c r="F28" s="535">
        <f t="shared" si="4"/>
        <v>0</v>
      </c>
      <c r="G28" s="540">
        <f t="shared" si="4"/>
        <v>1382059251</v>
      </c>
      <c r="H28" s="558"/>
      <c r="I28" s="549">
        <f>SUM(I29:I30)</f>
        <v>45362389</v>
      </c>
      <c r="J28" s="549">
        <f>SUM(J29:J30)</f>
        <v>0</v>
      </c>
      <c r="K28" s="549">
        <f>SUM(K29:K30)</f>
        <v>0</v>
      </c>
      <c r="L28" s="549">
        <f>SUM(L29:L30)</f>
        <v>0</v>
      </c>
      <c r="M28" s="549">
        <f>SUM(M29:M30)</f>
        <v>0</v>
      </c>
      <c r="N28" s="540">
        <f t="shared" si="2"/>
        <v>45362389</v>
      </c>
    </row>
    <row r="29" spans="1:14" ht="12.75">
      <c r="A29" s="550" t="s">
        <v>482</v>
      </c>
      <c r="B29" s="535">
        <f>996138958+24250000-24250000+413944+9514709+49094027+4501192+10461768+4203818-8925800-4278000-1921230</f>
        <v>1059203386</v>
      </c>
      <c r="C29" s="536"/>
      <c r="D29" s="546"/>
      <c r="E29" s="546"/>
      <c r="F29" s="546"/>
      <c r="G29" s="551">
        <f aca="true" t="shared" si="5" ref="G29:G51">SUM(B29:F29)</f>
        <v>1059203386</v>
      </c>
      <c r="H29" s="548"/>
      <c r="I29" s="539">
        <f>6098534+1143510+40446+2792500</f>
        <v>10074990</v>
      </c>
      <c r="J29" s="546"/>
      <c r="K29" s="546"/>
      <c r="L29" s="546"/>
      <c r="M29" s="546"/>
      <c r="N29" s="552">
        <f t="shared" si="2"/>
        <v>10074990</v>
      </c>
    </row>
    <row r="30" spans="1:14" ht="12.75">
      <c r="A30" s="550" t="s">
        <v>483</v>
      </c>
      <c r="B30" s="833">
        <f>110446000+168707597+58000+128000+24250000-15000000+3969000+22113080+1882700+1038248-3969000-22113080-1882700+4682000+306000+12549488</f>
        <v>307165333</v>
      </c>
      <c r="C30" s="536"/>
      <c r="D30" s="536"/>
      <c r="E30" s="546"/>
      <c r="F30" s="546"/>
      <c r="G30" s="551">
        <f t="shared" si="5"/>
        <v>307165333</v>
      </c>
      <c r="H30" s="548"/>
      <c r="I30" s="838">
        <f>35164932+1500+60754+114463-60754+6504</f>
        <v>35287399</v>
      </c>
      <c r="J30" s="546"/>
      <c r="K30" s="546"/>
      <c r="L30" s="546"/>
      <c r="M30" s="546"/>
      <c r="N30" s="540">
        <f t="shared" si="2"/>
        <v>35287399</v>
      </c>
    </row>
    <row r="31" spans="1:14" ht="12.75">
      <c r="A31" s="550" t="s">
        <v>728</v>
      </c>
      <c r="B31" s="833"/>
      <c r="C31" s="536">
        <f>15690532</f>
        <v>15690532</v>
      </c>
      <c r="D31" s="536"/>
      <c r="E31" s="546"/>
      <c r="F31" s="546"/>
      <c r="G31" s="551">
        <f t="shared" si="5"/>
        <v>15690532</v>
      </c>
      <c r="H31" s="548"/>
      <c r="I31" s="539"/>
      <c r="J31" s="546"/>
      <c r="K31" s="546"/>
      <c r="L31" s="546"/>
      <c r="M31" s="546"/>
      <c r="N31" s="540"/>
    </row>
    <row r="32" spans="1:14" ht="12.75">
      <c r="A32" s="541" t="s">
        <v>470</v>
      </c>
      <c r="B32" s="535">
        <v>30000</v>
      </c>
      <c r="C32" s="536"/>
      <c r="D32" s="536"/>
      <c r="E32" s="536">
        <f>144100000+37900000+5500000</f>
        <v>187500000</v>
      </c>
      <c r="F32" s="536">
        <v>289331423</v>
      </c>
      <c r="G32" s="537">
        <f t="shared" si="5"/>
        <v>476861423</v>
      </c>
      <c r="H32" s="538"/>
      <c r="I32" s="539">
        <f>11212000+13374+55000</f>
        <v>11280374</v>
      </c>
      <c r="J32" s="536"/>
      <c r="K32" s="840">
        <v>1281122774</v>
      </c>
      <c r="L32" s="536">
        <v>103161000</v>
      </c>
      <c r="M32" s="840">
        <v>87018191</v>
      </c>
      <c r="N32" s="540">
        <f t="shared" si="2"/>
        <v>1482582339</v>
      </c>
    </row>
    <row r="33" spans="1:14" ht="12.75">
      <c r="A33" s="541" t="s">
        <v>484</v>
      </c>
      <c r="B33" s="547"/>
      <c r="C33" s="546"/>
      <c r="D33" s="546"/>
      <c r="E33" s="546"/>
      <c r="F33" s="546"/>
      <c r="G33" s="540">
        <f t="shared" si="5"/>
        <v>0</v>
      </c>
      <c r="H33" s="548"/>
      <c r="I33" s="539"/>
      <c r="J33" s="536"/>
      <c r="K33" s="536"/>
      <c r="L33" s="536"/>
      <c r="M33" s="536"/>
      <c r="N33" s="540">
        <f t="shared" si="2"/>
        <v>0</v>
      </c>
    </row>
    <row r="34" spans="1:14" ht="12.75">
      <c r="A34" s="541" t="s">
        <v>471</v>
      </c>
      <c r="B34" s="535"/>
      <c r="C34" s="536"/>
      <c r="D34" s="536"/>
      <c r="E34" s="536"/>
      <c r="F34" s="536"/>
      <c r="G34" s="540">
        <f t="shared" si="5"/>
        <v>0</v>
      </c>
      <c r="H34" s="548"/>
      <c r="I34" s="539">
        <v>590000</v>
      </c>
      <c r="J34" s="536"/>
      <c r="K34" s="536"/>
      <c r="L34" s="536"/>
      <c r="M34" s="536"/>
      <c r="N34" s="540">
        <f t="shared" si="2"/>
        <v>590000</v>
      </c>
    </row>
    <row r="35" spans="1:14" ht="12.75">
      <c r="A35" s="624" t="s">
        <v>472</v>
      </c>
      <c r="B35" s="554"/>
      <c r="C35" s="555">
        <v>75588869</v>
      </c>
      <c r="D35" s="555"/>
      <c r="E35" s="555"/>
      <c r="F35" s="555"/>
      <c r="G35" s="540">
        <f t="shared" si="5"/>
        <v>75588869</v>
      </c>
      <c r="H35" s="548"/>
      <c r="I35" s="836">
        <f>3351000+3939600+1577323+312310</f>
        <v>9180233</v>
      </c>
      <c r="J35" s="835">
        <f>56542894+15266582-1487900-401733</f>
        <v>69919843</v>
      </c>
      <c r="K35" s="555"/>
      <c r="L35" s="555"/>
      <c r="M35" s="555"/>
      <c r="N35" s="540">
        <f t="shared" si="2"/>
        <v>79100076</v>
      </c>
    </row>
    <row r="36" spans="1:14" ht="12.75">
      <c r="A36" s="624" t="s">
        <v>652</v>
      </c>
      <c r="B36" s="554"/>
      <c r="C36" s="555"/>
      <c r="D36" s="555"/>
      <c r="E36" s="555"/>
      <c r="F36" s="555"/>
      <c r="G36" s="540">
        <f t="shared" si="5"/>
        <v>0</v>
      </c>
      <c r="H36" s="548"/>
      <c r="I36" s="559"/>
      <c r="J36" s="555"/>
      <c r="K36" s="555"/>
      <c r="L36" s="555"/>
      <c r="M36" s="555"/>
      <c r="N36" s="540">
        <f t="shared" si="2"/>
        <v>0</v>
      </c>
    </row>
    <row r="37" spans="1:14" ht="12.75">
      <c r="A37" s="624" t="s">
        <v>486</v>
      </c>
      <c r="B37" s="554"/>
      <c r="C37" s="555"/>
      <c r="D37" s="555"/>
      <c r="E37" s="555"/>
      <c r="F37" s="555"/>
      <c r="G37" s="540">
        <f t="shared" si="5"/>
        <v>0</v>
      </c>
      <c r="H37" s="548"/>
      <c r="I37" s="559">
        <f>7083000+24000+4600+6200+113984+481496+143504+124996+85225</f>
        <v>8067005</v>
      </c>
      <c r="J37" s="555">
        <v>301000</v>
      </c>
      <c r="K37" s="555"/>
      <c r="L37" s="555"/>
      <c r="M37" s="555"/>
      <c r="N37" s="540">
        <f t="shared" si="2"/>
        <v>8368005</v>
      </c>
    </row>
    <row r="38" spans="1:14" ht="12.75">
      <c r="A38" s="624" t="s">
        <v>487</v>
      </c>
      <c r="B38" s="554">
        <v>947000</v>
      </c>
      <c r="C38" s="555"/>
      <c r="D38" s="555"/>
      <c r="E38" s="555"/>
      <c r="F38" s="555"/>
      <c r="G38" s="540">
        <f t="shared" si="5"/>
        <v>947000</v>
      </c>
      <c r="H38" s="548"/>
      <c r="I38" s="559">
        <v>16980000</v>
      </c>
      <c r="J38" s="555"/>
      <c r="K38" s="555"/>
      <c r="L38" s="555"/>
      <c r="M38" s="555"/>
      <c r="N38" s="540">
        <f t="shared" si="2"/>
        <v>16980000</v>
      </c>
    </row>
    <row r="39" spans="1:14" ht="12.75">
      <c r="A39" s="624" t="s">
        <v>590</v>
      </c>
      <c r="B39" s="554">
        <v>704000</v>
      </c>
      <c r="C39" s="555"/>
      <c r="D39" s="555"/>
      <c r="E39" s="555"/>
      <c r="F39" s="555"/>
      <c r="G39" s="540">
        <f t="shared" si="5"/>
        <v>704000</v>
      </c>
      <c r="H39" s="548"/>
      <c r="I39" s="839">
        <f>70980000-780000-6906260+785000-5080000</f>
        <v>58998740</v>
      </c>
      <c r="J39" s="555"/>
      <c r="K39" s="555"/>
      <c r="L39" s="555"/>
      <c r="M39" s="555"/>
      <c r="N39" s="540">
        <f t="shared" si="2"/>
        <v>58998740</v>
      </c>
    </row>
    <row r="40" spans="1:14" ht="12.75">
      <c r="A40" s="624" t="s">
        <v>729</v>
      </c>
      <c r="B40" s="554"/>
      <c r="C40" s="555"/>
      <c r="D40" s="555"/>
      <c r="E40" s="555"/>
      <c r="F40" s="555"/>
      <c r="G40" s="540">
        <f t="shared" si="5"/>
        <v>0</v>
      </c>
      <c r="H40" s="548"/>
      <c r="I40" s="836">
        <v>0</v>
      </c>
      <c r="J40" s="555"/>
      <c r="K40" s="555"/>
      <c r="L40" s="555"/>
      <c r="M40" s="555"/>
      <c r="N40" s="540">
        <f t="shared" si="2"/>
        <v>0</v>
      </c>
    </row>
    <row r="41" spans="1:14" ht="12.75">
      <c r="A41" s="624" t="s">
        <v>13</v>
      </c>
      <c r="B41" s="554"/>
      <c r="C41" s="555"/>
      <c r="D41" s="555"/>
      <c r="E41" s="555"/>
      <c r="F41" s="555"/>
      <c r="G41" s="540">
        <f t="shared" si="5"/>
        <v>0</v>
      </c>
      <c r="H41" s="548"/>
      <c r="I41" s="559">
        <v>1600000</v>
      </c>
      <c r="J41" s="555"/>
      <c r="K41" s="555"/>
      <c r="L41" s="555"/>
      <c r="M41" s="555"/>
      <c r="N41" s="540">
        <f t="shared" si="2"/>
        <v>1600000</v>
      </c>
    </row>
    <row r="42" spans="1:14" ht="12.75">
      <c r="A42" s="624" t="s">
        <v>730</v>
      </c>
      <c r="B42" s="554">
        <v>6350000</v>
      </c>
      <c r="C42" s="555"/>
      <c r="D42" s="555"/>
      <c r="E42" s="555"/>
      <c r="F42" s="555"/>
      <c r="G42" s="540">
        <f t="shared" si="5"/>
        <v>6350000</v>
      </c>
      <c r="H42" s="548"/>
      <c r="I42" s="559">
        <f>1350000+250000</f>
        <v>1600000</v>
      </c>
      <c r="J42" s="555"/>
      <c r="K42" s="555"/>
      <c r="L42" s="555"/>
      <c r="M42" s="555"/>
      <c r="N42" s="540">
        <f t="shared" si="2"/>
        <v>1600000</v>
      </c>
    </row>
    <row r="43" spans="1:14" ht="12.75">
      <c r="A43" s="541" t="s">
        <v>473</v>
      </c>
      <c r="B43" s="560">
        <v>1566000</v>
      </c>
      <c r="C43" s="555"/>
      <c r="D43" s="555"/>
      <c r="E43" s="555"/>
      <c r="F43" s="555"/>
      <c r="G43" s="540">
        <f t="shared" si="5"/>
        <v>1566000</v>
      </c>
      <c r="H43" s="548"/>
      <c r="I43" s="836">
        <f>20327000+2000000+4000000+2975000+80000</f>
        <v>29382000</v>
      </c>
      <c r="J43" s="555">
        <v>42072000</v>
      </c>
      <c r="K43" s="561"/>
      <c r="L43" s="555"/>
      <c r="M43" s="555"/>
      <c r="N43" s="540">
        <f t="shared" si="2"/>
        <v>71454000</v>
      </c>
    </row>
    <row r="44" spans="1:14" ht="12.75">
      <c r="A44" s="625" t="s">
        <v>651</v>
      </c>
      <c r="B44" s="560"/>
      <c r="C44" s="555">
        <f>3797300+214128350+199720812</f>
        <v>417646462</v>
      </c>
      <c r="D44" s="555"/>
      <c r="E44" s="555"/>
      <c r="F44" s="555"/>
      <c r="G44" s="540">
        <f t="shared" si="5"/>
        <v>417646462</v>
      </c>
      <c r="H44" s="548"/>
      <c r="I44" s="836">
        <f>3666988-2092900-774087-629922-170079+2921000+578359</f>
        <v>3499359</v>
      </c>
      <c r="J44" s="835">
        <f>92095700+168605000+45523350+2092900+774087+629922+170079+14095000+3805650+2988224+806820+5929+149157230+40272452+3375000+911250+138750-160035-43209+185830-185830-2921000</f>
        <v>522323099</v>
      </c>
      <c r="K44" s="561"/>
      <c r="L44" s="555"/>
      <c r="M44" s="555"/>
      <c r="N44" s="540">
        <f t="shared" si="2"/>
        <v>525822458</v>
      </c>
    </row>
    <row r="45" spans="1:14" ht="12.75">
      <c r="A45" s="541" t="s">
        <v>474</v>
      </c>
      <c r="B45" s="837">
        <f>16176000+682000+555000+150000+206000+56000+1924793+7128864+1924793</f>
        <v>28803450</v>
      </c>
      <c r="C45" s="555">
        <f>31032000+22270000</f>
        <v>53302000</v>
      </c>
      <c r="D45" s="555"/>
      <c r="E45" s="555"/>
      <c r="F45" s="555"/>
      <c r="G45" s="540">
        <f t="shared" si="5"/>
        <v>82105450</v>
      </c>
      <c r="H45" s="548"/>
      <c r="I45" s="836">
        <f>17736000+8485000+411000+270000-6684000-1804680+682000+24000+198000+123000+20000+92000+62000-62000+326000+1784000+481680-320000-120000-118800+1924793</f>
        <v>23509993</v>
      </c>
      <c r="J45" s="835">
        <f>5906000+771000+208170+5913000+1596510+4452920+1113432-1013000-273510-771000-208170-125000-33750+915000+247050-350000-94500+7128864+1924793+157480+42520+123498-123498+63000+17010</f>
        <v>27587819</v>
      </c>
      <c r="K45" s="555"/>
      <c r="L45" s="555"/>
      <c r="M45" s="555"/>
      <c r="N45" s="540">
        <f t="shared" si="2"/>
        <v>51097812</v>
      </c>
    </row>
    <row r="46" spans="1:14" ht="12.75">
      <c r="A46" s="541" t="s">
        <v>28</v>
      </c>
      <c r="B46" s="554"/>
      <c r="C46" s="555"/>
      <c r="D46" s="555"/>
      <c r="E46" s="555"/>
      <c r="F46" s="555"/>
      <c r="G46" s="540">
        <f t="shared" si="5"/>
        <v>0</v>
      </c>
      <c r="H46" s="548"/>
      <c r="I46" s="559"/>
      <c r="J46" s="555"/>
      <c r="K46" s="555"/>
      <c r="L46" s="555"/>
      <c r="M46" s="555"/>
      <c r="N46" s="540">
        <f t="shared" si="2"/>
        <v>0</v>
      </c>
    </row>
    <row r="47" spans="1:14" ht="12.75">
      <c r="A47" s="625" t="s">
        <v>654</v>
      </c>
      <c r="B47" s="834">
        <f>69942000+9665887+291175856+94906504+240000+27000-323735435-2941522-516228</f>
        <v>138764062</v>
      </c>
      <c r="C47" s="835">
        <f>15179276+158027+40410-15179276</f>
        <v>198437</v>
      </c>
      <c r="D47" s="555"/>
      <c r="E47" s="555"/>
      <c r="F47" s="555"/>
      <c r="G47" s="540">
        <f t="shared" si="5"/>
        <v>138962499</v>
      </c>
      <c r="H47" s="548"/>
      <c r="I47" s="836">
        <f>189014000+58000+8708008+957879+232903371+25618911+28972366+7822538+20000+400000+312000+94906504+869950+21074276+5690055+4124820+1113701+140000-1905000+137360-1170915-142327-30660-235888-410000-888000-350460+8195741+2212850+1500000+405000-140000+240000+27000+27000+188976+51024+2045+1500000+405000-279139483-31590193-25690917-234672-7230493+1240000+4000000+1080000+388424-388424</f>
        <v>294759367</v>
      </c>
      <c r="J47" s="835">
        <f>204000+11952186+3227090+300000+275000+74250+170000+44000-100000-27000+3938000+1063260-4255460-7419036-3219790</f>
        <v>6226500</v>
      </c>
      <c r="K47" s="555"/>
      <c r="L47" s="555"/>
      <c r="M47" s="555"/>
      <c r="N47" s="540">
        <f t="shared" si="2"/>
        <v>300985867</v>
      </c>
    </row>
    <row r="48" spans="1:14" ht="12.75">
      <c r="A48" s="541" t="s">
        <v>696</v>
      </c>
      <c r="B48" s="554"/>
      <c r="C48" s="555">
        <v>15956160</v>
      </c>
      <c r="D48" s="555"/>
      <c r="E48" s="555"/>
      <c r="F48" s="555"/>
      <c r="G48" s="540">
        <f t="shared" si="5"/>
        <v>15956160</v>
      </c>
      <c r="H48" s="548"/>
      <c r="I48" s="559"/>
      <c r="J48" s="555">
        <f>12170205+393701+3392254</f>
        <v>15956160</v>
      </c>
      <c r="K48" s="555"/>
      <c r="L48" s="555"/>
      <c r="M48" s="555"/>
      <c r="N48" s="540">
        <f t="shared" si="2"/>
        <v>15956160</v>
      </c>
    </row>
    <row r="49" spans="1:14" ht="12.75">
      <c r="A49" s="624" t="s">
        <v>605</v>
      </c>
      <c r="B49" s="554"/>
      <c r="C49" s="555"/>
      <c r="D49" s="555"/>
      <c r="E49" s="555"/>
      <c r="F49" s="555"/>
      <c r="G49" s="557">
        <f t="shared" si="5"/>
        <v>0</v>
      </c>
      <c r="H49" s="548"/>
      <c r="I49" s="559">
        <v>46750042</v>
      </c>
      <c r="J49" s="555"/>
      <c r="K49" s="555"/>
      <c r="L49" s="555"/>
      <c r="M49" s="555"/>
      <c r="N49" s="540">
        <f t="shared" si="2"/>
        <v>46750042</v>
      </c>
    </row>
    <row r="50" spans="1:14" ht="12.75">
      <c r="A50" s="624" t="s">
        <v>589</v>
      </c>
      <c r="B50" s="554">
        <v>204000</v>
      </c>
      <c r="C50" s="555"/>
      <c r="D50" s="555"/>
      <c r="E50" s="555"/>
      <c r="F50" s="555"/>
      <c r="G50" s="557">
        <f t="shared" si="5"/>
        <v>204000</v>
      </c>
      <c r="H50" s="548"/>
      <c r="I50" s="559">
        <f>1256800-50000+2+3998-4000+23000-17000-6000</f>
        <v>1206800</v>
      </c>
      <c r="J50" s="555">
        <v>90200</v>
      </c>
      <c r="K50" s="555"/>
      <c r="L50" s="555"/>
      <c r="M50" s="555"/>
      <c r="N50" s="557">
        <f t="shared" si="2"/>
        <v>1297000</v>
      </c>
    </row>
    <row r="51" spans="1:14" ht="13.5" thickBot="1">
      <c r="A51" s="541" t="s">
        <v>653</v>
      </c>
      <c r="B51" s="554"/>
      <c r="C51" s="555"/>
      <c r="D51" s="555"/>
      <c r="E51" s="555"/>
      <c r="F51" s="555"/>
      <c r="G51" s="557">
        <f t="shared" si="5"/>
        <v>0</v>
      </c>
      <c r="H51" s="548"/>
      <c r="I51" s="559">
        <f>1200000+600000</f>
        <v>1800000</v>
      </c>
      <c r="J51" s="555"/>
      <c r="K51" s="555"/>
      <c r="L51" s="555"/>
      <c r="M51" s="555"/>
      <c r="N51" s="557">
        <f t="shared" si="2"/>
        <v>1800000</v>
      </c>
    </row>
    <row r="52" spans="1:15" ht="12.75">
      <c r="A52" s="562" t="s">
        <v>74</v>
      </c>
      <c r="B52" s="563">
        <f>SUM(B9:B13,B14:B20,B25:B28,B32:B51,B24)</f>
        <v>1582706368</v>
      </c>
      <c r="C52" s="564">
        <f>SUM(C9:C13,C14:C20,C25:C28,C32:C51,C24)</f>
        <v>580542460</v>
      </c>
      <c r="D52" s="564">
        <f>SUM(D9:D13,D14:D20,D25:D28,D32:D51,D24)</f>
        <v>354390000</v>
      </c>
      <c r="E52" s="564">
        <f>SUM(E9:E13,E14:E20,E25:E28,E32:E51,E24)</f>
        <v>187500000</v>
      </c>
      <c r="F52" s="564">
        <f>SUM(F9:F13,F14:F20,F25:F28,F32:F51,F24)</f>
        <v>289331423</v>
      </c>
      <c r="G52" s="564">
        <f>SUM(G9:G13,G14:G20,G24:G28,G32:G38,G39:G51,)</f>
        <v>2994470251</v>
      </c>
      <c r="H52" s="564" t="e">
        <f>SUM(H9:H13,H15:H20,H25:H28,H32:H38,H39:H51)</f>
        <v>#REF!</v>
      </c>
      <c r="I52" s="564">
        <f aca="true" t="shared" si="6" ref="I52:N52">SUM(I9:I13,I14:I20,I25:I28,I32:I51,I24)</f>
        <v>788578900</v>
      </c>
      <c r="J52" s="564">
        <f t="shared" si="6"/>
        <v>734589386</v>
      </c>
      <c r="K52" s="564">
        <f t="shared" si="6"/>
        <v>1281122774</v>
      </c>
      <c r="L52" s="564">
        <f t="shared" si="6"/>
        <v>103161000</v>
      </c>
      <c r="M52" s="564">
        <f t="shared" si="6"/>
        <v>87018191</v>
      </c>
      <c r="N52" s="565">
        <f t="shared" si="6"/>
        <v>2994470251</v>
      </c>
      <c r="O52" s="566">
        <f>N52-G52</f>
        <v>0</v>
      </c>
    </row>
    <row r="53" spans="1:15" ht="12.75">
      <c r="A53" s="567" t="s">
        <v>475</v>
      </c>
      <c r="B53" s="568"/>
      <c r="C53" s="569"/>
      <c r="D53" s="569"/>
      <c r="E53" s="569"/>
      <c r="F53" s="569"/>
      <c r="G53" s="537"/>
      <c r="H53" s="542"/>
      <c r="I53" s="570"/>
      <c r="J53" s="536"/>
      <c r="K53" s="571">
        <v>1281122774</v>
      </c>
      <c r="L53" s="569"/>
      <c r="M53" s="569"/>
      <c r="N53" s="572">
        <f>SUM(I53:M53)</f>
        <v>1281122774</v>
      </c>
      <c r="O53" s="566"/>
    </row>
    <row r="54" spans="1:15" ht="13.5" thickBot="1">
      <c r="A54" s="573" t="s">
        <v>86</v>
      </c>
      <c r="B54" s="574">
        <f aca="true" t="shared" si="7" ref="B54:N54">B52-B53</f>
        <v>1582706368</v>
      </c>
      <c r="C54" s="575">
        <f t="shared" si="7"/>
        <v>580542460</v>
      </c>
      <c r="D54" s="575">
        <f t="shared" si="7"/>
        <v>354390000</v>
      </c>
      <c r="E54" s="575">
        <f t="shared" si="7"/>
        <v>187500000</v>
      </c>
      <c r="F54" s="575">
        <f t="shared" si="7"/>
        <v>289331423</v>
      </c>
      <c r="G54" s="575">
        <f t="shared" si="7"/>
        <v>2994470251</v>
      </c>
      <c r="H54" s="576" t="e">
        <f t="shared" si="7"/>
        <v>#REF!</v>
      </c>
      <c r="I54" s="574">
        <f t="shared" si="7"/>
        <v>788578900</v>
      </c>
      <c r="J54" s="575">
        <f t="shared" si="7"/>
        <v>734589386</v>
      </c>
      <c r="K54" s="575">
        <f t="shared" si="7"/>
        <v>0</v>
      </c>
      <c r="L54" s="575">
        <f t="shared" si="7"/>
        <v>103161000</v>
      </c>
      <c r="M54" s="575">
        <f t="shared" si="7"/>
        <v>87018191</v>
      </c>
      <c r="N54" s="577">
        <f t="shared" si="7"/>
        <v>1713347477</v>
      </c>
      <c r="O54" s="566"/>
    </row>
    <row r="55" spans="1:14" ht="12.75">
      <c r="A55" s="578"/>
      <c r="B55" s="579"/>
      <c r="C55" s="579"/>
      <c r="D55" s="579"/>
      <c r="E55" s="579"/>
      <c r="F55" s="579"/>
      <c r="G55" s="580"/>
      <c r="H55" s="580"/>
      <c r="I55" s="581"/>
      <c r="J55" s="579"/>
      <c r="K55" s="582"/>
      <c r="L55" s="581"/>
      <c r="M55" s="581"/>
      <c r="N55" s="583"/>
    </row>
    <row r="56" spans="1:14" ht="12.75">
      <c r="A56" s="578"/>
      <c r="B56" s="579"/>
      <c r="C56" s="579"/>
      <c r="D56" s="579"/>
      <c r="E56" s="579"/>
      <c r="F56" s="579"/>
      <c r="G56" s="580"/>
      <c r="H56" s="580"/>
      <c r="I56" s="579"/>
      <c r="J56" s="579"/>
      <c r="K56" s="582"/>
      <c r="L56" s="581"/>
      <c r="M56" s="581"/>
      <c r="N56" s="583"/>
    </row>
    <row r="57" spans="1:14" ht="12.75">
      <c r="A57" s="578"/>
      <c r="B57" s="579"/>
      <c r="C57" s="579"/>
      <c r="D57" s="579"/>
      <c r="E57" s="579"/>
      <c r="F57" s="579"/>
      <c r="G57" s="580"/>
      <c r="H57" s="580"/>
      <c r="I57" s="584"/>
      <c r="J57" s="579"/>
      <c r="K57" s="583"/>
      <c r="L57" s="579"/>
      <c r="M57" s="579"/>
      <c r="N57" s="583"/>
    </row>
    <row r="58" spans="1:14" ht="12.75">
      <c r="A58" s="578"/>
      <c r="B58" s="579"/>
      <c r="C58" s="579"/>
      <c r="D58" s="579"/>
      <c r="E58" s="579"/>
      <c r="F58" s="579"/>
      <c r="G58" s="580"/>
      <c r="H58" s="580"/>
      <c r="I58" s="579"/>
      <c r="J58" s="579"/>
      <c r="K58" s="583"/>
      <c r="L58" s="579"/>
      <c r="M58" s="579"/>
      <c r="N58" s="583"/>
    </row>
    <row r="59" spans="1:14" ht="12.75">
      <c r="A59" s="578"/>
      <c r="B59" s="579"/>
      <c r="C59" s="579"/>
      <c r="D59" s="579"/>
      <c r="E59" s="579"/>
      <c r="F59" s="579"/>
      <c r="G59" s="580"/>
      <c r="H59" s="580"/>
      <c r="I59" s="579"/>
      <c r="J59" s="579"/>
      <c r="K59" s="583"/>
      <c r="L59" s="579"/>
      <c r="M59" s="579"/>
      <c r="N59" s="583"/>
    </row>
    <row r="60" spans="1:14" ht="12.75">
      <c r="A60" s="578"/>
      <c r="B60" s="579"/>
      <c r="C60" s="579"/>
      <c r="D60" s="579"/>
      <c r="E60" s="579"/>
      <c r="F60" s="579"/>
      <c r="G60" s="580"/>
      <c r="H60" s="580"/>
      <c r="I60" s="579"/>
      <c r="J60" s="579"/>
      <c r="K60" s="583"/>
      <c r="L60" s="579"/>
      <c r="M60" s="579"/>
      <c r="N60" s="583"/>
    </row>
    <row r="61" spans="1:14" ht="12.75">
      <c r="A61" s="578"/>
      <c r="B61" s="579"/>
      <c r="C61" s="579"/>
      <c r="D61" s="579"/>
      <c r="E61" s="579"/>
      <c r="F61" s="579"/>
      <c r="G61" s="580"/>
      <c r="H61" s="580"/>
      <c r="I61" s="579"/>
      <c r="J61" s="579"/>
      <c r="K61" s="583"/>
      <c r="L61" s="579"/>
      <c r="M61" s="579"/>
      <c r="N61" s="583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73" r:id="rId1"/>
  <headerFooter alignWithMargins="0">
    <oddHeader>&amp;R30. melléklet a 28/2017.(X.27.) önkormányzati rendelethez
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3"/>
  <sheetViews>
    <sheetView view="pageLayout" zoomScale="130" zoomScaleSheetLayoutView="100" zoomScalePageLayoutView="130" workbookViewId="0" topLeftCell="B1">
      <selection activeCell="E1" sqref="E1"/>
    </sheetView>
  </sheetViews>
  <sheetFormatPr defaultColWidth="9.00390625" defaultRowHeight="12.75"/>
  <cols>
    <col min="1" max="1" width="6.875" style="45" customWidth="1"/>
    <col min="2" max="2" width="55.125" style="95" customWidth="1"/>
    <col min="3" max="3" width="16.00390625" style="45" bestFit="1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9.75" customHeight="1">
      <c r="B1" s="180" t="s">
        <v>167</v>
      </c>
      <c r="C1" s="181"/>
      <c r="D1" s="181"/>
      <c r="E1" s="181"/>
      <c r="F1" s="846"/>
    </row>
    <row r="2" spans="5:6" ht="14.25" thickBot="1">
      <c r="E2" s="182" t="s">
        <v>648</v>
      </c>
      <c r="F2" s="846"/>
    </row>
    <row r="3" spans="1:6" ht="18" customHeight="1" thickBot="1">
      <c r="A3" s="847" t="s">
        <v>91</v>
      </c>
      <c r="B3" s="183" t="s">
        <v>78</v>
      </c>
      <c r="C3" s="184"/>
      <c r="D3" s="183" t="s">
        <v>79</v>
      </c>
      <c r="E3" s="185"/>
      <c r="F3" s="846"/>
    </row>
    <row r="4" spans="1:6" s="186" customFormat="1" ht="35.25" customHeight="1" thickBot="1">
      <c r="A4" s="848"/>
      <c r="B4" s="96" t="s">
        <v>84</v>
      </c>
      <c r="C4" s="35" t="s">
        <v>618</v>
      </c>
      <c r="D4" s="96" t="s">
        <v>84</v>
      </c>
      <c r="E4" s="44" t="str">
        <f>+C4</f>
        <v>2017. évi előirányzat</v>
      </c>
      <c r="F4" s="846"/>
    </row>
    <row r="5" spans="1:6" s="191" customFormat="1" ht="12" customHeight="1" thickBot="1">
      <c r="A5" s="187" t="s">
        <v>491</v>
      </c>
      <c r="B5" s="188" t="s">
        <v>492</v>
      </c>
      <c r="C5" s="189" t="s">
        <v>493</v>
      </c>
      <c r="D5" s="188" t="s">
        <v>546</v>
      </c>
      <c r="E5" s="190" t="s">
        <v>547</v>
      </c>
      <c r="F5" s="846"/>
    </row>
    <row r="6" spans="1:6" ht="12.75" customHeight="1">
      <c r="A6" s="192" t="s">
        <v>40</v>
      </c>
      <c r="B6" s="193" t="s">
        <v>353</v>
      </c>
      <c r="C6" s="627">
        <v>1214441231</v>
      </c>
      <c r="D6" s="209" t="s">
        <v>85</v>
      </c>
      <c r="E6" s="590">
        <v>1092218932</v>
      </c>
      <c r="F6" s="846"/>
    </row>
    <row r="7" spans="1:6" ht="12.75" customHeight="1">
      <c r="A7" s="194" t="s">
        <v>41</v>
      </c>
      <c r="B7" s="195" t="s">
        <v>354</v>
      </c>
      <c r="C7" s="591">
        <v>332366323</v>
      </c>
      <c r="D7" s="199" t="s">
        <v>183</v>
      </c>
      <c r="E7" s="317">
        <v>231683084</v>
      </c>
      <c r="F7" s="846"/>
    </row>
    <row r="8" spans="1:6" ht="12.75" customHeight="1">
      <c r="A8" s="194" t="s">
        <v>42</v>
      </c>
      <c r="B8" s="195" t="s">
        <v>374</v>
      </c>
      <c r="C8" s="52">
        <v>374405</v>
      </c>
      <c r="D8" s="199" t="s">
        <v>208</v>
      </c>
      <c r="E8" s="317">
        <v>962611545</v>
      </c>
      <c r="F8" s="846"/>
    </row>
    <row r="9" spans="1:6" ht="12.75" customHeight="1">
      <c r="A9" s="194" t="s">
        <v>43</v>
      </c>
      <c r="B9" s="195" t="s">
        <v>174</v>
      </c>
      <c r="C9" s="591">
        <v>356490000</v>
      </c>
      <c r="D9" s="199" t="s">
        <v>184</v>
      </c>
      <c r="E9" s="317">
        <v>83248740</v>
      </c>
      <c r="F9" s="846"/>
    </row>
    <row r="10" spans="1:6" ht="12.75" customHeight="1">
      <c r="A10" s="194" t="s">
        <v>44</v>
      </c>
      <c r="B10" s="196" t="s">
        <v>399</v>
      </c>
      <c r="C10" s="591">
        <v>464171041</v>
      </c>
      <c r="D10" s="199" t="s">
        <v>185</v>
      </c>
      <c r="E10" s="317">
        <v>85130011</v>
      </c>
      <c r="F10" s="846"/>
    </row>
    <row r="11" spans="1:6" ht="12.75" customHeight="1">
      <c r="A11" s="194" t="s">
        <v>45</v>
      </c>
      <c r="B11" s="195" t="s">
        <v>355</v>
      </c>
      <c r="C11" s="592">
        <v>6244433</v>
      </c>
      <c r="D11" s="199" t="s">
        <v>72</v>
      </c>
      <c r="E11" s="317">
        <v>57836204</v>
      </c>
      <c r="F11" s="846"/>
    </row>
    <row r="12" spans="1:6" ht="12.75" customHeight="1">
      <c r="A12" s="194" t="s">
        <v>46</v>
      </c>
      <c r="B12" s="195" t="s">
        <v>548</v>
      </c>
      <c r="C12" s="52"/>
      <c r="D12" s="375"/>
      <c r="E12" s="53"/>
      <c r="F12" s="846"/>
    </row>
    <row r="13" spans="1:6" ht="12.75" customHeight="1">
      <c r="A13" s="194" t="s">
        <v>47</v>
      </c>
      <c r="B13" s="39"/>
      <c r="C13" s="52"/>
      <c r="D13" s="375"/>
      <c r="E13" s="53"/>
      <c r="F13" s="846"/>
    </row>
    <row r="14" spans="1:6" ht="12.75" customHeight="1">
      <c r="A14" s="194" t="s">
        <v>48</v>
      </c>
      <c r="B14" s="260"/>
      <c r="C14" s="329"/>
      <c r="D14" s="375"/>
      <c r="E14" s="53"/>
      <c r="F14" s="846"/>
    </row>
    <row r="15" spans="1:6" ht="12.75" customHeight="1">
      <c r="A15" s="194" t="s">
        <v>49</v>
      </c>
      <c r="B15" s="39"/>
      <c r="C15" s="52"/>
      <c r="D15" s="375"/>
      <c r="E15" s="53"/>
      <c r="F15" s="846"/>
    </row>
    <row r="16" spans="1:6" ht="12.75" customHeight="1">
      <c r="A16" s="194" t="s">
        <v>50</v>
      </c>
      <c r="B16" s="39"/>
      <c r="C16" s="172"/>
      <c r="D16" s="39"/>
      <c r="E16" s="176"/>
      <c r="F16" s="846"/>
    </row>
    <row r="17" spans="1:6" ht="12.75" customHeight="1" thickBot="1">
      <c r="A17" s="194" t="s">
        <v>51</v>
      </c>
      <c r="B17" s="46"/>
      <c r="C17" s="173"/>
      <c r="D17" s="39"/>
      <c r="E17" s="177"/>
      <c r="F17" s="846"/>
    </row>
    <row r="18" spans="1:6" ht="15.75" customHeight="1" thickBot="1">
      <c r="A18" s="197" t="s">
        <v>52</v>
      </c>
      <c r="B18" s="88" t="s">
        <v>549</v>
      </c>
      <c r="C18" s="174">
        <f>SUM(C6:C17)-C8</f>
        <v>2373713028</v>
      </c>
      <c r="D18" s="88" t="s">
        <v>360</v>
      </c>
      <c r="E18" s="178">
        <f>SUM(E6:E17)</f>
        <v>2512728516</v>
      </c>
      <c r="F18" s="846"/>
    </row>
    <row r="19" spans="1:6" ht="12.75" customHeight="1">
      <c r="A19" s="418" t="s">
        <v>53</v>
      </c>
      <c r="B19" s="198" t="s">
        <v>357</v>
      </c>
      <c r="C19" s="289">
        <f>SUM(C20:C23)</f>
        <v>292999415</v>
      </c>
      <c r="D19" s="199" t="s">
        <v>191</v>
      </c>
      <c r="E19" s="179"/>
      <c r="F19" s="846"/>
    </row>
    <row r="20" spans="1:6" ht="12.75" customHeight="1">
      <c r="A20" s="419" t="s">
        <v>54</v>
      </c>
      <c r="B20" s="199" t="s">
        <v>201</v>
      </c>
      <c r="C20" s="52">
        <v>292999415</v>
      </c>
      <c r="D20" s="199" t="s">
        <v>359</v>
      </c>
      <c r="E20" s="53">
        <v>100000000</v>
      </c>
      <c r="F20" s="846"/>
    </row>
    <row r="21" spans="1:6" ht="12.75" customHeight="1">
      <c r="A21" s="419" t="s">
        <v>55</v>
      </c>
      <c r="B21" s="199" t="s">
        <v>202</v>
      </c>
      <c r="C21" s="52"/>
      <c r="D21" s="199" t="s">
        <v>165</v>
      </c>
      <c r="E21" s="53"/>
      <c r="F21" s="846"/>
    </row>
    <row r="22" spans="1:6" ht="12.75" customHeight="1">
      <c r="A22" s="419" t="s">
        <v>56</v>
      </c>
      <c r="B22" s="199" t="s">
        <v>206</v>
      </c>
      <c r="C22" s="52"/>
      <c r="D22" s="199" t="s">
        <v>166</v>
      </c>
      <c r="E22" s="53"/>
      <c r="F22" s="846"/>
    </row>
    <row r="23" spans="1:6" ht="12.75" customHeight="1">
      <c r="A23" s="419" t="s">
        <v>57</v>
      </c>
      <c r="B23" s="199" t="s">
        <v>207</v>
      </c>
      <c r="C23" s="52"/>
      <c r="D23" s="198" t="s">
        <v>209</v>
      </c>
      <c r="E23" s="53"/>
      <c r="F23" s="846"/>
    </row>
    <row r="24" spans="1:6" ht="12.75" customHeight="1">
      <c r="A24" s="419" t="s">
        <v>58</v>
      </c>
      <c r="B24" s="199" t="s">
        <v>358</v>
      </c>
      <c r="C24" s="200">
        <f>SUM(C25:C28)</f>
        <v>100000000</v>
      </c>
      <c r="D24" s="199" t="s">
        <v>192</v>
      </c>
      <c r="E24" s="53"/>
      <c r="F24" s="846"/>
    </row>
    <row r="25" spans="1:6" ht="12.75" customHeight="1">
      <c r="A25" s="418" t="s">
        <v>59</v>
      </c>
      <c r="B25" s="198" t="s">
        <v>356</v>
      </c>
      <c r="C25" s="175">
        <v>100000000</v>
      </c>
      <c r="D25" s="193" t="s">
        <v>531</v>
      </c>
      <c r="E25" s="179"/>
      <c r="F25" s="846"/>
    </row>
    <row r="26" spans="1:6" ht="12.75" customHeight="1">
      <c r="A26" s="419" t="s">
        <v>60</v>
      </c>
      <c r="B26" s="199" t="s">
        <v>550</v>
      </c>
      <c r="C26" s="52"/>
      <c r="D26" s="195" t="s">
        <v>539</v>
      </c>
      <c r="E26" s="53"/>
      <c r="F26" s="846"/>
    </row>
    <row r="27" spans="1:6" ht="12.75" customHeight="1">
      <c r="A27" s="194" t="s">
        <v>61</v>
      </c>
      <c r="B27" s="199" t="s">
        <v>504</v>
      </c>
      <c r="C27" s="52"/>
      <c r="D27" s="195" t="s">
        <v>540</v>
      </c>
      <c r="E27" s="53"/>
      <c r="F27" s="846"/>
    </row>
    <row r="28" spans="1:6" ht="12.75" customHeight="1" thickBot="1">
      <c r="A28" s="236" t="s">
        <v>62</v>
      </c>
      <c r="B28" s="198" t="s">
        <v>314</v>
      </c>
      <c r="C28" s="175"/>
      <c r="D28" s="261" t="s">
        <v>611</v>
      </c>
      <c r="E28" s="179">
        <v>35164932</v>
      </c>
      <c r="F28" s="846"/>
    </row>
    <row r="29" spans="1:6" ht="13.5" customHeight="1" thickBot="1">
      <c r="A29" s="197" t="s">
        <v>63</v>
      </c>
      <c r="B29" s="88" t="s">
        <v>551</v>
      </c>
      <c r="C29" s="174">
        <f>+C19+C24+C27+C28</f>
        <v>392999415</v>
      </c>
      <c r="D29" s="88" t="s">
        <v>552</v>
      </c>
      <c r="E29" s="178">
        <f>SUM(E19:E28)</f>
        <v>135164932</v>
      </c>
      <c r="F29" s="846"/>
    </row>
    <row r="30" spans="1:6" ht="13.5" thickBot="1">
      <c r="A30" s="197" t="s">
        <v>64</v>
      </c>
      <c r="B30" s="201" t="s">
        <v>553</v>
      </c>
      <c r="C30" s="403">
        <f>+C18+C29</f>
        <v>2766712443</v>
      </c>
      <c r="D30" s="201" t="s">
        <v>554</v>
      </c>
      <c r="E30" s="403">
        <f>+E18+E29</f>
        <v>2647893448</v>
      </c>
      <c r="F30" s="846"/>
    </row>
    <row r="31" spans="1:6" ht="13.5" thickBot="1">
      <c r="A31" s="197" t="s">
        <v>65</v>
      </c>
      <c r="B31" s="201" t="s">
        <v>169</v>
      </c>
      <c r="C31" s="403">
        <f>IF(C18-E18&lt;0,E18-C18,"-")</f>
        <v>139015488</v>
      </c>
      <c r="D31" s="201" t="s">
        <v>170</v>
      </c>
      <c r="E31" s="403" t="str">
        <f>IF(C18-E18&gt;0,C18-E18,"-")</f>
        <v>-</v>
      </c>
      <c r="F31" s="846"/>
    </row>
    <row r="32" spans="1:6" ht="13.5" thickBot="1">
      <c r="A32" s="197" t="s">
        <v>66</v>
      </c>
      <c r="B32" s="201" t="s">
        <v>210</v>
      </c>
      <c r="C32" s="202" t="str">
        <f>IF(C30-E30&lt;0,E30-C30,"-")</f>
        <v>-</v>
      </c>
      <c r="D32" s="201" t="s">
        <v>211</v>
      </c>
      <c r="E32" s="403">
        <f>IF(C30-E30&gt;0,C30-E30,"-")</f>
        <v>118818995</v>
      </c>
      <c r="F32" s="846"/>
    </row>
    <row r="33" spans="2:4" ht="18.75">
      <c r="B33" s="849"/>
      <c r="C33" s="849"/>
      <c r="D33" s="849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fitToHeight="1" fitToWidth="1" horizontalDpi="600" verticalDpi="600" orientation="landscape" paperSize="9" r:id="rId1"/>
  <headerFooter alignWithMargins="0">
    <oddHeader xml:space="preserve">&amp;R&amp;"Times New Roman CE,Félkövér dőlt"&amp;11 4. melléklet a 28/2017.(X.27.) önkormányzati rendelethez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view="pageLayout" zoomScaleSheetLayoutView="115" workbookViewId="0" topLeftCell="A1">
      <selection activeCell="D3" sqref="D3"/>
    </sheetView>
  </sheetViews>
  <sheetFormatPr defaultColWidth="9.00390625" defaultRowHeight="12.75"/>
  <cols>
    <col min="1" max="1" width="6.875" style="45" customWidth="1"/>
    <col min="2" max="2" width="55.125" style="95" customWidth="1"/>
    <col min="3" max="3" width="16.375" style="45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1.5">
      <c r="B1" s="180" t="s">
        <v>168</v>
      </c>
      <c r="C1" s="181"/>
      <c r="D1" s="181"/>
      <c r="E1" s="181"/>
      <c r="F1" s="846"/>
    </row>
    <row r="2" spans="5:6" ht="14.25" thickBot="1">
      <c r="E2" s="182" t="s">
        <v>648</v>
      </c>
      <c r="F2" s="846"/>
    </row>
    <row r="3" spans="1:6" ht="13.5" thickBot="1">
      <c r="A3" s="850" t="s">
        <v>91</v>
      </c>
      <c r="B3" s="183" t="s">
        <v>78</v>
      </c>
      <c r="C3" s="184"/>
      <c r="D3" s="183" t="s">
        <v>79</v>
      </c>
      <c r="E3" s="185"/>
      <c r="F3" s="846"/>
    </row>
    <row r="4" spans="1:6" s="186" customFormat="1" ht="24.75" thickBot="1">
      <c r="A4" s="851"/>
      <c r="B4" s="96" t="s">
        <v>84</v>
      </c>
      <c r="C4" s="35" t="s">
        <v>618</v>
      </c>
      <c r="D4" s="96" t="s">
        <v>84</v>
      </c>
      <c r="E4" s="35" t="s">
        <v>618</v>
      </c>
      <c r="F4" s="846"/>
    </row>
    <row r="5" spans="1:6" s="186" customFormat="1" ht="13.5" thickBot="1">
      <c r="A5" s="187" t="s">
        <v>491</v>
      </c>
      <c r="B5" s="188" t="s">
        <v>492</v>
      </c>
      <c r="C5" s="189" t="s">
        <v>493</v>
      </c>
      <c r="D5" s="188" t="s">
        <v>546</v>
      </c>
      <c r="E5" s="190" t="s">
        <v>547</v>
      </c>
      <c r="F5" s="846"/>
    </row>
    <row r="6" spans="1:6" ht="12.75" customHeight="1">
      <c r="A6" s="192" t="s">
        <v>40</v>
      </c>
      <c r="B6" s="193" t="s">
        <v>361</v>
      </c>
      <c r="C6" s="628">
        <v>532260298</v>
      </c>
      <c r="D6" s="209" t="s">
        <v>203</v>
      </c>
      <c r="E6" s="459">
        <v>369826254</v>
      </c>
      <c r="F6" s="846"/>
    </row>
    <row r="7" spans="1:6" ht="12.75">
      <c r="A7" s="194" t="s">
        <v>41</v>
      </c>
      <c r="B7" s="195" t="s">
        <v>362</v>
      </c>
      <c r="C7" s="52">
        <v>511621609</v>
      </c>
      <c r="D7" s="199" t="s">
        <v>367</v>
      </c>
      <c r="E7" s="349">
        <v>315386684</v>
      </c>
      <c r="F7" s="846"/>
    </row>
    <row r="8" spans="1:6" ht="12.75" customHeight="1">
      <c r="A8" s="194" t="s">
        <v>42</v>
      </c>
      <c r="B8" s="195" t="s">
        <v>32</v>
      </c>
      <c r="C8" s="52">
        <v>47429000</v>
      </c>
      <c r="D8" s="199" t="s">
        <v>187</v>
      </c>
      <c r="E8" s="460">
        <v>337534552</v>
      </c>
      <c r="F8" s="846"/>
    </row>
    <row r="9" spans="1:6" ht="12.75" customHeight="1">
      <c r="A9" s="194" t="s">
        <v>43</v>
      </c>
      <c r="B9" s="195" t="s">
        <v>363</v>
      </c>
      <c r="C9" s="52">
        <v>1200000</v>
      </c>
      <c r="D9" s="199" t="s">
        <v>368</v>
      </c>
      <c r="E9" s="318">
        <v>247361482</v>
      </c>
      <c r="F9" s="846"/>
    </row>
    <row r="10" spans="1:6" ht="12.75" customHeight="1">
      <c r="A10" s="194" t="s">
        <v>44</v>
      </c>
      <c r="B10" s="195" t="s">
        <v>364</v>
      </c>
      <c r="C10" s="52"/>
      <c r="D10" s="199" t="s">
        <v>205</v>
      </c>
      <c r="E10" s="460">
        <v>47504500</v>
      </c>
      <c r="F10" s="846"/>
    </row>
    <row r="11" spans="1:6" ht="12.75" customHeight="1">
      <c r="A11" s="194" t="s">
        <v>45</v>
      </c>
      <c r="B11" s="195" t="s">
        <v>365</v>
      </c>
      <c r="C11" s="329"/>
      <c r="D11" s="311"/>
      <c r="E11" s="53"/>
      <c r="F11" s="846"/>
    </row>
    <row r="12" spans="1:6" ht="12.75" customHeight="1">
      <c r="A12" s="194" t="s">
        <v>46</v>
      </c>
      <c r="B12" s="39"/>
      <c r="C12" s="52"/>
      <c r="D12" s="311"/>
      <c r="E12" s="53"/>
      <c r="F12" s="846"/>
    </row>
    <row r="13" spans="1:6" ht="12.75" customHeight="1">
      <c r="A13" s="194" t="s">
        <v>47</v>
      </c>
      <c r="B13" s="39"/>
      <c r="C13" s="52"/>
      <c r="D13" s="311"/>
      <c r="E13" s="53"/>
      <c r="F13" s="846"/>
    </row>
    <row r="14" spans="1:6" ht="12.75" customHeight="1">
      <c r="A14" s="194" t="s">
        <v>48</v>
      </c>
      <c r="B14" s="312"/>
      <c r="C14" s="329"/>
      <c r="D14" s="311"/>
      <c r="E14" s="53"/>
      <c r="F14" s="846"/>
    </row>
    <row r="15" spans="1:6" ht="12.75">
      <c r="A15" s="194" t="s">
        <v>49</v>
      </c>
      <c r="B15" s="39"/>
      <c r="C15" s="329"/>
      <c r="D15" s="311"/>
      <c r="E15" s="53"/>
      <c r="F15" s="846"/>
    </row>
    <row r="16" spans="1:6" ht="12.75" customHeight="1" thickBot="1">
      <c r="A16" s="236" t="s">
        <v>50</v>
      </c>
      <c r="B16" s="261"/>
      <c r="C16" s="376"/>
      <c r="D16" s="198" t="s">
        <v>72</v>
      </c>
      <c r="E16" s="179">
        <v>29181987</v>
      </c>
      <c r="F16" s="846"/>
    </row>
    <row r="17" spans="1:6" ht="15.75" customHeight="1" thickBot="1">
      <c r="A17" s="197" t="s">
        <v>51</v>
      </c>
      <c r="B17" s="88" t="s">
        <v>375</v>
      </c>
      <c r="C17" s="174">
        <f>+C6+C8+C9+C11+C12+C13+C14+C15+C16</f>
        <v>580889298</v>
      </c>
      <c r="D17" s="88" t="s">
        <v>376</v>
      </c>
      <c r="E17" s="178">
        <f>+E6+E8+E10+E11+E12+E13+E14+E15+E16</f>
        <v>784047293</v>
      </c>
      <c r="F17" s="846"/>
    </row>
    <row r="18" spans="1:6" ht="12.75" customHeight="1">
      <c r="A18" s="192" t="s">
        <v>52</v>
      </c>
      <c r="B18" s="205" t="s">
        <v>223</v>
      </c>
      <c r="C18" s="212">
        <f>+C19+C20+C21+C22+C23</f>
        <v>0</v>
      </c>
      <c r="D18" s="199" t="s">
        <v>191</v>
      </c>
      <c r="E18" s="51"/>
      <c r="F18" s="846"/>
    </row>
    <row r="19" spans="1:6" ht="12.75" customHeight="1">
      <c r="A19" s="194" t="s">
        <v>53</v>
      </c>
      <c r="B19" s="206" t="s">
        <v>212</v>
      </c>
      <c r="C19" s="52"/>
      <c r="D19" s="199" t="s">
        <v>194</v>
      </c>
      <c r="E19" s="53"/>
      <c r="F19" s="846"/>
    </row>
    <row r="20" spans="1:6" ht="12.75" customHeight="1">
      <c r="A20" s="192" t="s">
        <v>54</v>
      </c>
      <c r="B20" s="206" t="s">
        <v>213</v>
      </c>
      <c r="C20" s="52"/>
      <c r="D20" s="199" t="s">
        <v>165</v>
      </c>
      <c r="E20" s="53"/>
      <c r="F20" s="846"/>
    </row>
    <row r="21" spans="1:6" ht="12.75" customHeight="1">
      <c r="A21" s="194" t="s">
        <v>55</v>
      </c>
      <c r="B21" s="206" t="s">
        <v>214</v>
      </c>
      <c r="C21" s="52"/>
      <c r="D21" s="199" t="s">
        <v>166</v>
      </c>
      <c r="E21" s="53">
        <v>3161000</v>
      </c>
      <c r="F21" s="846"/>
    </row>
    <row r="22" spans="1:6" ht="12.75" customHeight="1">
      <c r="A22" s="192" t="s">
        <v>56</v>
      </c>
      <c r="B22" s="206" t="s">
        <v>215</v>
      </c>
      <c r="C22" s="52"/>
      <c r="D22" s="198" t="s">
        <v>209</v>
      </c>
      <c r="E22" s="53"/>
      <c r="F22" s="846"/>
    </row>
    <row r="23" spans="1:6" ht="12.75" customHeight="1">
      <c r="A23" s="194" t="s">
        <v>57</v>
      </c>
      <c r="B23" s="207" t="s">
        <v>216</v>
      </c>
      <c r="C23" s="52"/>
      <c r="D23" s="199" t="s">
        <v>195</v>
      </c>
      <c r="E23" s="53"/>
      <c r="F23" s="846"/>
    </row>
    <row r="24" spans="1:6" ht="12.75" customHeight="1">
      <c r="A24" s="192" t="s">
        <v>58</v>
      </c>
      <c r="B24" s="208" t="s">
        <v>217</v>
      </c>
      <c r="C24" s="593">
        <f>+C25+C26+C27+C28+C29</f>
        <v>87500000</v>
      </c>
      <c r="D24" s="209" t="s">
        <v>193</v>
      </c>
      <c r="E24" s="53"/>
      <c r="F24" s="846"/>
    </row>
    <row r="25" spans="1:6" ht="12.75" customHeight="1">
      <c r="A25" s="194" t="s">
        <v>59</v>
      </c>
      <c r="B25" s="207" t="s">
        <v>218</v>
      </c>
      <c r="C25" s="594">
        <v>87500000</v>
      </c>
      <c r="D25" s="209" t="s">
        <v>369</v>
      </c>
      <c r="E25" s="53"/>
      <c r="F25" s="846"/>
    </row>
    <row r="26" spans="1:6" ht="12.75" customHeight="1">
      <c r="A26" s="192" t="s">
        <v>60</v>
      </c>
      <c r="B26" s="207" t="s">
        <v>219</v>
      </c>
      <c r="C26" s="52"/>
      <c r="D26" s="204"/>
      <c r="E26" s="53"/>
      <c r="F26" s="846"/>
    </row>
    <row r="27" spans="1:6" ht="12.75" customHeight="1">
      <c r="A27" s="194" t="s">
        <v>61</v>
      </c>
      <c r="B27" s="206" t="s">
        <v>220</v>
      </c>
      <c r="C27" s="52"/>
      <c r="D27" s="204"/>
      <c r="E27" s="53"/>
      <c r="F27" s="846"/>
    </row>
    <row r="28" spans="1:6" ht="12.75" customHeight="1">
      <c r="A28" s="192" t="s">
        <v>62</v>
      </c>
      <c r="B28" s="210" t="s">
        <v>221</v>
      </c>
      <c r="C28" s="52"/>
      <c r="D28" s="375"/>
      <c r="E28" s="53"/>
      <c r="F28" s="846"/>
    </row>
    <row r="29" spans="1:6" ht="12.75" customHeight="1" thickBot="1">
      <c r="A29" s="194" t="s">
        <v>63</v>
      </c>
      <c r="B29" s="211" t="s">
        <v>222</v>
      </c>
      <c r="C29" s="52"/>
      <c r="D29" s="204"/>
      <c r="E29" s="53"/>
      <c r="F29" s="846"/>
    </row>
    <row r="30" spans="1:6" ht="21.75" customHeight="1" thickBot="1">
      <c r="A30" s="197" t="s">
        <v>64</v>
      </c>
      <c r="B30" s="88" t="s">
        <v>366</v>
      </c>
      <c r="C30" s="174">
        <f>+C18+C24</f>
        <v>87500000</v>
      </c>
      <c r="D30" s="88" t="s">
        <v>370</v>
      </c>
      <c r="E30" s="178">
        <f>SUM(E18:E29)</f>
        <v>3161000</v>
      </c>
      <c r="F30" s="846"/>
    </row>
    <row r="31" spans="1:6" ht="13.5" thickBot="1">
      <c r="A31" s="197" t="s">
        <v>65</v>
      </c>
      <c r="B31" s="201" t="s">
        <v>371</v>
      </c>
      <c r="C31" s="202">
        <f>+C17+C30</f>
        <v>668389298</v>
      </c>
      <c r="D31" s="201" t="s">
        <v>372</v>
      </c>
      <c r="E31" s="202">
        <f>+E17+E30</f>
        <v>787208293</v>
      </c>
      <c r="F31" s="846"/>
    </row>
    <row r="32" spans="1:6" ht="13.5" thickBot="1">
      <c r="A32" s="197" t="s">
        <v>66</v>
      </c>
      <c r="B32" s="201" t="s">
        <v>169</v>
      </c>
      <c r="C32" s="202">
        <f>IF(C17-E17&lt;0,E17-C17,"-")</f>
        <v>203157995</v>
      </c>
      <c r="D32" s="201" t="s">
        <v>170</v>
      </c>
      <c r="E32" s="202" t="str">
        <f>IF(C17-E17&gt;0,C17-E17,"-")</f>
        <v>-</v>
      </c>
      <c r="F32" s="846"/>
    </row>
    <row r="33" spans="1:6" ht="13.5" thickBot="1">
      <c r="A33" s="197" t="s">
        <v>67</v>
      </c>
      <c r="B33" s="201" t="s">
        <v>210</v>
      </c>
      <c r="C33" s="202">
        <f>IF(C31-E31&lt;0,E31-C31,"-")</f>
        <v>118818995</v>
      </c>
      <c r="D33" s="201" t="s">
        <v>211</v>
      </c>
      <c r="E33" s="202" t="str">
        <f>IF(C31-E31&gt;0,C31-E31,"-")</f>
        <v>-</v>
      </c>
      <c r="F33" s="846"/>
    </row>
    <row r="34" spans="3:5" ht="12.75">
      <c r="C34" s="420"/>
      <c r="D34" s="420"/>
      <c r="E34" s="420"/>
    </row>
    <row r="35" spans="3:5" ht="12.75">
      <c r="C35" s="420"/>
      <c r="D35" s="420"/>
      <c r="E35" s="420"/>
    </row>
    <row r="36" spans="3:5" ht="12.75">
      <c r="C36" s="420"/>
      <c r="D36" s="420"/>
      <c r="E36" s="420"/>
    </row>
    <row r="37" spans="3:5" ht="12.75">
      <c r="C37" s="420"/>
      <c r="D37" s="420"/>
      <c r="E37" s="420"/>
    </row>
    <row r="38" spans="3:5" ht="12.75">
      <c r="C38" s="420"/>
      <c r="D38" s="420"/>
      <c r="E38" s="420"/>
    </row>
    <row r="39" spans="3:5" ht="12.75">
      <c r="C39" s="420"/>
      <c r="D39" s="420"/>
      <c r="E39" s="420"/>
    </row>
  </sheetData>
  <sheetProtection/>
  <mergeCells count="2">
    <mergeCell ref="F1:F33"/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 5. melléklet a 28/2017.(X.27.)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74"/>
  <sheetViews>
    <sheetView view="pageLayout" workbookViewId="0" topLeftCell="A1">
      <selection activeCell="H5" sqref="H5"/>
    </sheetView>
  </sheetViews>
  <sheetFormatPr defaultColWidth="9.00390625" defaultRowHeight="12.75"/>
  <cols>
    <col min="1" max="1" width="47.125" style="37" customWidth="1"/>
    <col min="2" max="2" width="15.625" style="36" customWidth="1"/>
    <col min="3" max="3" width="16.375" style="36" customWidth="1"/>
    <col min="4" max="4" width="18.00390625" style="36" customWidth="1"/>
    <col min="5" max="5" width="16.625" style="36" customWidth="1"/>
    <col min="6" max="6" width="18.875" style="45" customWidth="1"/>
    <col min="7" max="8" width="12.875" style="36" customWidth="1"/>
    <col min="9" max="9" width="13.875" style="36" customWidth="1"/>
    <col min="10" max="16384" width="9.375" style="36" customWidth="1"/>
  </cols>
  <sheetData>
    <row r="1" spans="1:6" ht="25.5" customHeight="1">
      <c r="A1" s="852" t="s">
        <v>29</v>
      </c>
      <c r="B1" s="852"/>
      <c r="C1" s="852"/>
      <c r="D1" s="852"/>
      <c r="E1" s="852"/>
      <c r="F1" s="852"/>
    </row>
    <row r="2" spans="1:6" ht="22.5" customHeight="1" thickBot="1">
      <c r="A2" s="95"/>
      <c r="B2" s="45"/>
      <c r="C2" s="45"/>
      <c r="D2" s="45"/>
      <c r="E2" s="45"/>
      <c r="F2" s="43" t="s">
        <v>648</v>
      </c>
    </row>
    <row r="3" spans="1:7" s="38" customFormat="1" ht="44.25" customHeight="1" thickBot="1">
      <c r="A3" s="96" t="s">
        <v>87</v>
      </c>
      <c r="B3" s="97" t="s">
        <v>88</v>
      </c>
      <c r="C3" s="97" t="s">
        <v>89</v>
      </c>
      <c r="D3" s="97" t="s">
        <v>620</v>
      </c>
      <c r="E3" s="97" t="s">
        <v>618</v>
      </c>
      <c r="F3" s="44" t="s">
        <v>621</v>
      </c>
      <c r="G3" s="368"/>
    </row>
    <row r="4" spans="1:6" s="45" customFormat="1" ht="12" customHeight="1" thickBot="1">
      <c r="A4" s="363">
        <v>1</v>
      </c>
      <c r="B4" s="364">
        <v>2</v>
      </c>
      <c r="C4" s="364">
        <v>3</v>
      </c>
      <c r="D4" s="364">
        <v>4</v>
      </c>
      <c r="E4" s="364">
        <v>5</v>
      </c>
      <c r="F4" s="151" t="s">
        <v>104</v>
      </c>
    </row>
    <row r="5" spans="1:6" s="630" customFormat="1" ht="15.75" customHeight="1">
      <c r="A5" s="714" t="s">
        <v>635</v>
      </c>
      <c r="B5" s="715">
        <f>2176000-1668000</f>
        <v>508000</v>
      </c>
      <c r="C5" s="716" t="s">
        <v>619</v>
      </c>
      <c r="D5" s="717"/>
      <c r="E5" s="717">
        <f>2176000-1668000</f>
        <v>508000</v>
      </c>
      <c r="F5" s="629">
        <f aca="true" t="shared" si="0" ref="F5:F41">B5-D5-E5</f>
        <v>0</v>
      </c>
    </row>
    <row r="6" spans="1:6" s="630" customFormat="1" ht="15.75" customHeight="1">
      <c r="A6" s="631" t="s">
        <v>646</v>
      </c>
      <c r="B6" s="632">
        <v>6246000</v>
      </c>
      <c r="C6" s="633" t="s">
        <v>619</v>
      </c>
      <c r="D6" s="634"/>
      <c r="E6" s="634">
        <v>6246000</v>
      </c>
      <c r="F6" s="635">
        <f t="shared" si="0"/>
        <v>0</v>
      </c>
    </row>
    <row r="7" spans="1:6" s="630" customFormat="1" ht="12.75">
      <c r="A7" s="734" t="s">
        <v>636</v>
      </c>
      <c r="B7" s="735">
        <v>42001</v>
      </c>
      <c r="C7" s="731" t="s">
        <v>619</v>
      </c>
      <c r="D7" s="736"/>
      <c r="E7" s="736">
        <v>42001</v>
      </c>
      <c r="F7" s="733">
        <f t="shared" si="0"/>
        <v>0</v>
      </c>
    </row>
    <row r="8" spans="1:6" s="630" customFormat="1" ht="15.75" customHeight="1">
      <c r="A8" s="638" t="s">
        <v>637</v>
      </c>
      <c r="B8" s="632">
        <v>13492698</v>
      </c>
      <c r="C8" s="633" t="s">
        <v>619</v>
      </c>
      <c r="D8" s="634"/>
      <c r="E8" s="634">
        <f>14492698-1000000</f>
        <v>13492698</v>
      </c>
      <c r="F8" s="635">
        <f t="shared" si="0"/>
        <v>0</v>
      </c>
    </row>
    <row r="9" spans="1:6" s="630" customFormat="1" ht="15.75" customHeight="1">
      <c r="A9" s="639" t="s">
        <v>634</v>
      </c>
      <c r="B9" s="636"/>
      <c r="C9" s="633" t="s">
        <v>619</v>
      </c>
      <c r="D9" s="637"/>
      <c r="E9" s="637"/>
      <c r="F9" s="635">
        <f t="shared" si="0"/>
        <v>0</v>
      </c>
    </row>
    <row r="10" spans="1:6" s="643" customFormat="1" ht="25.5" customHeight="1">
      <c r="A10" s="640" t="s">
        <v>638</v>
      </c>
      <c r="B10" s="636">
        <f>529000+180000</f>
        <v>709000</v>
      </c>
      <c r="C10" s="641" t="s">
        <v>619</v>
      </c>
      <c r="D10" s="637"/>
      <c r="E10" s="637">
        <f>529000+180000</f>
        <v>709000</v>
      </c>
      <c r="F10" s="642">
        <f t="shared" si="0"/>
        <v>0</v>
      </c>
    </row>
    <row r="11" spans="1:6" s="630" customFormat="1" ht="15.75" customHeight="1">
      <c r="A11" s="644" t="s">
        <v>642</v>
      </c>
      <c r="B11" s="645">
        <v>828000</v>
      </c>
      <c r="C11" s="633" t="s">
        <v>619</v>
      </c>
      <c r="D11" s="646"/>
      <c r="E11" s="646">
        <v>828000</v>
      </c>
      <c r="F11" s="635">
        <f t="shared" si="0"/>
        <v>0</v>
      </c>
    </row>
    <row r="12" spans="1:6" s="630" customFormat="1" ht="18.75" customHeight="1">
      <c r="A12" s="631" t="s">
        <v>600</v>
      </c>
      <c r="B12" s="636">
        <v>762000</v>
      </c>
      <c r="C12" s="633" t="s">
        <v>619</v>
      </c>
      <c r="D12" s="637"/>
      <c r="E12" s="637">
        <v>762000</v>
      </c>
      <c r="F12" s="635">
        <f t="shared" si="0"/>
        <v>0</v>
      </c>
    </row>
    <row r="13" spans="1:6" s="630" customFormat="1" ht="15.75" customHeight="1">
      <c r="A13" s="631" t="s">
        <v>643</v>
      </c>
      <c r="B13" s="632">
        <v>375000</v>
      </c>
      <c r="C13" s="633" t="s">
        <v>619</v>
      </c>
      <c r="D13" s="647"/>
      <c r="E13" s="634">
        <v>375000</v>
      </c>
      <c r="F13" s="635">
        <f t="shared" si="0"/>
        <v>0</v>
      </c>
    </row>
    <row r="14" spans="1:6" s="630" customFormat="1" ht="15.75" customHeight="1">
      <c r="A14" s="631" t="s">
        <v>644</v>
      </c>
      <c r="B14" s="632">
        <v>136000</v>
      </c>
      <c r="C14" s="633" t="s">
        <v>619</v>
      </c>
      <c r="D14" s="634"/>
      <c r="E14" s="634">
        <v>136000</v>
      </c>
      <c r="F14" s="635">
        <f t="shared" si="0"/>
        <v>0</v>
      </c>
    </row>
    <row r="15" spans="1:6" s="630" customFormat="1" ht="15.75" customHeight="1">
      <c r="A15" s="631" t="s">
        <v>645</v>
      </c>
      <c r="B15" s="632">
        <v>90200</v>
      </c>
      <c r="C15" s="633" t="s">
        <v>619</v>
      </c>
      <c r="D15" s="634"/>
      <c r="E15" s="634">
        <v>90200</v>
      </c>
      <c r="F15" s="635">
        <f t="shared" si="0"/>
        <v>0</v>
      </c>
    </row>
    <row r="16" spans="1:6" s="630" customFormat="1" ht="15.75" customHeight="1">
      <c r="A16" s="648" t="s">
        <v>601</v>
      </c>
      <c r="B16" s="632">
        <v>436000</v>
      </c>
      <c r="C16" s="633" t="s">
        <v>619</v>
      </c>
      <c r="D16" s="634"/>
      <c r="E16" s="634">
        <v>436000</v>
      </c>
      <c r="F16" s="635">
        <f t="shared" si="0"/>
        <v>0</v>
      </c>
    </row>
    <row r="17" spans="1:6" s="630" customFormat="1" ht="15.75" customHeight="1">
      <c r="A17" s="631" t="s">
        <v>14</v>
      </c>
      <c r="B17" s="632">
        <v>6604000</v>
      </c>
      <c r="C17" s="633" t="s">
        <v>619</v>
      </c>
      <c r="D17" s="634"/>
      <c r="E17" s="634">
        <v>6604000</v>
      </c>
      <c r="F17" s="635">
        <f t="shared" si="0"/>
        <v>0</v>
      </c>
    </row>
    <row r="18" spans="1:6" s="630" customFormat="1" ht="15.75" customHeight="1">
      <c r="A18" s="649" t="s">
        <v>15</v>
      </c>
      <c r="B18" s="632">
        <v>301000</v>
      </c>
      <c r="C18" s="633" t="s">
        <v>619</v>
      </c>
      <c r="D18" s="634"/>
      <c r="E18" s="634">
        <v>301000</v>
      </c>
      <c r="F18" s="635">
        <f t="shared" si="0"/>
        <v>0</v>
      </c>
    </row>
    <row r="19" spans="1:6" s="630" customFormat="1" ht="15.75" customHeight="1">
      <c r="A19" s="649" t="s">
        <v>16</v>
      </c>
      <c r="B19" s="632">
        <v>0</v>
      </c>
      <c r="C19" s="633" t="s">
        <v>619</v>
      </c>
      <c r="D19" s="634"/>
      <c r="E19" s="634">
        <v>0</v>
      </c>
      <c r="F19" s="650">
        <f t="shared" si="0"/>
        <v>0</v>
      </c>
    </row>
    <row r="20" spans="1:6" s="630" customFormat="1" ht="15.75" customHeight="1">
      <c r="A20" s="649" t="s">
        <v>17</v>
      </c>
      <c r="B20" s="632">
        <v>77000</v>
      </c>
      <c r="C20" s="633" t="s">
        <v>619</v>
      </c>
      <c r="D20" s="634"/>
      <c r="E20" s="634">
        <v>77000</v>
      </c>
      <c r="F20" s="635">
        <f t="shared" si="0"/>
        <v>0</v>
      </c>
    </row>
    <row r="21" spans="1:6" s="643" customFormat="1" ht="15.75" customHeight="1">
      <c r="A21" s="649" t="s">
        <v>698</v>
      </c>
      <c r="B21" s="651">
        <v>349250</v>
      </c>
      <c r="C21" s="633" t="s">
        <v>619</v>
      </c>
      <c r="D21" s="634"/>
      <c r="E21" s="634">
        <v>349250</v>
      </c>
      <c r="F21" s="635">
        <f t="shared" si="0"/>
        <v>0</v>
      </c>
    </row>
    <row r="22" spans="1:6" s="630" customFormat="1" ht="15.75" customHeight="1">
      <c r="A22" s="649" t="s">
        <v>688</v>
      </c>
      <c r="B22" s="651">
        <v>2160000</v>
      </c>
      <c r="C22" s="633" t="s">
        <v>619</v>
      </c>
      <c r="D22" s="634"/>
      <c r="E22" s="634">
        <v>2160000</v>
      </c>
      <c r="F22" s="635">
        <f t="shared" si="0"/>
        <v>0</v>
      </c>
    </row>
    <row r="23" spans="1:6" s="643" customFormat="1" ht="15.75" customHeight="1">
      <c r="A23" s="649" t="s">
        <v>713</v>
      </c>
      <c r="B23" s="651">
        <f>4226991-2768918+1668000+2694940</f>
        <v>5821013</v>
      </c>
      <c r="C23" s="633" t="s">
        <v>619</v>
      </c>
      <c r="D23" s="634"/>
      <c r="E23" s="634">
        <f>4226991-2768918+1668000+2694940</f>
        <v>5821013</v>
      </c>
      <c r="F23" s="650">
        <f t="shared" si="0"/>
        <v>0</v>
      </c>
    </row>
    <row r="24" spans="1:6" s="630" customFormat="1" ht="15.75" customHeight="1">
      <c r="A24" s="737" t="s">
        <v>689</v>
      </c>
      <c r="B24" s="738">
        <f>71809476-1889633</f>
        <v>69919843</v>
      </c>
      <c r="C24" s="725" t="s">
        <v>619</v>
      </c>
      <c r="D24" s="726"/>
      <c r="E24" s="726">
        <f>71809476-1889633</f>
        <v>69919843</v>
      </c>
      <c r="F24" s="727">
        <f t="shared" si="0"/>
        <v>0</v>
      </c>
    </row>
    <row r="25" spans="1:6" s="630" customFormat="1" ht="15.75" customHeight="1">
      <c r="A25" s="649" t="s">
        <v>690</v>
      </c>
      <c r="B25" s="651">
        <v>15956160</v>
      </c>
      <c r="C25" s="633" t="s">
        <v>619</v>
      </c>
      <c r="D25" s="634"/>
      <c r="E25" s="634">
        <v>15956160</v>
      </c>
      <c r="F25" s="635">
        <f t="shared" si="0"/>
        <v>0</v>
      </c>
    </row>
    <row r="26" spans="1:6" s="643" customFormat="1" ht="15.75" customHeight="1">
      <c r="A26" s="649" t="s">
        <v>699</v>
      </c>
      <c r="B26" s="651">
        <v>214128350</v>
      </c>
      <c r="C26" s="633" t="s">
        <v>619</v>
      </c>
      <c r="D26" s="634"/>
      <c r="E26" s="634">
        <v>214128350</v>
      </c>
      <c r="F26" s="635">
        <f t="shared" si="0"/>
        <v>0</v>
      </c>
    </row>
    <row r="27" spans="1:6" s="643" customFormat="1" ht="15.75" customHeight="1">
      <c r="A27" s="649" t="s">
        <v>700</v>
      </c>
      <c r="B27" s="651">
        <v>800000</v>
      </c>
      <c r="C27" s="633" t="s">
        <v>619</v>
      </c>
      <c r="D27" s="634"/>
      <c r="E27" s="634">
        <v>800000</v>
      </c>
      <c r="F27" s="650">
        <f t="shared" si="0"/>
        <v>0</v>
      </c>
    </row>
    <row r="28" spans="1:6" s="643" customFormat="1" ht="15.75" customHeight="1">
      <c r="A28" s="649" t="s">
        <v>714</v>
      </c>
      <c r="B28" s="654">
        <v>1653800</v>
      </c>
      <c r="C28" s="655" t="s">
        <v>619</v>
      </c>
      <c r="D28" s="656"/>
      <c r="E28" s="656">
        <v>1653800</v>
      </c>
      <c r="F28" s="652">
        <f t="shared" si="0"/>
        <v>0</v>
      </c>
    </row>
    <row r="29" spans="1:6" s="643" customFormat="1" ht="15.75" customHeight="1">
      <c r="A29" s="653" t="s">
        <v>701</v>
      </c>
      <c r="B29" s="654">
        <v>370002</v>
      </c>
      <c r="C29" s="655" t="s">
        <v>619</v>
      </c>
      <c r="D29" s="656"/>
      <c r="E29" s="656">
        <v>370002</v>
      </c>
      <c r="F29" s="652"/>
    </row>
    <row r="30" spans="1:6" s="643" customFormat="1" ht="15.75" customHeight="1" thickBot="1">
      <c r="A30" s="653" t="s">
        <v>715</v>
      </c>
      <c r="B30" s="654">
        <v>5001260</v>
      </c>
      <c r="C30" s="655" t="s">
        <v>619</v>
      </c>
      <c r="D30" s="656"/>
      <c r="E30" s="656">
        <v>5001260</v>
      </c>
      <c r="F30" s="652">
        <f t="shared" si="0"/>
        <v>0</v>
      </c>
    </row>
    <row r="31" spans="1:6" s="630" customFormat="1" ht="15.75" customHeight="1">
      <c r="A31" s="657" t="s">
        <v>671</v>
      </c>
      <c r="B31" s="658"/>
      <c r="C31" s="659" t="s">
        <v>619</v>
      </c>
      <c r="D31" s="660"/>
      <c r="E31" s="660"/>
      <c r="F31" s="661">
        <f t="shared" si="0"/>
        <v>0</v>
      </c>
    </row>
    <row r="32" spans="1:6" s="630" customFormat="1" ht="15.75" customHeight="1">
      <c r="A32" s="649" t="s">
        <v>672</v>
      </c>
      <c r="B32" s="651"/>
      <c r="C32" s="633" t="s">
        <v>619</v>
      </c>
      <c r="D32" s="634"/>
      <c r="E32" s="634"/>
      <c r="F32" s="662">
        <f t="shared" si="0"/>
        <v>0</v>
      </c>
    </row>
    <row r="33" spans="1:6" s="643" customFormat="1" ht="15.75" customHeight="1">
      <c r="A33" s="649" t="s">
        <v>673</v>
      </c>
      <c r="B33" s="651">
        <v>490000</v>
      </c>
      <c r="C33" s="633" t="s">
        <v>619</v>
      </c>
      <c r="D33" s="634"/>
      <c r="E33" s="634">
        <v>490000</v>
      </c>
      <c r="F33" s="662">
        <f t="shared" si="0"/>
        <v>0</v>
      </c>
    </row>
    <row r="34" spans="1:6" s="630" customFormat="1" ht="15.75" customHeight="1">
      <c r="A34" s="649" t="s">
        <v>674</v>
      </c>
      <c r="B34" s="651">
        <v>0</v>
      </c>
      <c r="C34" s="633" t="s">
        <v>619</v>
      </c>
      <c r="D34" s="634"/>
      <c r="E34" s="634">
        <v>0</v>
      </c>
      <c r="F34" s="662">
        <f t="shared" si="0"/>
        <v>0</v>
      </c>
    </row>
    <row r="35" spans="1:6" s="643" customFormat="1" ht="15.75" customHeight="1">
      <c r="A35" s="649" t="s">
        <v>675</v>
      </c>
      <c r="B35" s="651">
        <v>98000</v>
      </c>
      <c r="C35" s="633" t="s">
        <v>619</v>
      </c>
      <c r="D35" s="634"/>
      <c r="E35" s="634">
        <v>98000</v>
      </c>
      <c r="F35" s="662">
        <f t="shared" si="0"/>
        <v>0</v>
      </c>
    </row>
    <row r="36" spans="1:6" s="630" customFormat="1" ht="15.75" customHeight="1">
      <c r="A36" s="649" t="s">
        <v>676</v>
      </c>
      <c r="B36" s="651"/>
      <c r="C36" s="633" t="s">
        <v>619</v>
      </c>
      <c r="D36" s="634"/>
      <c r="E36" s="634"/>
      <c r="F36" s="662">
        <f t="shared" si="0"/>
        <v>0</v>
      </c>
    </row>
    <row r="37" spans="1:6" s="643" customFormat="1" ht="15.75" customHeight="1">
      <c r="A37" s="649" t="s">
        <v>677</v>
      </c>
      <c r="B37" s="651">
        <v>279000</v>
      </c>
      <c r="C37" s="633" t="s">
        <v>619</v>
      </c>
      <c r="D37" s="634"/>
      <c r="E37" s="634">
        <v>279000</v>
      </c>
      <c r="F37" s="662">
        <f t="shared" si="0"/>
        <v>0</v>
      </c>
    </row>
    <row r="38" spans="1:6" s="630" customFormat="1" ht="15.75" customHeight="1">
      <c r="A38" s="649" t="s">
        <v>678</v>
      </c>
      <c r="B38" s="651">
        <v>150000</v>
      </c>
      <c r="C38" s="633" t="s">
        <v>619</v>
      </c>
      <c r="D38" s="634"/>
      <c r="E38" s="634">
        <v>150000</v>
      </c>
      <c r="F38" s="662">
        <f t="shared" si="0"/>
        <v>0</v>
      </c>
    </row>
    <row r="39" spans="1:6" s="643" customFormat="1" ht="15.75" customHeight="1">
      <c r="A39" s="649" t="s">
        <v>679</v>
      </c>
      <c r="B39" s="651">
        <v>91500</v>
      </c>
      <c r="C39" s="633" t="s">
        <v>619</v>
      </c>
      <c r="D39" s="634"/>
      <c r="E39" s="634">
        <v>91500</v>
      </c>
      <c r="F39" s="635">
        <f t="shared" si="0"/>
        <v>0</v>
      </c>
    </row>
    <row r="40" spans="1:6" s="643" customFormat="1" ht="15.75" customHeight="1">
      <c r="A40" s="649" t="s">
        <v>702</v>
      </c>
      <c r="B40" s="651">
        <v>482600</v>
      </c>
      <c r="C40" s="633" t="s">
        <v>619</v>
      </c>
      <c r="D40" s="634"/>
      <c r="E40" s="634">
        <v>482600</v>
      </c>
      <c r="F40" s="635">
        <f t="shared" si="0"/>
        <v>0</v>
      </c>
    </row>
    <row r="41" spans="1:6" s="643" customFormat="1" ht="15.75" customHeight="1" thickBot="1">
      <c r="A41" s="663" t="s">
        <v>703</v>
      </c>
      <c r="B41" s="664">
        <v>779800</v>
      </c>
      <c r="C41" s="665" t="s">
        <v>619</v>
      </c>
      <c r="D41" s="666"/>
      <c r="E41" s="666">
        <v>779800</v>
      </c>
      <c r="F41" s="667">
        <f t="shared" si="0"/>
        <v>0</v>
      </c>
    </row>
    <row r="42" spans="1:6" s="630" customFormat="1" ht="15.75" customHeight="1">
      <c r="A42" s="668" t="s">
        <v>1</v>
      </c>
      <c r="B42" s="669"/>
      <c r="C42" s="659"/>
      <c r="D42" s="660"/>
      <c r="E42" s="660"/>
      <c r="F42" s="670"/>
    </row>
    <row r="43" spans="1:6" s="630" customFormat="1" ht="15.75" customHeight="1">
      <c r="A43" s="671" t="s">
        <v>415</v>
      </c>
      <c r="B43" s="632">
        <v>880075</v>
      </c>
      <c r="C43" s="633" t="s">
        <v>619</v>
      </c>
      <c r="D43" s="634"/>
      <c r="E43" s="634">
        <v>880075</v>
      </c>
      <c r="F43" s="635"/>
    </row>
    <row r="44" spans="1:6" s="630" customFormat="1" ht="15.75" customHeight="1">
      <c r="A44" s="671" t="s">
        <v>2</v>
      </c>
      <c r="B44" s="632">
        <v>555298</v>
      </c>
      <c r="C44" s="633" t="s">
        <v>619</v>
      </c>
      <c r="D44" s="634"/>
      <c r="E44" s="634">
        <v>555298</v>
      </c>
      <c r="F44" s="635"/>
    </row>
    <row r="45" spans="1:6" s="630" customFormat="1" ht="15.75" customHeight="1">
      <c r="A45" s="671" t="s">
        <v>3</v>
      </c>
      <c r="B45" s="632">
        <f>2264654+11685+16200+123157</f>
        <v>2415696</v>
      </c>
      <c r="C45" s="633" t="s">
        <v>619</v>
      </c>
      <c r="D45" s="634"/>
      <c r="E45" s="634">
        <f>2264654+11685+16200+123157</f>
        <v>2415696</v>
      </c>
      <c r="F45" s="635"/>
    </row>
    <row r="46" spans="1:6" s="677" customFormat="1" ht="15.75" customHeight="1">
      <c r="A46" s="672" t="s">
        <v>4</v>
      </c>
      <c r="B46" s="673">
        <v>1860454</v>
      </c>
      <c r="C46" s="674" t="s">
        <v>619</v>
      </c>
      <c r="D46" s="675"/>
      <c r="E46" s="675">
        <v>1860454</v>
      </c>
      <c r="F46" s="676"/>
    </row>
    <row r="47" spans="1:6" s="630" customFormat="1" ht="15.75" customHeight="1">
      <c r="A47" s="671" t="s">
        <v>5</v>
      </c>
      <c r="B47" s="632">
        <v>1050200</v>
      </c>
      <c r="C47" s="633" t="s">
        <v>619</v>
      </c>
      <c r="D47" s="634"/>
      <c r="E47" s="634">
        <v>1050200</v>
      </c>
      <c r="F47" s="635"/>
    </row>
    <row r="48" spans="1:6" s="643" customFormat="1" ht="15.75" customHeight="1">
      <c r="A48" s="671" t="s">
        <v>704</v>
      </c>
      <c r="B48" s="632">
        <v>35000</v>
      </c>
      <c r="C48" s="633" t="s">
        <v>619</v>
      </c>
      <c r="D48" s="634"/>
      <c r="E48" s="634">
        <v>35000</v>
      </c>
      <c r="F48" s="635"/>
    </row>
    <row r="49" spans="1:6" s="630" customFormat="1" ht="28.5" customHeight="1">
      <c r="A49" s="678" t="s">
        <v>665</v>
      </c>
      <c r="B49" s="632">
        <v>400000</v>
      </c>
      <c r="C49" s="633" t="s">
        <v>619</v>
      </c>
      <c r="D49" s="634"/>
      <c r="E49" s="634">
        <v>400000</v>
      </c>
      <c r="F49" s="635">
        <f aca="true" t="shared" si="1" ref="F49:F72">B49-D49-E49</f>
        <v>0</v>
      </c>
    </row>
    <row r="50" spans="1:6" s="679" customFormat="1" ht="27.75" customHeight="1">
      <c r="A50" s="728" t="s">
        <v>731</v>
      </c>
      <c r="B50" s="724">
        <v>95000</v>
      </c>
      <c r="C50" s="725" t="s">
        <v>619</v>
      </c>
      <c r="D50" s="726"/>
      <c r="E50" s="726">
        <v>95000</v>
      </c>
      <c r="F50" s="727"/>
    </row>
    <row r="51" spans="1:6" s="630" customFormat="1" ht="16.5" customHeight="1">
      <c r="A51" s="680" t="s">
        <v>666</v>
      </c>
      <c r="B51" s="645">
        <v>456000</v>
      </c>
      <c r="C51" s="633" t="s">
        <v>619</v>
      </c>
      <c r="D51" s="646"/>
      <c r="E51" s="646">
        <v>456000</v>
      </c>
      <c r="F51" s="635">
        <f t="shared" si="1"/>
        <v>0</v>
      </c>
    </row>
    <row r="52" spans="1:6" s="630" customFormat="1" ht="16.5" customHeight="1">
      <c r="A52" s="680" t="s">
        <v>691</v>
      </c>
      <c r="B52" s="645">
        <v>66900</v>
      </c>
      <c r="C52" s="641" t="s">
        <v>619</v>
      </c>
      <c r="D52" s="646"/>
      <c r="E52" s="646">
        <v>66900</v>
      </c>
      <c r="F52" s="642"/>
    </row>
    <row r="53" spans="1:6" s="681" customFormat="1" ht="16.5" customHeight="1">
      <c r="A53" s="729" t="s">
        <v>732</v>
      </c>
      <c r="B53" s="730">
        <v>387000</v>
      </c>
      <c r="C53" s="731" t="s">
        <v>619</v>
      </c>
      <c r="D53" s="732"/>
      <c r="E53" s="732">
        <v>387000</v>
      </c>
      <c r="F53" s="733"/>
    </row>
    <row r="54" spans="1:6" s="630" customFormat="1" ht="22.5" customHeight="1">
      <c r="A54" s="682" t="s">
        <v>667</v>
      </c>
      <c r="B54" s="632">
        <v>381000</v>
      </c>
      <c r="C54" s="633" t="s">
        <v>619</v>
      </c>
      <c r="D54" s="634"/>
      <c r="E54" s="634">
        <v>381000</v>
      </c>
      <c r="F54" s="635">
        <f t="shared" si="1"/>
        <v>0</v>
      </c>
    </row>
    <row r="55" spans="1:6" s="643" customFormat="1" ht="22.5" customHeight="1">
      <c r="A55" s="682" t="s">
        <v>705</v>
      </c>
      <c r="B55" s="632">
        <v>1238248</v>
      </c>
      <c r="C55" s="633" t="s">
        <v>619</v>
      </c>
      <c r="D55" s="634"/>
      <c r="E55" s="634">
        <v>1238248</v>
      </c>
      <c r="F55" s="635"/>
    </row>
    <row r="56" spans="1:6" s="643" customFormat="1" ht="22.5" customHeight="1">
      <c r="A56" s="682" t="s">
        <v>706</v>
      </c>
      <c r="B56" s="632">
        <v>60000</v>
      </c>
      <c r="C56" s="633" t="s">
        <v>619</v>
      </c>
      <c r="D56" s="634"/>
      <c r="E56" s="634">
        <v>60000</v>
      </c>
      <c r="F56" s="635"/>
    </row>
    <row r="57" spans="1:6" s="643" customFormat="1" ht="22.5" customHeight="1">
      <c r="A57" s="682" t="s">
        <v>716</v>
      </c>
      <c r="B57" s="632">
        <v>11000</v>
      </c>
      <c r="C57" s="633" t="s">
        <v>619</v>
      </c>
      <c r="D57" s="634"/>
      <c r="E57" s="634">
        <v>11000</v>
      </c>
      <c r="F57" s="635"/>
    </row>
    <row r="58" spans="1:6" s="683" customFormat="1" ht="22.5" customHeight="1">
      <c r="A58" s="723" t="s">
        <v>733</v>
      </c>
      <c r="B58" s="724">
        <v>100000</v>
      </c>
      <c r="C58" s="725" t="s">
        <v>619</v>
      </c>
      <c r="D58" s="726"/>
      <c r="E58" s="726">
        <v>100000</v>
      </c>
      <c r="F58" s="727"/>
    </row>
    <row r="59" spans="1:6" s="683" customFormat="1" ht="22.5" customHeight="1">
      <c r="A59" s="723" t="s">
        <v>716</v>
      </c>
      <c r="B59" s="724">
        <v>27000</v>
      </c>
      <c r="C59" s="725" t="s">
        <v>619</v>
      </c>
      <c r="D59" s="726"/>
      <c r="E59" s="726">
        <v>27000</v>
      </c>
      <c r="F59" s="727"/>
    </row>
    <row r="60" spans="1:6" s="683" customFormat="1" ht="22.5" customHeight="1">
      <c r="A60" s="723" t="s">
        <v>734</v>
      </c>
      <c r="B60" s="724">
        <v>140433</v>
      </c>
      <c r="C60" s="725" t="s">
        <v>619</v>
      </c>
      <c r="D60" s="726"/>
      <c r="E60" s="726">
        <v>140433</v>
      </c>
      <c r="F60" s="727"/>
    </row>
    <row r="61" spans="1:6" s="630" customFormat="1" ht="21" customHeight="1">
      <c r="A61" s="684" t="s">
        <v>668</v>
      </c>
      <c r="B61" s="632">
        <v>300000</v>
      </c>
      <c r="C61" s="633" t="s">
        <v>619</v>
      </c>
      <c r="D61" s="634"/>
      <c r="E61" s="634">
        <v>300000</v>
      </c>
      <c r="F61" s="635">
        <f t="shared" si="1"/>
        <v>0</v>
      </c>
    </row>
    <row r="62" spans="1:6" s="643" customFormat="1" ht="21" customHeight="1">
      <c r="A62" s="684" t="s">
        <v>669</v>
      </c>
      <c r="B62" s="636">
        <f>1929960+310040</f>
        <v>2240000</v>
      </c>
      <c r="C62" s="633" t="s">
        <v>619</v>
      </c>
      <c r="D62" s="637"/>
      <c r="E62" s="637">
        <f>1929960+310040</f>
        <v>2240000</v>
      </c>
      <c r="F62" s="635">
        <f t="shared" si="1"/>
        <v>0</v>
      </c>
    </row>
    <row r="63" spans="1:6" s="643" customFormat="1" ht="21" customHeight="1">
      <c r="A63" s="690" t="s">
        <v>684</v>
      </c>
      <c r="B63" s="685">
        <v>973976</v>
      </c>
      <c r="C63" s="686" t="s">
        <v>685</v>
      </c>
      <c r="D63" s="687"/>
      <c r="E63" s="687">
        <v>973976</v>
      </c>
      <c r="F63" s="662">
        <f t="shared" si="1"/>
        <v>0</v>
      </c>
    </row>
    <row r="64" spans="1:6" s="643" customFormat="1" ht="21" customHeight="1">
      <c r="A64" s="690" t="s">
        <v>692</v>
      </c>
      <c r="B64" s="685">
        <v>69210</v>
      </c>
      <c r="C64" s="688" t="s">
        <v>619</v>
      </c>
      <c r="D64" s="687"/>
      <c r="E64" s="687">
        <v>69210</v>
      </c>
      <c r="F64" s="689">
        <f t="shared" si="1"/>
        <v>0</v>
      </c>
    </row>
    <row r="65" spans="1:6" s="643" customFormat="1" ht="25.5">
      <c r="A65" s="690" t="s">
        <v>707</v>
      </c>
      <c r="B65" s="685">
        <v>2665000</v>
      </c>
      <c r="C65" s="688" t="s">
        <v>619</v>
      </c>
      <c r="D65" s="687"/>
      <c r="E65" s="687">
        <v>2665000</v>
      </c>
      <c r="F65" s="689">
        <f t="shared" si="1"/>
        <v>0</v>
      </c>
    </row>
    <row r="66" spans="1:6" s="643" customFormat="1" ht="12.75">
      <c r="A66" s="690" t="s">
        <v>708</v>
      </c>
      <c r="B66" s="685">
        <v>170000</v>
      </c>
      <c r="C66" s="688" t="s">
        <v>619</v>
      </c>
      <c r="D66" s="687"/>
      <c r="E66" s="687">
        <v>170000</v>
      </c>
      <c r="F66" s="689">
        <f t="shared" si="1"/>
        <v>0</v>
      </c>
    </row>
    <row r="67" spans="1:6" s="643" customFormat="1" ht="12.75">
      <c r="A67" s="690" t="s">
        <v>717</v>
      </c>
      <c r="B67" s="685">
        <v>2430118</v>
      </c>
      <c r="C67" s="688" t="s">
        <v>619</v>
      </c>
      <c r="D67" s="687"/>
      <c r="E67" s="687">
        <v>2430118</v>
      </c>
      <c r="F67" s="689">
        <f t="shared" si="1"/>
        <v>0</v>
      </c>
    </row>
    <row r="68" spans="1:6" s="643" customFormat="1" ht="12.75">
      <c r="A68" s="690" t="s">
        <v>718</v>
      </c>
      <c r="B68" s="685">
        <v>127000</v>
      </c>
      <c r="C68" s="688" t="s">
        <v>619</v>
      </c>
      <c r="D68" s="687"/>
      <c r="E68" s="687">
        <v>127000</v>
      </c>
      <c r="F68" s="689">
        <f t="shared" si="1"/>
        <v>0</v>
      </c>
    </row>
    <row r="69" spans="1:6" s="683" customFormat="1" ht="25.5">
      <c r="A69" s="718" t="s">
        <v>735</v>
      </c>
      <c r="B69" s="719">
        <v>800000</v>
      </c>
      <c r="C69" s="720" t="s">
        <v>619</v>
      </c>
      <c r="D69" s="721"/>
      <c r="E69" s="721">
        <v>800000</v>
      </c>
      <c r="F69" s="722">
        <f t="shared" si="1"/>
        <v>0</v>
      </c>
    </row>
    <row r="70" spans="1:6" s="630" customFormat="1" ht="21" customHeight="1">
      <c r="A70" s="690" t="s">
        <v>670</v>
      </c>
      <c r="B70" s="685">
        <v>350000</v>
      </c>
      <c r="C70" s="686" t="s">
        <v>619</v>
      </c>
      <c r="D70" s="687"/>
      <c r="E70" s="687">
        <v>350000</v>
      </c>
      <c r="F70" s="662">
        <f t="shared" si="1"/>
        <v>0</v>
      </c>
    </row>
    <row r="71" spans="1:6" s="630" customFormat="1" ht="21" customHeight="1" thickBot="1">
      <c r="A71" s="690" t="s">
        <v>686</v>
      </c>
      <c r="B71" s="691">
        <v>90000</v>
      </c>
      <c r="C71" s="692" t="s">
        <v>619</v>
      </c>
      <c r="D71" s="693"/>
      <c r="E71" s="693">
        <v>90000</v>
      </c>
      <c r="F71" s="694">
        <f t="shared" si="1"/>
        <v>0</v>
      </c>
    </row>
    <row r="72" spans="1:6" s="630" customFormat="1" ht="21" customHeight="1">
      <c r="A72" s="708" t="s">
        <v>736</v>
      </c>
      <c r="B72" s="709">
        <v>284990</v>
      </c>
      <c r="C72" s="710" t="s">
        <v>619</v>
      </c>
      <c r="D72" s="711"/>
      <c r="E72" s="712">
        <v>284990</v>
      </c>
      <c r="F72" s="713">
        <f t="shared" si="1"/>
        <v>0</v>
      </c>
    </row>
    <row r="73" spans="1:6" s="630" customFormat="1" ht="21" customHeight="1" thickBot="1">
      <c r="A73" s="695" t="s">
        <v>682</v>
      </c>
      <c r="B73" s="696">
        <v>0</v>
      </c>
      <c r="C73" s="697" t="s">
        <v>619</v>
      </c>
      <c r="D73" s="698"/>
      <c r="E73" s="699">
        <v>0</v>
      </c>
      <c r="F73" s="700"/>
    </row>
    <row r="74" spans="1:6" s="47" customFormat="1" ht="18" customHeight="1" thickBot="1">
      <c r="A74" s="98" t="s">
        <v>86</v>
      </c>
      <c r="B74" s="701">
        <f>SUM(B5:B45,B47:B73)</f>
        <v>367936621</v>
      </c>
      <c r="C74" s="387"/>
      <c r="D74" s="386">
        <f>SUM(D5:D73)</f>
        <v>0</v>
      </c>
      <c r="E74" s="701">
        <f>SUM(E5:E45,E47:E73)</f>
        <v>367936621</v>
      </c>
      <c r="F74" s="388">
        <f>SUM(F5:F51)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1" r:id="rId1"/>
  <headerFooter alignWithMargins="0">
    <oddHeader>&amp;R&amp;"Times New Roman CE,Félkövér dőlt"&amp;11  6. melléklet a 28/2017.(X.27.)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4"/>
  <sheetViews>
    <sheetView view="pageLayout" workbookViewId="0" topLeftCell="A1">
      <selection activeCell="A1" sqref="A1:F1"/>
    </sheetView>
  </sheetViews>
  <sheetFormatPr defaultColWidth="9.00390625" defaultRowHeight="12.75"/>
  <cols>
    <col min="1" max="1" width="60.625" style="37" customWidth="1"/>
    <col min="2" max="2" width="15.625" style="36" customWidth="1"/>
    <col min="3" max="3" width="16.375" style="36" customWidth="1"/>
    <col min="4" max="4" width="18.00390625" style="36" customWidth="1"/>
    <col min="5" max="5" width="16.625" style="36" customWidth="1"/>
    <col min="6" max="6" width="18.875" style="36" customWidth="1"/>
    <col min="7" max="8" width="12.875" style="36" customWidth="1"/>
    <col min="9" max="9" width="13.875" style="36" customWidth="1"/>
    <col min="10" max="16384" width="9.375" style="36" customWidth="1"/>
  </cols>
  <sheetData>
    <row r="1" spans="1:6" ht="24.75" customHeight="1">
      <c r="A1" s="852" t="s">
        <v>30</v>
      </c>
      <c r="B1" s="852"/>
      <c r="C1" s="852"/>
      <c r="D1" s="852"/>
      <c r="E1" s="852"/>
      <c r="F1" s="852"/>
    </row>
    <row r="2" spans="1:6" ht="23.25" customHeight="1" thickBot="1">
      <c r="A2" s="95"/>
      <c r="B2" s="45"/>
      <c r="C2" s="45"/>
      <c r="D2" s="45"/>
      <c r="E2" s="45"/>
      <c r="F2" s="43" t="s">
        <v>648</v>
      </c>
    </row>
    <row r="3" spans="1:7" s="38" customFormat="1" ht="48.75" customHeight="1" thickBot="1">
      <c r="A3" s="96" t="s">
        <v>90</v>
      </c>
      <c r="B3" s="97" t="s">
        <v>88</v>
      </c>
      <c r="C3" s="97" t="s">
        <v>89</v>
      </c>
      <c r="D3" s="97" t="s">
        <v>620</v>
      </c>
      <c r="E3" s="97" t="s">
        <v>618</v>
      </c>
      <c r="F3" s="44" t="s">
        <v>622</v>
      </c>
      <c r="G3" s="369"/>
    </row>
    <row r="4" spans="1:6" s="45" customFormat="1" ht="15" customHeight="1" thickBot="1">
      <c r="A4" s="377">
        <v>1</v>
      </c>
      <c r="B4" s="378">
        <v>2</v>
      </c>
      <c r="C4" s="378">
        <v>3</v>
      </c>
      <c r="D4" s="378">
        <v>4</v>
      </c>
      <c r="E4" s="378">
        <v>5</v>
      </c>
      <c r="F4" s="379">
        <v>6</v>
      </c>
    </row>
    <row r="5" spans="1:6" ht="15.75" customHeight="1">
      <c r="A5" s="739" t="s">
        <v>637</v>
      </c>
      <c r="B5" s="740">
        <f>53340000+1000000+2866987+3795044+5929-203244</f>
        <v>60804716</v>
      </c>
      <c r="C5" s="741" t="s">
        <v>619</v>
      </c>
      <c r="D5" s="740"/>
      <c r="E5" s="740">
        <f>53340000+1000000+2866987+3795044+5929-203244</f>
        <v>60804716</v>
      </c>
      <c r="F5" s="597">
        <f aca="true" t="shared" si="0" ref="F5:F31">B5-D5-E5</f>
        <v>0</v>
      </c>
    </row>
    <row r="6" spans="1:6" s="596" customFormat="1" ht="15.75" customHeight="1">
      <c r="A6" s="595" t="s">
        <v>634</v>
      </c>
      <c r="B6" s="295">
        <f>21300001+18700651</f>
        <v>40000652</v>
      </c>
      <c r="C6" s="298" t="s">
        <v>619</v>
      </c>
      <c r="D6" s="295"/>
      <c r="E6" s="326">
        <f>21300001+18700651</f>
        <v>40000652</v>
      </c>
      <c r="F6" s="598">
        <f t="shared" si="0"/>
        <v>0</v>
      </c>
    </row>
    <row r="7" spans="1:6" ht="15.75" customHeight="1">
      <c r="A7" s="366" t="s">
        <v>639</v>
      </c>
      <c r="B7" s="295">
        <v>762000</v>
      </c>
      <c r="C7" s="298" t="s">
        <v>619</v>
      </c>
      <c r="D7" s="295"/>
      <c r="E7" s="295">
        <v>762000</v>
      </c>
      <c r="F7" s="598">
        <f t="shared" si="0"/>
        <v>0</v>
      </c>
    </row>
    <row r="8" spans="1:6" ht="15.75" customHeight="1">
      <c r="A8" s="746" t="s">
        <v>737</v>
      </c>
      <c r="B8" s="732">
        <v>80010</v>
      </c>
      <c r="C8" s="747" t="s">
        <v>619</v>
      </c>
      <c r="D8" s="732"/>
      <c r="E8" s="732">
        <v>80010</v>
      </c>
      <c r="F8" s="745"/>
    </row>
    <row r="9" spans="1:6" ht="15.75" customHeight="1">
      <c r="A9" s="366" t="s">
        <v>640</v>
      </c>
      <c r="B9" s="295">
        <v>751000</v>
      </c>
      <c r="C9" s="298" t="s">
        <v>619</v>
      </c>
      <c r="D9" s="295"/>
      <c r="E9" s="326">
        <v>751000</v>
      </c>
      <c r="F9" s="598">
        <f t="shared" si="0"/>
        <v>0</v>
      </c>
    </row>
    <row r="10" spans="1:6" ht="15.75" customHeight="1">
      <c r="A10" s="366" t="s">
        <v>719</v>
      </c>
      <c r="B10" s="295">
        <f>3201750</f>
        <v>3201750</v>
      </c>
      <c r="C10" s="298" t="s">
        <v>619</v>
      </c>
      <c r="D10" s="295"/>
      <c r="E10" s="295">
        <v>3201750</v>
      </c>
      <c r="F10" s="599">
        <f t="shared" si="0"/>
        <v>0</v>
      </c>
    </row>
    <row r="11" spans="1:6" ht="15.75" customHeight="1">
      <c r="A11" s="366" t="s">
        <v>720</v>
      </c>
      <c r="B11" s="295">
        <v>1162050</v>
      </c>
      <c r="C11" s="298" t="s">
        <v>619</v>
      </c>
      <c r="D11" s="295"/>
      <c r="E11" s="295">
        <v>1162050</v>
      </c>
      <c r="F11" s="599">
        <f>B11-D11-E11</f>
        <v>0</v>
      </c>
    </row>
    <row r="12" spans="1:6" ht="15.75" customHeight="1">
      <c r="A12" s="366" t="s">
        <v>641</v>
      </c>
      <c r="B12" s="295">
        <v>0</v>
      </c>
      <c r="C12" s="298" t="s">
        <v>619</v>
      </c>
      <c r="D12" s="295"/>
      <c r="E12" s="295">
        <v>0</v>
      </c>
      <c r="F12" s="599">
        <f t="shared" si="0"/>
        <v>0</v>
      </c>
    </row>
    <row r="13" spans="1:6" ht="15.75" customHeight="1">
      <c r="A13" s="462" t="s">
        <v>680</v>
      </c>
      <c r="B13" s="326">
        <f>500000-134607-60160</f>
        <v>305233</v>
      </c>
      <c r="C13" s="461" t="s">
        <v>619</v>
      </c>
      <c r="D13" s="326"/>
      <c r="E13" s="326">
        <f>365393-60160</f>
        <v>305233</v>
      </c>
      <c r="F13" s="598">
        <f t="shared" si="0"/>
        <v>0</v>
      </c>
    </row>
    <row r="14" spans="1:6" ht="15.75" customHeight="1">
      <c r="A14" s="746" t="s">
        <v>683</v>
      </c>
      <c r="B14" s="732">
        <f>7509510-1286510+9053657</f>
        <v>15276657</v>
      </c>
      <c r="C14" s="747" t="s">
        <v>619</v>
      </c>
      <c r="D14" s="732"/>
      <c r="E14" s="732">
        <f>7509510-1286510+9053657</f>
        <v>15276657</v>
      </c>
      <c r="F14" s="745">
        <f t="shared" si="0"/>
        <v>0</v>
      </c>
    </row>
    <row r="15" spans="1:6" ht="15.75" customHeight="1">
      <c r="A15" s="366" t="s">
        <v>6</v>
      </c>
      <c r="B15" s="297">
        <v>578000</v>
      </c>
      <c r="C15" s="296" t="s">
        <v>619</v>
      </c>
      <c r="D15" s="297"/>
      <c r="E15" s="297">
        <v>578000</v>
      </c>
      <c r="F15" s="600">
        <f t="shared" si="0"/>
        <v>0</v>
      </c>
    </row>
    <row r="16" spans="1:6" s="596" customFormat="1" ht="15.75" customHeight="1">
      <c r="A16" s="366" t="s">
        <v>709</v>
      </c>
      <c r="B16" s="297">
        <v>800000</v>
      </c>
      <c r="C16" s="296" t="s">
        <v>619</v>
      </c>
      <c r="D16" s="297"/>
      <c r="E16" s="297">
        <v>800000</v>
      </c>
      <c r="F16" s="600">
        <f t="shared" si="0"/>
        <v>0</v>
      </c>
    </row>
    <row r="17" spans="1:6" s="596" customFormat="1" ht="15.75" customHeight="1">
      <c r="A17" s="746" t="s">
        <v>697</v>
      </c>
      <c r="B17" s="748">
        <f>5566352+200000</f>
        <v>5766352</v>
      </c>
      <c r="C17" s="749" t="s">
        <v>619</v>
      </c>
      <c r="D17" s="748"/>
      <c r="E17" s="748">
        <f>5566352+200000</f>
        <v>5766352</v>
      </c>
      <c r="F17" s="750">
        <f t="shared" si="0"/>
        <v>0</v>
      </c>
    </row>
    <row r="18" spans="1:6" ht="15.75" customHeight="1">
      <c r="A18" s="462" t="s">
        <v>7</v>
      </c>
      <c r="B18" s="326">
        <v>157000</v>
      </c>
      <c r="C18" s="298" t="s">
        <v>619</v>
      </c>
      <c r="D18" s="326"/>
      <c r="E18" s="326">
        <v>157000</v>
      </c>
      <c r="F18" s="598">
        <f t="shared" si="0"/>
        <v>0</v>
      </c>
    </row>
    <row r="19" spans="1:6" ht="15.75" customHeight="1" hidden="1">
      <c r="A19" s="601"/>
      <c r="B19" s="362"/>
      <c r="C19" s="380"/>
      <c r="D19" s="362"/>
      <c r="E19" s="362"/>
      <c r="F19" s="602">
        <f t="shared" si="0"/>
        <v>0</v>
      </c>
    </row>
    <row r="20" spans="1:6" ht="15.75" customHeight="1" hidden="1">
      <c r="A20" s="421"/>
      <c r="B20" s="295"/>
      <c r="C20" s="298"/>
      <c r="D20" s="295"/>
      <c r="E20" s="295"/>
      <c r="F20" s="598">
        <f t="shared" si="0"/>
        <v>0</v>
      </c>
    </row>
    <row r="21" spans="1:6" ht="15.75" customHeight="1" hidden="1">
      <c r="A21" s="422"/>
      <c r="B21" s="295"/>
      <c r="C21" s="298"/>
      <c r="D21" s="295"/>
      <c r="E21" s="295"/>
      <c r="F21" s="598">
        <f t="shared" si="0"/>
        <v>0</v>
      </c>
    </row>
    <row r="22" spans="1:6" ht="15.75" customHeight="1" hidden="1">
      <c r="A22" s="366"/>
      <c r="B22" s="295"/>
      <c r="C22" s="298"/>
      <c r="D22" s="295"/>
      <c r="E22" s="295"/>
      <c r="F22" s="598">
        <f t="shared" si="0"/>
        <v>0</v>
      </c>
    </row>
    <row r="23" spans="1:6" ht="15.75" customHeight="1" hidden="1">
      <c r="A23" s="366"/>
      <c r="B23" s="295"/>
      <c r="C23" s="298"/>
      <c r="D23" s="295"/>
      <c r="E23" s="295"/>
      <c r="F23" s="598">
        <f t="shared" si="0"/>
        <v>0</v>
      </c>
    </row>
    <row r="24" spans="1:6" ht="15.75" customHeight="1" hidden="1">
      <c r="A24" s="366"/>
      <c r="B24" s="295"/>
      <c r="C24" s="298"/>
      <c r="D24" s="295"/>
      <c r="E24" s="295"/>
      <c r="F24" s="598">
        <f t="shared" si="0"/>
        <v>0</v>
      </c>
    </row>
    <row r="25" spans="1:6" ht="15.75" customHeight="1" hidden="1">
      <c r="A25" s="366"/>
      <c r="B25" s="295"/>
      <c r="C25" s="298"/>
      <c r="D25" s="295"/>
      <c r="E25" s="295"/>
      <c r="F25" s="598">
        <f t="shared" si="0"/>
        <v>0</v>
      </c>
    </row>
    <row r="26" spans="1:6" ht="15.75" customHeight="1" hidden="1">
      <c r="A26" s="366"/>
      <c r="B26" s="295"/>
      <c r="C26" s="298"/>
      <c r="D26" s="295"/>
      <c r="E26" s="295"/>
      <c r="F26" s="598">
        <f t="shared" si="0"/>
        <v>0</v>
      </c>
    </row>
    <row r="27" spans="1:6" ht="15.75" customHeight="1" hidden="1">
      <c r="A27" s="367"/>
      <c r="B27" s="297"/>
      <c r="C27" s="296"/>
      <c r="D27" s="297"/>
      <c r="E27" s="297"/>
      <c r="F27" s="598">
        <f t="shared" si="0"/>
        <v>0</v>
      </c>
    </row>
    <row r="28" spans="1:6" ht="15.75" customHeight="1" hidden="1">
      <c r="A28" s="367"/>
      <c r="B28" s="297"/>
      <c r="C28" s="296"/>
      <c r="D28" s="297"/>
      <c r="E28" s="297"/>
      <c r="F28" s="598">
        <f t="shared" si="0"/>
        <v>0</v>
      </c>
    </row>
    <row r="29" spans="1:6" ht="15.75" customHeight="1" hidden="1">
      <c r="A29" s="367"/>
      <c r="B29" s="297"/>
      <c r="C29" s="296"/>
      <c r="D29" s="297"/>
      <c r="E29" s="297"/>
      <c r="F29" s="598">
        <f t="shared" si="0"/>
        <v>0</v>
      </c>
    </row>
    <row r="30" spans="1:6" ht="15.75" customHeight="1" hidden="1">
      <c r="A30" s="367"/>
      <c r="B30" s="297"/>
      <c r="C30" s="296"/>
      <c r="D30" s="297"/>
      <c r="E30" s="297"/>
      <c r="F30" s="598">
        <f t="shared" si="0"/>
        <v>0</v>
      </c>
    </row>
    <row r="31" spans="1:6" ht="15.75" customHeight="1" hidden="1" thickBot="1">
      <c r="A31" s="367"/>
      <c r="B31" s="297"/>
      <c r="C31" s="296"/>
      <c r="D31" s="297"/>
      <c r="E31" s="297"/>
      <c r="F31" s="598">
        <f t="shared" si="0"/>
        <v>0</v>
      </c>
    </row>
    <row r="32" spans="1:6" ht="15.75" customHeight="1">
      <c r="A32" s="603" t="s">
        <v>710</v>
      </c>
      <c r="B32" s="604">
        <v>18459450</v>
      </c>
      <c r="C32" s="380" t="s">
        <v>619</v>
      </c>
      <c r="D32" s="604"/>
      <c r="E32" s="604">
        <v>18459450</v>
      </c>
      <c r="F32" s="602"/>
    </row>
    <row r="33" spans="1:6" ht="15.75" customHeight="1" thickBot="1">
      <c r="A33" s="742" t="s">
        <v>721</v>
      </c>
      <c r="B33" s="743">
        <v>189429682</v>
      </c>
      <c r="C33" s="744" t="s">
        <v>619</v>
      </c>
      <c r="D33" s="743"/>
      <c r="E33" s="743">
        <v>189429682</v>
      </c>
      <c r="F33" s="605"/>
    </row>
    <row r="34" spans="1:6" s="47" customFormat="1" ht="18" customHeight="1" thickBot="1">
      <c r="A34" s="98" t="s">
        <v>86</v>
      </c>
      <c r="B34" s="99">
        <f>SUM(B5:B33)</f>
        <v>337534552</v>
      </c>
      <c r="C34" s="85"/>
      <c r="D34" s="99">
        <f>SUM(D5:D31)</f>
        <v>0</v>
      </c>
      <c r="E34" s="99">
        <f>SUM(E5:E33)</f>
        <v>337534552</v>
      </c>
      <c r="F34" s="48">
        <f>SUM(F5:F31)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8" r:id="rId1"/>
  <headerFooter alignWithMargins="0">
    <oddHeader xml:space="preserve">&amp;R&amp;"Times New Roman CE,Félkövér dőlt"&amp;11 7. melléklet a  28/2017.(X.27.)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view="pageLayout" zoomScaleSheetLayoutView="85" workbookViewId="0" topLeftCell="A1">
      <selection activeCell="E1" sqref="E1"/>
    </sheetView>
  </sheetViews>
  <sheetFormatPr defaultColWidth="9.00390625" defaultRowHeight="12.75"/>
  <cols>
    <col min="1" max="1" width="38.625" style="40" customWidth="1"/>
    <col min="2" max="5" width="13.875" style="40" customWidth="1"/>
    <col min="6" max="16384" width="9.375" style="40" customWidth="1"/>
  </cols>
  <sheetData>
    <row r="1" spans="1:5" ht="12.75">
      <c r="A1" s="108"/>
      <c r="B1" s="108"/>
      <c r="C1" s="108"/>
      <c r="D1" s="108"/>
      <c r="E1" s="108"/>
    </row>
    <row r="2" spans="1:5" ht="34.5" customHeight="1">
      <c r="A2" s="868" t="s">
        <v>681</v>
      </c>
      <c r="B2" s="868"/>
      <c r="C2" s="868"/>
      <c r="D2" s="868"/>
      <c r="E2" s="868"/>
    </row>
    <row r="3" spans="1:5" ht="14.25" thickBot="1">
      <c r="A3" s="108"/>
      <c r="B3" s="108"/>
      <c r="C3" s="108"/>
      <c r="D3" s="869" t="s">
        <v>658</v>
      </c>
      <c r="E3" s="869"/>
    </row>
    <row r="4" spans="1:5" ht="15" customHeight="1" thickBot="1">
      <c r="A4" s="109" t="s">
        <v>144</v>
      </c>
      <c r="B4" s="110" t="s">
        <v>662</v>
      </c>
      <c r="C4" s="110">
        <v>2017</v>
      </c>
      <c r="D4" s="110" t="s">
        <v>663</v>
      </c>
      <c r="E4" s="111" t="s">
        <v>73</v>
      </c>
    </row>
    <row r="5" spans="1:5" ht="12.75">
      <c r="A5" s="112" t="s">
        <v>145</v>
      </c>
      <c r="B5" s="57"/>
      <c r="C5" s="57"/>
      <c r="D5" s="57"/>
      <c r="E5" s="113">
        <f aca="true" t="shared" si="0" ref="E5:E11">SUM(B5:D5)</f>
        <v>0</v>
      </c>
    </row>
    <row r="6" spans="1:5" ht="12.75">
      <c r="A6" s="114" t="s">
        <v>157</v>
      </c>
      <c r="B6" s="58"/>
      <c r="C6" s="58"/>
      <c r="D6" s="58"/>
      <c r="E6" s="115">
        <f t="shared" si="0"/>
        <v>0</v>
      </c>
    </row>
    <row r="7" spans="1:5" ht="12.75">
      <c r="A7" s="116" t="s">
        <v>146</v>
      </c>
      <c r="B7" s="59">
        <v>71149405</v>
      </c>
      <c r="C7" s="59">
        <v>3797300</v>
      </c>
      <c r="D7" s="59"/>
      <c r="E7" s="117">
        <f t="shared" si="0"/>
        <v>74946705</v>
      </c>
    </row>
    <row r="8" spans="1:5" ht="12.75">
      <c r="A8" s="116" t="s">
        <v>158</v>
      </c>
      <c r="B8" s="59"/>
      <c r="C8" s="59"/>
      <c r="D8" s="59"/>
      <c r="E8" s="117">
        <f t="shared" si="0"/>
        <v>0</v>
      </c>
    </row>
    <row r="9" spans="1:5" ht="12.75">
      <c r="A9" s="116" t="s">
        <v>147</v>
      </c>
      <c r="B9" s="59"/>
      <c r="C9" s="59"/>
      <c r="D9" s="59"/>
      <c r="E9" s="117">
        <f t="shared" si="0"/>
        <v>0</v>
      </c>
    </row>
    <row r="10" spans="1:5" ht="12.75">
      <c r="A10" s="116" t="s">
        <v>148</v>
      </c>
      <c r="B10" s="59"/>
      <c r="C10" s="59"/>
      <c r="D10" s="59"/>
      <c r="E10" s="117">
        <f t="shared" si="0"/>
        <v>0</v>
      </c>
    </row>
    <row r="11" spans="1:5" ht="13.5" thickBot="1">
      <c r="A11" s="60"/>
      <c r="B11" s="61"/>
      <c r="C11" s="61"/>
      <c r="D11" s="61"/>
      <c r="E11" s="117">
        <f t="shared" si="0"/>
        <v>0</v>
      </c>
    </row>
    <row r="12" spans="1:5" ht="13.5" thickBot="1">
      <c r="A12" s="118" t="s">
        <v>150</v>
      </c>
      <c r="B12" s="119">
        <f>B5+SUM(B7:B11)</f>
        <v>71149405</v>
      </c>
      <c r="C12" s="119">
        <f>C5+SUM(C7:C11)</f>
        <v>3797300</v>
      </c>
      <c r="D12" s="119">
        <f>D5+SUM(D7:D11)</f>
        <v>0</v>
      </c>
      <c r="E12" s="120">
        <f>E5+SUM(E7:E11)</f>
        <v>74946705</v>
      </c>
    </row>
    <row r="13" spans="1:5" ht="13.5" thickBot="1">
      <c r="A13" s="42"/>
      <c r="B13" s="42"/>
      <c r="C13" s="42"/>
      <c r="D13" s="42"/>
      <c r="E13" s="42"/>
    </row>
    <row r="14" spans="1:5" ht="15" customHeight="1" thickBot="1">
      <c r="A14" s="109" t="s">
        <v>149</v>
      </c>
      <c r="B14" s="110" t="s">
        <v>662</v>
      </c>
      <c r="C14" s="110">
        <v>2017</v>
      </c>
      <c r="D14" s="110" t="s">
        <v>663</v>
      </c>
      <c r="E14" s="111" t="s">
        <v>73</v>
      </c>
    </row>
    <row r="15" spans="1:5" ht="12.75">
      <c r="A15" s="112" t="s">
        <v>153</v>
      </c>
      <c r="B15" s="57"/>
      <c r="C15" s="57"/>
      <c r="D15" s="57"/>
      <c r="E15" s="113">
        <f aca="true" t="shared" si="1" ref="E15:E21">SUM(B15:D15)</f>
        <v>0</v>
      </c>
    </row>
    <row r="16" spans="1:5" ht="12.75">
      <c r="A16" s="121" t="s">
        <v>154</v>
      </c>
      <c r="B16" s="59"/>
      <c r="C16" s="59">
        <v>67832698</v>
      </c>
      <c r="D16" s="59"/>
      <c r="E16" s="117">
        <f t="shared" si="1"/>
        <v>67832698</v>
      </c>
    </row>
    <row r="17" spans="1:5" ht="12.75">
      <c r="A17" s="116" t="s">
        <v>155</v>
      </c>
      <c r="B17" s="59">
        <v>449720</v>
      </c>
      <c r="C17" s="59">
        <v>2866987</v>
      </c>
      <c r="D17" s="59"/>
      <c r="E17" s="117">
        <f t="shared" si="1"/>
        <v>3316707</v>
      </c>
    </row>
    <row r="18" spans="1:5" ht="12.75">
      <c r="A18" s="116" t="s">
        <v>156</v>
      </c>
      <c r="B18" s="59"/>
      <c r="C18" s="59"/>
      <c r="D18" s="59"/>
      <c r="E18" s="117">
        <f t="shared" si="1"/>
        <v>0</v>
      </c>
    </row>
    <row r="19" spans="1:5" ht="12.75">
      <c r="A19" s="62" t="s">
        <v>664</v>
      </c>
      <c r="B19" s="59"/>
      <c r="C19" s="59">
        <v>3797300</v>
      </c>
      <c r="D19" s="59"/>
      <c r="E19" s="117">
        <f t="shared" si="1"/>
        <v>3797300</v>
      </c>
    </row>
    <row r="20" spans="1:5" ht="12.75">
      <c r="A20" s="62"/>
      <c r="B20" s="59"/>
      <c r="C20" s="59"/>
      <c r="D20" s="59"/>
      <c r="E20" s="117">
        <f t="shared" si="1"/>
        <v>0</v>
      </c>
    </row>
    <row r="21" spans="1:5" ht="13.5" thickBot="1">
      <c r="A21" s="60"/>
      <c r="B21" s="61"/>
      <c r="C21" s="61"/>
      <c r="D21" s="61"/>
      <c r="E21" s="117">
        <f t="shared" si="1"/>
        <v>0</v>
      </c>
    </row>
    <row r="22" spans="1:5" ht="13.5" thickBot="1">
      <c r="A22" s="118" t="s">
        <v>74</v>
      </c>
      <c r="B22" s="119">
        <f>SUM(B15:B21)</f>
        <v>449720</v>
      </c>
      <c r="C22" s="119">
        <f>SUM(C15:C21)</f>
        <v>74496985</v>
      </c>
      <c r="D22" s="119">
        <f>SUM(D15:D21)</f>
        <v>0</v>
      </c>
      <c r="E22" s="120">
        <f>SUM(E15:E21)</f>
        <v>74946705</v>
      </c>
    </row>
    <row r="23" spans="1:5" ht="12.75">
      <c r="A23" s="108"/>
      <c r="B23" s="108"/>
      <c r="C23" s="108"/>
      <c r="D23" s="108"/>
      <c r="E23" s="108"/>
    </row>
    <row r="24" spans="1:5" ht="34.5" customHeight="1">
      <c r="A24" s="868" t="s">
        <v>693</v>
      </c>
      <c r="B24" s="868"/>
      <c r="C24" s="868"/>
      <c r="D24" s="868"/>
      <c r="E24" s="868"/>
    </row>
    <row r="25" spans="1:5" ht="14.25" thickBot="1">
      <c r="A25" s="108"/>
      <c r="B25" s="108"/>
      <c r="C25" s="108"/>
      <c r="D25" s="869" t="s">
        <v>658</v>
      </c>
      <c r="E25" s="869"/>
    </row>
    <row r="26" spans="1:5" ht="13.5" thickBot="1">
      <c r="A26" s="109" t="s">
        <v>144</v>
      </c>
      <c r="B26" s="110" t="s">
        <v>662</v>
      </c>
      <c r="C26" s="110">
        <v>2017</v>
      </c>
      <c r="D26" s="110" t="s">
        <v>663</v>
      </c>
      <c r="E26" s="111" t="s">
        <v>73</v>
      </c>
    </row>
    <row r="27" spans="1:5" ht="12.75">
      <c r="A27" s="112" t="s">
        <v>145</v>
      </c>
      <c r="B27" s="57"/>
      <c r="C27" s="57"/>
      <c r="D27" s="57"/>
      <c r="E27" s="113">
        <f aca="true" t="shared" si="2" ref="E27:E33">SUM(B27:D27)</f>
        <v>0</v>
      </c>
    </row>
    <row r="28" spans="1:5" ht="12.75">
      <c r="A28" s="114" t="s">
        <v>157</v>
      </c>
      <c r="B28" s="58"/>
      <c r="C28" s="58"/>
      <c r="D28" s="58"/>
      <c r="E28" s="115">
        <f t="shared" si="2"/>
        <v>0</v>
      </c>
    </row>
    <row r="29" spans="1:5" ht="12.75">
      <c r="A29" s="116" t="s">
        <v>146</v>
      </c>
      <c r="B29" s="59"/>
      <c r="C29" s="59">
        <v>75588869</v>
      </c>
      <c r="D29" s="59"/>
      <c r="E29" s="117">
        <f t="shared" si="2"/>
        <v>75588869</v>
      </c>
    </row>
    <row r="30" spans="1:5" ht="12.75">
      <c r="A30" s="116" t="s">
        <v>158</v>
      </c>
      <c r="B30" s="59"/>
      <c r="C30" s="59"/>
      <c r="D30" s="59"/>
      <c r="E30" s="117">
        <f t="shared" si="2"/>
        <v>0</v>
      </c>
    </row>
    <row r="31" spans="1:5" ht="12.75">
      <c r="A31" s="116" t="s">
        <v>147</v>
      </c>
      <c r="B31" s="293"/>
      <c r="C31" s="59"/>
      <c r="D31" s="59"/>
      <c r="E31" s="117">
        <f t="shared" si="2"/>
        <v>0</v>
      </c>
    </row>
    <row r="32" spans="1:5" ht="12.75">
      <c r="A32" s="116" t="s">
        <v>148</v>
      </c>
      <c r="B32" s="59"/>
      <c r="C32" s="59"/>
      <c r="D32" s="59"/>
      <c r="E32" s="117">
        <f t="shared" si="2"/>
        <v>0</v>
      </c>
    </row>
    <row r="33" spans="1:5" ht="13.5" thickBot="1">
      <c r="A33" s="60"/>
      <c r="B33" s="61"/>
      <c r="C33" s="61"/>
      <c r="D33" s="61"/>
      <c r="E33" s="117">
        <f t="shared" si="2"/>
        <v>0</v>
      </c>
    </row>
    <row r="34" spans="1:5" ht="13.5" thickBot="1">
      <c r="A34" s="118" t="s">
        <v>150</v>
      </c>
      <c r="B34" s="119">
        <f>B27+SUM(B29:B33)</f>
        <v>0</v>
      </c>
      <c r="C34" s="119">
        <f>C27+SUM(C29:C33)</f>
        <v>75588869</v>
      </c>
      <c r="D34" s="119">
        <f>D27+SUM(D29:D33)</f>
        <v>0</v>
      </c>
      <c r="E34" s="120">
        <f>E27+SUM(E29:E33)</f>
        <v>75588869</v>
      </c>
    </row>
    <row r="35" spans="1:5" ht="13.5" thickBot="1">
      <c r="A35" s="42"/>
      <c r="B35" s="42"/>
      <c r="C35" s="42"/>
      <c r="D35" s="42"/>
      <c r="E35" s="42"/>
    </row>
    <row r="36" spans="1:5" ht="13.5" thickBot="1">
      <c r="A36" s="109" t="s">
        <v>149</v>
      </c>
      <c r="B36" s="110" t="s">
        <v>662</v>
      </c>
      <c r="C36" s="110">
        <v>2017</v>
      </c>
      <c r="D36" s="110" t="s">
        <v>663</v>
      </c>
      <c r="E36" s="111" t="s">
        <v>73</v>
      </c>
    </row>
    <row r="37" spans="1:5" ht="12.75">
      <c r="A37" s="112" t="s">
        <v>153</v>
      </c>
      <c r="B37" s="57"/>
      <c r="C37" s="751">
        <v>1889663</v>
      </c>
      <c r="D37" s="57"/>
      <c r="E37" s="752">
        <f aca="true" t="shared" si="3" ref="E37:E43">SUM(B37:D37)</f>
        <v>1889663</v>
      </c>
    </row>
    <row r="38" spans="1:5" ht="12.75">
      <c r="A38" s="121" t="s">
        <v>154</v>
      </c>
      <c r="B38" s="59"/>
      <c r="C38" s="463">
        <f>71809476-1889633</f>
        <v>69919843</v>
      </c>
      <c r="D38" s="293"/>
      <c r="E38" s="464">
        <f t="shared" si="3"/>
        <v>69919843</v>
      </c>
    </row>
    <row r="39" spans="1:5" ht="12.75">
      <c r="A39" s="116" t="s">
        <v>155</v>
      </c>
      <c r="B39" s="59"/>
      <c r="C39" s="293"/>
      <c r="D39" s="293"/>
      <c r="E39" s="294">
        <f t="shared" si="3"/>
        <v>0</v>
      </c>
    </row>
    <row r="40" spans="1:5" ht="12.75">
      <c r="A40" s="116" t="s">
        <v>156</v>
      </c>
      <c r="B40" s="59"/>
      <c r="C40" s="59"/>
      <c r="D40" s="59"/>
      <c r="E40" s="117">
        <f t="shared" si="3"/>
        <v>0</v>
      </c>
    </row>
    <row r="41" spans="1:5" ht="12.75">
      <c r="A41" s="62" t="s">
        <v>664</v>
      </c>
      <c r="B41" s="293"/>
      <c r="C41" s="59">
        <v>3779393</v>
      </c>
      <c r="D41" s="59"/>
      <c r="E41" s="117">
        <f t="shared" si="3"/>
        <v>3779393</v>
      </c>
    </row>
    <row r="42" spans="1:5" ht="12.75">
      <c r="A42" s="62"/>
      <c r="B42" s="59"/>
      <c r="C42" s="59"/>
      <c r="D42" s="59"/>
      <c r="E42" s="117">
        <f t="shared" si="3"/>
        <v>0</v>
      </c>
    </row>
    <row r="43" spans="1:5" ht="13.5" thickBot="1">
      <c r="A43" s="60"/>
      <c r="B43" s="61"/>
      <c r="C43" s="61"/>
      <c r="D43" s="61"/>
      <c r="E43" s="117">
        <f t="shared" si="3"/>
        <v>0</v>
      </c>
    </row>
    <row r="44" spans="1:5" ht="13.5" thickBot="1">
      <c r="A44" s="118" t="s">
        <v>74</v>
      </c>
      <c r="B44" s="119">
        <f>SUM(B37:B43)</f>
        <v>0</v>
      </c>
      <c r="C44" s="119">
        <f>SUM(C37:C43)</f>
        <v>75588899</v>
      </c>
      <c r="D44" s="119">
        <f>SUM(D37:D43)</f>
        <v>0</v>
      </c>
      <c r="E44" s="120">
        <f>SUM(E37:E43)</f>
        <v>75588899</v>
      </c>
    </row>
    <row r="45" spans="1:5" ht="12.75">
      <c r="A45" s="108"/>
      <c r="B45" s="108"/>
      <c r="C45" s="108"/>
      <c r="D45" s="108"/>
      <c r="E45" s="108"/>
    </row>
    <row r="46" spans="1:5" ht="15.75">
      <c r="A46" s="870" t="s">
        <v>623</v>
      </c>
      <c r="B46" s="870"/>
      <c r="C46" s="870"/>
      <c r="D46" s="870"/>
      <c r="E46" s="870"/>
    </row>
    <row r="47" spans="1:5" ht="13.5" thickBot="1">
      <c r="A47" s="108"/>
      <c r="B47" s="108"/>
      <c r="C47" s="108"/>
      <c r="D47" s="108"/>
      <c r="E47" s="108"/>
    </row>
    <row r="48" spans="1:8" ht="13.5" thickBot="1">
      <c r="A48" s="871" t="s">
        <v>151</v>
      </c>
      <c r="B48" s="872"/>
      <c r="C48" s="873"/>
      <c r="D48" s="874" t="s">
        <v>659</v>
      </c>
      <c r="E48" s="875"/>
      <c r="H48" s="41"/>
    </row>
    <row r="49" spans="1:5" ht="12.75">
      <c r="A49" s="853"/>
      <c r="B49" s="854"/>
      <c r="C49" s="855"/>
      <c r="D49" s="856"/>
      <c r="E49" s="857"/>
    </row>
    <row r="50" spans="1:5" ht="13.5" thickBot="1">
      <c r="A50" s="858"/>
      <c r="B50" s="859"/>
      <c r="C50" s="860"/>
      <c r="D50" s="861"/>
      <c r="E50" s="862"/>
    </row>
    <row r="51" spans="1:5" ht="13.5" thickBot="1">
      <c r="A51" s="863" t="s">
        <v>74</v>
      </c>
      <c r="B51" s="864"/>
      <c r="C51" s="865"/>
      <c r="D51" s="866">
        <f>SUM(D49:E50)</f>
        <v>0</v>
      </c>
      <c r="E51" s="867"/>
    </row>
  </sheetData>
  <sheetProtection/>
  <mergeCells count="13">
    <mergeCell ref="A2:E2"/>
    <mergeCell ref="D3:E3"/>
    <mergeCell ref="A24:E24"/>
    <mergeCell ref="D25:E25"/>
    <mergeCell ref="A46:E46"/>
    <mergeCell ref="A48:C48"/>
    <mergeCell ref="D48:E48"/>
    <mergeCell ref="A49:C49"/>
    <mergeCell ref="D49:E49"/>
    <mergeCell ref="A50:C50"/>
    <mergeCell ref="D50:E50"/>
    <mergeCell ref="A51:C51"/>
    <mergeCell ref="D51:E51"/>
  </mergeCells>
  <conditionalFormatting sqref="E27:E34 B34:D34 E37:E44 B44:D44 D51:E51 E5:E12 B12:D12 B22:E22 E15:E21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3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 28/2017.(X.27.)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15" zoomScaleSheetLayoutView="85" workbookViewId="0" topLeftCell="B1">
      <selection activeCell="G147" sqref="G147"/>
    </sheetView>
  </sheetViews>
  <sheetFormatPr defaultColWidth="9.00390625" defaultRowHeight="12.75"/>
  <cols>
    <col min="1" max="1" width="19.50390625" style="423" customWidth="1"/>
    <col min="2" max="2" width="72.00390625" style="424" customWidth="1"/>
    <col min="3" max="3" width="25.00390625" style="425" customWidth="1"/>
    <col min="4" max="4" width="9.375" style="2" customWidth="1"/>
    <col min="5" max="5" width="14.625" style="2" hidden="1" customWidth="1"/>
    <col min="6" max="6" width="15.50390625" style="2" bestFit="1" customWidth="1"/>
    <col min="7" max="16384" width="9.375" style="2" customWidth="1"/>
  </cols>
  <sheetData>
    <row r="1" spans="1:3" s="1" customFormat="1" ht="16.5" customHeight="1" thickBot="1">
      <c r="A1" s="122"/>
      <c r="B1" s="124"/>
      <c r="C1" s="147"/>
    </row>
    <row r="2" spans="1:4" s="63" customFormat="1" ht="21" customHeight="1">
      <c r="A2" s="238" t="s">
        <v>84</v>
      </c>
      <c r="B2" s="213" t="s">
        <v>200</v>
      </c>
      <c r="C2" s="215" t="s">
        <v>75</v>
      </c>
      <c r="D2" s="365"/>
    </row>
    <row r="3" spans="1:3" s="63" customFormat="1" ht="16.5" thickBot="1">
      <c r="A3" s="125" t="s">
        <v>196</v>
      </c>
      <c r="B3" s="214" t="s">
        <v>377</v>
      </c>
      <c r="C3" s="313" t="s">
        <v>75</v>
      </c>
    </row>
    <row r="4" spans="1:3" s="64" customFormat="1" ht="15.75" customHeight="1" thickBot="1">
      <c r="A4" s="126"/>
      <c r="B4" s="126"/>
      <c r="C4" s="127" t="s">
        <v>632</v>
      </c>
    </row>
    <row r="5" spans="1:3" ht="13.5" thickBot="1">
      <c r="A5" s="239" t="s">
        <v>198</v>
      </c>
      <c r="B5" s="128" t="s">
        <v>76</v>
      </c>
      <c r="C5" s="216" t="s">
        <v>77</v>
      </c>
    </row>
    <row r="6" spans="1:3" s="49" customFormat="1" ht="12.75" customHeight="1" thickBot="1">
      <c r="A6" s="100" t="s">
        <v>491</v>
      </c>
      <c r="B6" s="101" t="s">
        <v>492</v>
      </c>
      <c r="C6" s="102" t="s">
        <v>493</v>
      </c>
    </row>
    <row r="7" spans="1:3" s="49" customFormat="1" ht="15.75" customHeight="1" thickBot="1">
      <c r="A7" s="130"/>
      <c r="B7" s="131" t="s">
        <v>78</v>
      </c>
      <c r="C7" s="217"/>
    </row>
    <row r="8" spans="1:6" s="49" customFormat="1" ht="12" customHeight="1" thickBot="1">
      <c r="A8" s="31" t="s">
        <v>40</v>
      </c>
      <c r="B8" s="20" t="s">
        <v>224</v>
      </c>
      <c r="C8" s="162">
        <f>+C9+C10+C11+C12+C13+C14</f>
        <v>1214441231</v>
      </c>
      <c r="E8" s="49">
        <f>'9.1.1. sz. mell. '!C8+'9.1.2. sz. mell.'!C8</f>
        <v>1214441231</v>
      </c>
      <c r="F8" s="755">
        <f>C8-E8</f>
        <v>0</v>
      </c>
    </row>
    <row r="9" spans="1:6" s="65" customFormat="1" ht="12" customHeight="1">
      <c r="A9" s="262" t="s">
        <v>116</v>
      </c>
      <c r="B9" s="248" t="s">
        <v>225</v>
      </c>
      <c r="C9" s="286">
        <f>227512539+905743</f>
        <v>228418282</v>
      </c>
      <c r="E9" s="49">
        <f>'9.1.1. sz. mell. '!C9+'9.1.2. sz. mell.'!C9</f>
        <v>228418282</v>
      </c>
      <c r="F9" s="755">
        <f aca="true" t="shared" si="0" ref="F9:F72">C9-E9</f>
        <v>0</v>
      </c>
    </row>
    <row r="10" spans="1:6" s="66" customFormat="1" ht="12" customHeight="1">
      <c r="A10" s="263" t="s">
        <v>117</v>
      </c>
      <c r="B10" s="249" t="s">
        <v>226</v>
      </c>
      <c r="C10" s="166">
        <f>218107294+10461768-4721982-4278000</f>
        <v>219569080</v>
      </c>
      <c r="E10" s="49">
        <f>'9.1.1. sz. mell. '!C10+'9.1.2. sz. mell.'!C10</f>
        <v>219569080</v>
      </c>
      <c r="F10" s="755">
        <f t="shared" si="0"/>
        <v>0</v>
      </c>
    </row>
    <row r="11" spans="1:6" s="66" customFormat="1" ht="12" customHeight="1">
      <c r="A11" s="263" t="s">
        <v>118</v>
      </c>
      <c r="B11" s="249" t="s">
        <v>227</v>
      </c>
      <c r="C11" s="166">
        <f>121200000+67844165+118423160+15562200+177597260+4526280+11511000+24250000-35761000-1921230</f>
        <v>503231835</v>
      </c>
      <c r="E11" s="49">
        <f>'9.1.1. sz. mell. '!C11+'9.1.2. sz. mell.'!C11</f>
        <v>503231835</v>
      </c>
      <c r="F11" s="755">
        <f t="shared" si="0"/>
        <v>0</v>
      </c>
    </row>
    <row r="12" spans="1:6" s="66" customFormat="1" ht="12" customHeight="1">
      <c r="A12" s="263" t="s">
        <v>119</v>
      </c>
      <c r="B12" s="249" t="s">
        <v>228</v>
      </c>
      <c r="C12" s="166">
        <f>4412740+15262320+10629000-4412740+4412740+1038248</f>
        <v>31342308</v>
      </c>
      <c r="E12" s="49">
        <f>'9.1.1. sz. mell. '!C12+'9.1.2. sz. mell.'!C12</f>
        <v>31342308</v>
      </c>
      <c r="F12" s="755">
        <f t="shared" si="0"/>
        <v>0</v>
      </c>
    </row>
    <row r="13" spans="1:6" s="66" customFormat="1" ht="12" customHeight="1">
      <c r="A13" s="263" t="s">
        <v>159</v>
      </c>
      <c r="B13" s="249" t="s">
        <v>555</v>
      </c>
      <c r="C13" s="166">
        <f>3551000+1060845+168707597+58000+128000+13957152+413944+9514709+49094027+4501192-4412740-15000000+306000</f>
        <v>231879726</v>
      </c>
      <c r="E13" s="49">
        <f>'9.1.1. sz. mell. '!C13+'9.1.2. sz. mell.'!C13</f>
        <v>231879726</v>
      </c>
      <c r="F13" s="755">
        <f t="shared" si="0"/>
        <v>0</v>
      </c>
    </row>
    <row r="14" spans="1:6" s="65" customFormat="1" ht="12" customHeight="1" thickBot="1">
      <c r="A14" s="264" t="s">
        <v>120</v>
      </c>
      <c r="B14" s="250" t="s">
        <v>495</v>
      </c>
      <c r="C14" s="166"/>
      <c r="E14" s="49">
        <f>'9.1.1. sz. mell. '!C14+'9.1.2. sz. mell.'!C14</f>
        <v>0</v>
      </c>
      <c r="F14" s="755">
        <f t="shared" si="0"/>
        <v>0</v>
      </c>
    </row>
    <row r="15" spans="1:6" s="65" customFormat="1" ht="12" customHeight="1" thickBot="1">
      <c r="A15" s="31" t="s">
        <v>41</v>
      </c>
      <c r="B15" s="157" t="s">
        <v>229</v>
      </c>
      <c r="C15" s="162">
        <f>+C16+C17+C18+C19+C20</f>
        <v>304559145</v>
      </c>
      <c r="E15" s="49">
        <f>'9.1.1. sz. mell. '!C15+'9.1.2. sz. mell.'!C15</f>
        <v>304559145</v>
      </c>
      <c r="F15" s="755">
        <f t="shared" si="0"/>
        <v>0</v>
      </c>
    </row>
    <row r="16" spans="1:6" s="65" customFormat="1" ht="12" customHeight="1">
      <c r="A16" s="262" t="s">
        <v>122</v>
      </c>
      <c r="B16" s="248" t="s">
        <v>230</v>
      </c>
      <c r="C16" s="164"/>
      <c r="E16" s="49">
        <f>'9.1.1. sz. mell. '!C16+'9.1.2. sz. mell.'!C16</f>
        <v>0</v>
      </c>
      <c r="F16" s="755">
        <f t="shared" si="0"/>
        <v>0</v>
      </c>
    </row>
    <row r="17" spans="1:6" s="65" customFormat="1" ht="12" customHeight="1">
      <c r="A17" s="263" t="s">
        <v>123</v>
      </c>
      <c r="B17" s="249" t="s">
        <v>231</v>
      </c>
      <c r="C17" s="163"/>
      <c r="E17" s="49">
        <f>'9.1.1. sz. mell. '!C17+'9.1.2. sz. mell.'!C17</f>
        <v>0</v>
      </c>
      <c r="F17" s="755">
        <f t="shared" si="0"/>
        <v>0</v>
      </c>
    </row>
    <row r="18" spans="1:6" s="65" customFormat="1" ht="12" customHeight="1">
      <c r="A18" s="263" t="s">
        <v>124</v>
      </c>
      <c r="B18" s="249" t="s">
        <v>400</v>
      </c>
      <c r="C18" s="166"/>
      <c r="E18" s="49">
        <f>'9.1.1. sz. mell. '!C18+'9.1.2. sz. mell.'!C18</f>
        <v>0</v>
      </c>
      <c r="F18" s="755">
        <f t="shared" si="0"/>
        <v>0</v>
      </c>
    </row>
    <row r="19" spans="1:6" s="65" customFormat="1" ht="12" customHeight="1">
      <c r="A19" s="263" t="s">
        <v>125</v>
      </c>
      <c r="B19" s="249" t="s">
        <v>401</v>
      </c>
      <c r="C19" s="166"/>
      <c r="E19" s="49">
        <f>'9.1.1. sz. mell. '!C19+'9.1.2. sz. mell.'!C19</f>
        <v>0</v>
      </c>
      <c r="F19" s="755">
        <f t="shared" si="0"/>
        <v>0</v>
      </c>
    </row>
    <row r="20" spans="1:6" s="65" customFormat="1" ht="12" customHeight="1">
      <c r="A20" s="263" t="s">
        <v>126</v>
      </c>
      <c r="B20" s="249" t="s">
        <v>232</v>
      </c>
      <c r="C20" s="753">
        <f>2285000+210000+110446000+65342000+25310845+9303887+291175856+362000+94906504+6840000+3111000+1770000+4682000+12549488-323735435</f>
        <v>304559145</v>
      </c>
      <c r="E20" s="49">
        <f>'9.1.1. sz. mell. '!C20+'9.1.2. sz. mell.'!C20</f>
        <v>304559145</v>
      </c>
      <c r="F20" s="755">
        <f t="shared" si="0"/>
        <v>0</v>
      </c>
    </row>
    <row r="21" spans="1:6" s="66" customFormat="1" ht="12" customHeight="1" thickBot="1">
      <c r="A21" s="264" t="s">
        <v>135</v>
      </c>
      <c r="B21" s="250" t="s">
        <v>233</v>
      </c>
      <c r="C21" s="237"/>
      <c r="E21" s="49">
        <f>'9.1.1. sz. mell. '!C21+'9.1.2. sz. mell.'!C21</f>
        <v>0</v>
      </c>
      <c r="F21" s="755">
        <f t="shared" si="0"/>
        <v>0</v>
      </c>
    </row>
    <row r="22" spans="1:6" s="66" customFormat="1" ht="12" customHeight="1" thickBot="1">
      <c r="A22" s="31" t="s">
        <v>42</v>
      </c>
      <c r="B22" s="20" t="s">
        <v>234</v>
      </c>
      <c r="C22" s="162">
        <f>+C23+C24+C25+C26+C27</f>
        <v>527042023</v>
      </c>
      <c r="E22" s="49">
        <f>'9.1.1. sz. mell. '!C22+'9.1.2. sz. mell.'!C22</f>
        <v>527042023</v>
      </c>
      <c r="F22" s="755">
        <f t="shared" si="0"/>
        <v>0</v>
      </c>
    </row>
    <row r="23" spans="1:6" s="66" customFormat="1" ht="12" customHeight="1">
      <c r="A23" s="262" t="s">
        <v>105</v>
      </c>
      <c r="B23" s="248" t="s">
        <v>235</v>
      </c>
      <c r="C23" s="286">
        <v>15690532</v>
      </c>
      <c r="E23" s="49">
        <f>'9.1.1. sz. mell. '!C23+'9.1.2. sz. mell.'!C23</f>
        <v>15690532</v>
      </c>
      <c r="F23" s="755">
        <f t="shared" si="0"/>
        <v>0</v>
      </c>
    </row>
    <row r="24" spans="1:6" s="65" customFormat="1" ht="12" customHeight="1">
      <c r="A24" s="263" t="s">
        <v>106</v>
      </c>
      <c r="B24" s="249" t="s">
        <v>236</v>
      </c>
      <c r="C24" s="166"/>
      <c r="E24" s="49">
        <f>'9.1.1. sz. mell. '!C24+'9.1.2. sz. mell.'!C24</f>
        <v>0</v>
      </c>
      <c r="F24" s="755">
        <f t="shared" si="0"/>
        <v>0</v>
      </c>
    </row>
    <row r="25" spans="1:6" s="66" customFormat="1" ht="12" customHeight="1">
      <c r="A25" s="263" t="s">
        <v>107</v>
      </c>
      <c r="B25" s="249" t="s">
        <v>402</v>
      </c>
      <c r="C25" s="166"/>
      <c r="E25" s="49">
        <f>'9.1.1. sz. mell. '!C25+'9.1.2. sz. mell.'!C25</f>
        <v>0</v>
      </c>
      <c r="F25" s="755">
        <f t="shared" si="0"/>
        <v>0</v>
      </c>
    </row>
    <row r="26" spans="1:6" s="66" customFormat="1" ht="12" customHeight="1">
      <c r="A26" s="263" t="s">
        <v>108</v>
      </c>
      <c r="B26" s="249" t="s">
        <v>403</v>
      </c>
      <c r="C26" s="166"/>
      <c r="E26" s="49">
        <f>'9.1.1. sz. mell. '!C26+'9.1.2. sz. mell.'!C26</f>
        <v>0</v>
      </c>
      <c r="F26" s="755">
        <f t="shared" si="0"/>
        <v>0</v>
      </c>
    </row>
    <row r="27" spans="1:6" s="66" customFormat="1" ht="12" customHeight="1">
      <c r="A27" s="263" t="s">
        <v>171</v>
      </c>
      <c r="B27" s="249" t="s">
        <v>237</v>
      </c>
      <c r="C27" s="753">
        <f>3797300+15179276+2160000+75588869+15956160+214128350+199720812-15179276</f>
        <v>511351491</v>
      </c>
      <c r="E27" s="49">
        <f>'9.1.1. sz. mell. '!C27+'9.1.2. sz. mell.'!C27</f>
        <v>511351491</v>
      </c>
      <c r="F27" s="755">
        <f t="shared" si="0"/>
        <v>0</v>
      </c>
    </row>
    <row r="28" spans="1:6" s="66" customFormat="1" ht="12" customHeight="1" thickBot="1">
      <c r="A28" s="264" t="s">
        <v>172</v>
      </c>
      <c r="B28" s="250" t="s">
        <v>238</v>
      </c>
      <c r="C28" s="237">
        <f>3797300+75588869+15956160+214128350+199720812</f>
        <v>509191491</v>
      </c>
      <c r="E28" s="49">
        <f>'9.1.1. sz. mell. '!C28+'9.1.2. sz. mell.'!C28</f>
        <v>509191491</v>
      </c>
      <c r="F28" s="755">
        <f t="shared" si="0"/>
        <v>0</v>
      </c>
    </row>
    <row r="29" spans="1:6" s="66" customFormat="1" ht="12" customHeight="1" thickBot="1">
      <c r="A29" s="31" t="s">
        <v>173</v>
      </c>
      <c r="B29" s="20" t="s">
        <v>239</v>
      </c>
      <c r="C29" s="167">
        <f>+C30+C34+C35+C36</f>
        <v>356490000</v>
      </c>
      <c r="E29" s="49">
        <f>'9.1.1. sz. mell. '!C29+'9.1.2. sz. mell.'!C29</f>
        <v>356490000</v>
      </c>
      <c r="F29" s="755">
        <f t="shared" si="0"/>
        <v>0</v>
      </c>
    </row>
    <row r="30" spans="1:6" s="66" customFormat="1" ht="12" customHeight="1">
      <c r="A30" s="262" t="s">
        <v>240</v>
      </c>
      <c r="B30" s="248" t="s">
        <v>556</v>
      </c>
      <c r="C30" s="243">
        <f>SUM(C31:C33)</f>
        <v>317830000</v>
      </c>
      <c r="E30" s="49">
        <f>'9.1.1. sz. mell. '!C30+'9.1.2. sz. mell.'!C30</f>
        <v>317830000</v>
      </c>
      <c r="F30" s="755">
        <f t="shared" si="0"/>
        <v>0</v>
      </c>
    </row>
    <row r="31" spans="1:6" s="66" customFormat="1" ht="12" customHeight="1">
      <c r="A31" s="263" t="s">
        <v>241</v>
      </c>
      <c r="B31" s="249" t="s">
        <v>246</v>
      </c>
      <c r="C31" s="163">
        <f>8990000+70000000</f>
        <v>78990000</v>
      </c>
      <c r="E31" s="49">
        <f>'9.1.1. sz. mell. '!C31+'9.1.2. sz. mell.'!C31</f>
        <v>78990000</v>
      </c>
      <c r="F31" s="755">
        <f t="shared" si="0"/>
        <v>0</v>
      </c>
    </row>
    <row r="32" spans="1:6" s="66" customFormat="1" ht="12" customHeight="1">
      <c r="A32" s="263" t="s">
        <v>242</v>
      </c>
      <c r="B32" s="249" t="s">
        <v>595</v>
      </c>
      <c r="C32" s="166">
        <f>203840000+35000000</f>
        <v>238840000</v>
      </c>
      <c r="E32" s="49">
        <f>'9.1.1. sz. mell. '!C32+'9.1.2. sz. mell.'!C32</f>
        <v>238840000</v>
      </c>
      <c r="F32" s="755">
        <f t="shared" si="0"/>
        <v>0</v>
      </c>
    </row>
    <row r="33" spans="1:6" s="66" customFormat="1" ht="12" customHeight="1">
      <c r="A33" s="263" t="s">
        <v>497</v>
      </c>
      <c r="B33" s="249" t="s">
        <v>592</v>
      </c>
      <c r="C33" s="166"/>
      <c r="E33" s="49">
        <f>'9.1.1. sz. mell. '!C33+'9.1.2. sz. mell.'!C33</f>
        <v>0</v>
      </c>
      <c r="F33" s="755">
        <f t="shared" si="0"/>
        <v>0</v>
      </c>
    </row>
    <row r="34" spans="1:6" s="66" customFormat="1" ht="12" customHeight="1">
      <c r="A34" s="263" t="s">
        <v>243</v>
      </c>
      <c r="B34" s="249" t="s">
        <v>248</v>
      </c>
      <c r="C34" s="163">
        <f>27000000</f>
        <v>27000000</v>
      </c>
      <c r="E34" s="49">
        <f>'9.1.1. sz. mell. '!C34+'9.1.2. sz. mell.'!C34</f>
        <v>27000000</v>
      </c>
      <c r="F34" s="755">
        <f t="shared" si="0"/>
        <v>0</v>
      </c>
    </row>
    <row r="35" spans="1:6" s="66" customFormat="1" ht="12" customHeight="1">
      <c r="A35" s="263" t="s">
        <v>244</v>
      </c>
      <c r="B35" s="249" t="s">
        <v>249</v>
      </c>
      <c r="C35" s="163">
        <f>4060000-4000000</f>
        <v>60000</v>
      </c>
      <c r="E35" s="49">
        <f>'9.1.1. sz. mell. '!C35+'9.1.2. sz. mell.'!C35</f>
        <v>60000</v>
      </c>
      <c r="F35" s="755">
        <f t="shared" si="0"/>
        <v>0</v>
      </c>
    </row>
    <row r="36" spans="1:6" s="66" customFormat="1" ht="12" customHeight="1" thickBot="1">
      <c r="A36" s="264" t="s">
        <v>245</v>
      </c>
      <c r="B36" s="250" t="s">
        <v>250</v>
      </c>
      <c r="C36" s="237">
        <f>5500000+4000000+2100000</f>
        <v>11600000</v>
      </c>
      <c r="E36" s="49">
        <f>'9.1.1. sz. mell. '!C36+'9.1.2. sz. mell.'!C36</f>
        <v>11600000</v>
      </c>
      <c r="F36" s="755">
        <f t="shared" si="0"/>
        <v>0</v>
      </c>
    </row>
    <row r="37" spans="1:6" s="66" customFormat="1" ht="12" customHeight="1" thickBot="1">
      <c r="A37" s="31" t="s">
        <v>44</v>
      </c>
      <c r="B37" s="20" t="s">
        <v>499</v>
      </c>
      <c r="C37" s="162">
        <f>SUM(C38:C48)</f>
        <v>61903429</v>
      </c>
      <c r="E37" s="49">
        <f>'9.1.1. sz. mell. '!C37+'9.1.2. sz. mell.'!C37</f>
        <v>61903429</v>
      </c>
      <c r="F37" s="755">
        <f t="shared" si="0"/>
        <v>0</v>
      </c>
    </row>
    <row r="38" spans="1:6" s="66" customFormat="1" ht="12" customHeight="1">
      <c r="A38" s="262" t="s">
        <v>109</v>
      </c>
      <c r="B38" s="248" t="s">
        <v>253</v>
      </c>
      <c r="C38" s="754">
        <f>3937000+4000000+5000000+5500000-2941522</f>
        <v>15495478</v>
      </c>
      <c r="E38" s="49">
        <f>'9.1.1. sz. mell. '!C38+'9.1.2. sz. mell.'!C38</f>
        <v>15495478</v>
      </c>
      <c r="F38" s="755">
        <f t="shared" si="0"/>
        <v>0</v>
      </c>
    </row>
    <row r="39" spans="1:6" s="66" customFormat="1" ht="12" customHeight="1">
      <c r="A39" s="263" t="s">
        <v>110</v>
      </c>
      <c r="B39" s="249" t="s">
        <v>254</v>
      </c>
      <c r="C39" s="753">
        <f>100000+12004000+160000+555000+7128864</f>
        <v>19947864</v>
      </c>
      <c r="E39" s="49">
        <f>'9.1.1. sz. mell. '!C39+'9.1.2. sz. mell.'!C39</f>
        <v>19947864</v>
      </c>
      <c r="F39" s="755">
        <f t="shared" si="0"/>
        <v>0</v>
      </c>
    </row>
    <row r="40" spans="1:6" s="66" customFormat="1" ht="12" customHeight="1">
      <c r="A40" s="263" t="s">
        <v>111</v>
      </c>
      <c r="B40" s="249" t="s">
        <v>255</v>
      </c>
      <c r="C40" s="166">
        <f>8458000+947000+918292-195228+206000+158027-4705000+240000</f>
        <v>6027091</v>
      </c>
      <c r="E40" s="49">
        <f>'9.1.1. sz. mell. '!C40+'9.1.2. sz. mell.'!C40</f>
        <v>6027091</v>
      </c>
      <c r="F40" s="755">
        <f t="shared" si="0"/>
        <v>0</v>
      </c>
    </row>
    <row r="41" spans="1:6" s="66" customFormat="1" ht="12" customHeight="1">
      <c r="A41" s="263" t="s">
        <v>175</v>
      </c>
      <c r="B41" s="249" t="s">
        <v>256</v>
      </c>
      <c r="C41" s="166">
        <f>430000</f>
        <v>430000</v>
      </c>
      <c r="E41" s="49">
        <f>'9.1.1. sz. mell. '!C41+'9.1.2. sz. mell.'!C41</f>
        <v>430000</v>
      </c>
      <c r="F41" s="755">
        <f t="shared" si="0"/>
        <v>0</v>
      </c>
    </row>
    <row r="42" spans="1:6" s="66" customFormat="1" ht="12" customHeight="1">
      <c r="A42" s="263" t="s">
        <v>176</v>
      </c>
      <c r="B42" s="249" t="s">
        <v>257</v>
      </c>
      <c r="C42" s="166"/>
      <c r="E42" s="49">
        <f>'9.1.1. sz. mell. '!C42+'9.1.2. sz. mell.'!C42</f>
        <v>0</v>
      </c>
      <c r="F42" s="755">
        <f t="shared" si="0"/>
        <v>0</v>
      </c>
    </row>
    <row r="43" spans="1:6" s="66" customFormat="1" ht="12" customHeight="1">
      <c r="A43" s="263" t="s">
        <v>177</v>
      </c>
      <c r="B43" s="249" t="s">
        <v>258</v>
      </c>
      <c r="C43" s="753">
        <f>1063000+3242000+5853000+44000+378000+600000+1350000+270000+1485000+682000+195228+206000+40410+27000-516228+1924793</f>
        <v>16844203</v>
      </c>
      <c r="E43" s="49">
        <f>'9.1.1. sz. mell. '!C43+'9.1.2. sz. mell.'!C43</f>
        <v>16844203</v>
      </c>
      <c r="F43" s="755">
        <f t="shared" si="0"/>
        <v>0</v>
      </c>
    </row>
    <row r="44" spans="1:6" s="66" customFormat="1" ht="12" customHeight="1">
      <c r="A44" s="263" t="s">
        <v>178</v>
      </c>
      <c r="B44" s="249" t="s">
        <v>259</v>
      </c>
      <c r="C44" s="753">
        <v>1924793</v>
      </c>
      <c r="E44" s="49">
        <f>'9.1.1. sz. mell. '!C44+'9.1.2. sz. mell.'!C44</f>
        <v>1924793</v>
      </c>
      <c r="F44" s="755">
        <f t="shared" si="0"/>
        <v>0</v>
      </c>
    </row>
    <row r="45" spans="1:6" s="66" customFormat="1" ht="12" customHeight="1">
      <c r="A45" s="263" t="s">
        <v>179</v>
      </c>
      <c r="B45" s="249" t="s">
        <v>260</v>
      </c>
      <c r="C45" s="166">
        <v>30000</v>
      </c>
      <c r="E45" s="49">
        <f>'9.1.1. sz. mell. '!C45+'9.1.2. sz. mell.'!C45</f>
        <v>30000</v>
      </c>
      <c r="F45" s="755">
        <f t="shared" si="0"/>
        <v>0</v>
      </c>
    </row>
    <row r="46" spans="1:6" s="66" customFormat="1" ht="12" customHeight="1">
      <c r="A46" s="263" t="s">
        <v>251</v>
      </c>
      <c r="B46" s="249" t="s">
        <v>261</v>
      </c>
      <c r="C46" s="166"/>
      <c r="E46" s="49">
        <f>'9.1.1. sz. mell. '!C46+'9.1.2. sz. mell.'!C46</f>
        <v>0</v>
      </c>
      <c r="F46" s="755">
        <f t="shared" si="0"/>
        <v>0</v>
      </c>
    </row>
    <row r="47" spans="1:6" s="66" customFormat="1" ht="12" customHeight="1">
      <c r="A47" s="264" t="s">
        <v>252</v>
      </c>
      <c r="B47" s="250" t="s">
        <v>500</v>
      </c>
      <c r="C47" s="237">
        <f>500000</f>
        <v>500000</v>
      </c>
      <c r="E47" s="49">
        <f>'9.1.1. sz. mell. '!C47+'9.1.2. sz. mell.'!C47</f>
        <v>500000</v>
      </c>
      <c r="F47" s="755">
        <f t="shared" si="0"/>
        <v>0</v>
      </c>
    </row>
    <row r="48" spans="1:6" s="66" customFormat="1" ht="12" customHeight="1" thickBot="1">
      <c r="A48" s="264" t="s">
        <v>501</v>
      </c>
      <c r="B48" s="250" t="s">
        <v>262</v>
      </c>
      <c r="C48" s="237">
        <f>704000</f>
        <v>704000</v>
      </c>
      <c r="E48" s="49">
        <f>'9.1.1. sz. mell. '!C48+'9.1.2. sz. mell.'!C48</f>
        <v>704000</v>
      </c>
      <c r="F48" s="755">
        <f t="shared" si="0"/>
        <v>0</v>
      </c>
    </row>
    <row r="49" spans="1:6" s="66" customFormat="1" ht="12" customHeight="1" thickBot="1">
      <c r="A49" s="31" t="s">
        <v>45</v>
      </c>
      <c r="B49" s="20" t="s">
        <v>263</v>
      </c>
      <c r="C49" s="162">
        <f>SUM(C50:C54)</f>
        <v>47179000</v>
      </c>
      <c r="E49" s="49">
        <f>'9.1.1. sz. mell. '!C49+'9.1.2. sz. mell.'!C49</f>
        <v>47179000</v>
      </c>
      <c r="F49" s="755">
        <f t="shared" si="0"/>
        <v>0</v>
      </c>
    </row>
    <row r="50" spans="1:6" s="66" customFormat="1" ht="12" customHeight="1">
      <c r="A50" s="262" t="s">
        <v>112</v>
      </c>
      <c r="B50" s="248" t="s">
        <v>267</v>
      </c>
      <c r="C50" s="286"/>
      <c r="E50" s="49">
        <f>'9.1.1. sz. mell. '!C50+'9.1.2. sz. mell.'!C50</f>
        <v>0</v>
      </c>
      <c r="F50" s="755">
        <f t="shared" si="0"/>
        <v>0</v>
      </c>
    </row>
    <row r="51" spans="1:6" s="66" customFormat="1" ht="12" customHeight="1">
      <c r="A51" s="263" t="s">
        <v>113</v>
      </c>
      <c r="B51" s="249" t="s">
        <v>268</v>
      </c>
      <c r="C51" s="166">
        <f>25179000+22000000</f>
        <v>47179000</v>
      </c>
      <c r="E51" s="49">
        <f>'9.1.1. sz. mell. '!C51+'9.1.2. sz. mell.'!C51</f>
        <v>47179000</v>
      </c>
      <c r="F51" s="755">
        <f t="shared" si="0"/>
        <v>0</v>
      </c>
    </row>
    <row r="52" spans="1:6" s="66" customFormat="1" ht="12" customHeight="1">
      <c r="A52" s="263" t="s">
        <v>264</v>
      </c>
      <c r="B52" s="249" t="s">
        <v>269</v>
      </c>
      <c r="C52" s="166"/>
      <c r="E52" s="49">
        <f>'9.1.1. sz. mell. '!C52+'9.1.2. sz. mell.'!C52</f>
        <v>0</v>
      </c>
      <c r="F52" s="755">
        <f t="shared" si="0"/>
        <v>0</v>
      </c>
    </row>
    <row r="53" spans="1:6" s="66" customFormat="1" ht="12" customHeight="1">
      <c r="A53" s="263" t="s">
        <v>265</v>
      </c>
      <c r="B53" s="249" t="s">
        <v>270</v>
      </c>
      <c r="C53" s="166"/>
      <c r="E53" s="49">
        <f>'9.1.1. sz. mell. '!C53+'9.1.2. sz. mell.'!C53</f>
        <v>0</v>
      </c>
      <c r="F53" s="755">
        <f t="shared" si="0"/>
        <v>0</v>
      </c>
    </row>
    <row r="54" spans="1:6" s="66" customFormat="1" ht="12" customHeight="1" thickBot="1">
      <c r="A54" s="264" t="s">
        <v>266</v>
      </c>
      <c r="B54" s="250" t="s">
        <v>271</v>
      </c>
      <c r="C54" s="237"/>
      <c r="E54" s="49">
        <f>'9.1.1. sz. mell. '!C54+'9.1.2. sz. mell.'!C54</f>
        <v>0</v>
      </c>
      <c r="F54" s="755">
        <f t="shared" si="0"/>
        <v>0</v>
      </c>
    </row>
    <row r="55" spans="1:6" s="66" customFormat="1" ht="12" customHeight="1" thickBot="1">
      <c r="A55" s="31" t="s">
        <v>180</v>
      </c>
      <c r="B55" s="20" t="s">
        <v>272</v>
      </c>
      <c r="C55" s="162">
        <f>SUM(C56:C58)</f>
        <v>6024000</v>
      </c>
      <c r="E55" s="49">
        <f>'9.1.1. sz. mell. '!C55+'9.1.2. sz. mell.'!C55</f>
        <v>6024000</v>
      </c>
      <c r="F55" s="755">
        <f t="shared" si="0"/>
        <v>0</v>
      </c>
    </row>
    <row r="56" spans="1:6" s="66" customFormat="1" ht="12" customHeight="1">
      <c r="A56" s="262" t="s">
        <v>114</v>
      </c>
      <c r="B56" s="248" t="s">
        <v>273</v>
      </c>
      <c r="C56" s="164"/>
      <c r="E56" s="49">
        <f>'9.1.1. sz. mell. '!C56+'9.1.2. sz. mell.'!C56</f>
        <v>0</v>
      </c>
      <c r="F56" s="755">
        <f t="shared" si="0"/>
        <v>0</v>
      </c>
    </row>
    <row r="57" spans="1:6" s="66" customFormat="1" ht="12" customHeight="1">
      <c r="A57" s="263" t="s">
        <v>115</v>
      </c>
      <c r="B57" s="249" t="s">
        <v>404</v>
      </c>
      <c r="C57" s="166">
        <f>383000+1566000</f>
        <v>1949000</v>
      </c>
      <c r="E57" s="49">
        <f>'9.1.1. sz. mell. '!C57+'9.1.2. sz. mell.'!C57</f>
        <v>1949000</v>
      </c>
      <c r="F57" s="755">
        <f t="shared" si="0"/>
        <v>0</v>
      </c>
    </row>
    <row r="58" spans="1:6" s="66" customFormat="1" ht="12" customHeight="1">
      <c r="A58" s="263" t="s">
        <v>276</v>
      </c>
      <c r="B58" s="249" t="s">
        <v>274</v>
      </c>
      <c r="C58" s="166">
        <f>4075000</f>
        <v>4075000</v>
      </c>
      <c r="E58" s="49">
        <f>'9.1.1. sz. mell. '!C58+'9.1.2. sz. mell.'!C58</f>
        <v>4075000</v>
      </c>
      <c r="F58" s="755">
        <f t="shared" si="0"/>
        <v>0</v>
      </c>
    </row>
    <row r="59" spans="1:6" s="66" customFormat="1" ht="12" customHeight="1" thickBot="1">
      <c r="A59" s="264" t="s">
        <v>277</v>
      </c>
      <c r="B59" s="250" t="s">
        <v>275</v>
      </c>
      <c r="C59" s="165"/>
      <c r="E59" s="49">
        <f>'9.1.1. sz. mell. '!C59+'9.1.2. sz. mell.'!C59</f>
        <v>0</v>
      </c>
      <c r="F59" s="755">
        <f t="shared" si="0"/>
        <v>0</v>
      </c>
    </row>
    <row r="60" spans="1:6" s="66" customFormat="1" ht="12" customHeight="1" thickBot="1">
      <c r="A60" s="31" t="s">
        <v>47</v>
      </c>
      <c r="B60" s="157" t="s">
        <v>278</v>
      </c>
      <c r="C60" s="162">
        <f>SUM(C61:C63)</f>
        <v>0</v>
      </c>
      <c r="E60" s="49">
        <f>'9.1.1. sz. mell. '!C60+'9.1.2. sz. mell.'!C60</f>
        <v>0</v>
      </c>
      <c r="F60" s="755">
        <f t="shared" si="0"/>
        <v>0</v>
      </c>
    </row>
    <row r="61" spans="1:6" s="66" customFormat="1" ht="12" customHeight="1">
      <c r="A61" s="262" t="s">
        <v>181</v>
      </c>
      <c r="B61" s="248" t="s">
        <v>280</v>
      </c>
      <c r="C61" s="166"/>
      <c r="E61" s="49">
        <f>'9.1.1. sz. mell. '!C61+'9.1.2. sz. mell.'!C61</f>
        <v>0</v>
      </c>
      <c r="F61" s="755">
        <f t="shared" si="0"/>
        <v>0</v>
      </c>
    </row>
    <row r="62" spans="1:6" s="66" customFormat="1" ht="12" customHeight="1">
      <c r="A62" s="263" t="s">
        <v>182</v>
      </c>
      <c r="B62" s="249" t="s">
        <v>405</v>
      </c>
      <c r="C62" s="166"/>
      <c r="E62" s="49">
        <f>'9.1.1. sz. mell. '!C62+'9.1.2. sz. mell.'!C62</f>
        <v>0</v>
      </c>
      <c r="F62" s="755">
        <f t="shared" si="0"/>
        <v>0</v>
      </c>
    </row>
    <row r="63" spans="1:6" s="66" customFormat="1" ht="12" customHeight="1">
      <c r="A63" s="263" t="s">
        <v>204</v>
      </c>
      <c r="B63" s="249" t="s">
        <v>281</v>
      </c>
      <c r="C63" s="166"/>
      <c r="E63" s="49">
        <f>'9.1.1. sz. mell. '!C63+'9.1.2. sz. mell.'!C63</f>
        <v>0</v>
      </c>
      <c r="F63" s="755">
        <f t="shared" si="0"/>
        <v>0</v>
      </c>
    </row>
    <row r="64" spans="1:6" s="66" customFormat="1" ht="12" customHeight="1" thickBot="1">
      <c r="A64" s="264" t="s">
        <v>279</v>
      </c>
      <c r="B64" s="250" t="s">
        <v>282</v>
      </c>
      <c r="C64" s="166"/>
      <c r="E64" s="49">
        <f>'9.1.1. sz. mell. '!C64+'9.1.2. sz. mell.'!C64</f>
        <v>0</v>
      </c>
      <c r="F64" s="755">
        <f t="shared" si="0"/>
        <v>0</v>
      </c>
    </row>
    <row r="65" spans="1:6" s="66" customFormat="1" ht="12" customHeight="1" thickBot="1">
      <c r="A65" s="31" t="s">
        <v>48</v>
      </c>
      <c r="B65" s="20" t="s">
        <v>283</v>
      </c>
      <c r="C65" s="167">
        <f>+C8+C15+C22+C29+C37+C49+C55+C60</f>
        <v>2517638828</v>
      </c>
      <c r="E65" s="49">
        <f>'9.1.1. sz. mell. '!C65+'9.1.2. sz. mell.'!C65</f>
        <v>2517638828</v>
      </c>
      <c r="F65" s="755">
        <f t="shared" si="0"/>
        <v>0</v>
      </c>
    </row>
    <row r="66" spans="1:6" s="66" customFormat="1" ht="12" customHeight="1" thickBot="1">
      <c r="A66" s="265" t="s">
        <v>373</v>
      </c>
      <c r="B66" s="157" t="s">
        <v>285</v>
      </c>
      <c r="C66" s="162">
        <f>SUM(C67:C69)</f>
        <v>187500000</v>
      </c>
      <c r="E66" s="49">
        <f>'9.1.1. sz. mell. '!C66+'9.1.2. sz. mell.'!C66</f>
        <v>187500000</v>
      </c>
      <c r="F66" s="755">
        <f t="shared" si="0"/>
        <v>0</v>
      </c>
    </row>
    <row r="67" spans="1:6" s="66" customFormat="1" ht="12" customHeight="1">
      <c r="A67" s="262" t="s">
        <v>316</v>
      </c>
      <c r="B67" s="248" t="s">
        <v>286</v>
      </c>
      <c r="C67" s="166">
        <f>44100000+37900000+5500000</f>
        <v>87500000</v>
      </c>
      <c r="E67" s="49">
        <f>'9.1.1. sz. mell. '!C67+'9.1.2. sz. mell.'!C67</f>
        <v>87500000</v>
      </c>
      <c r="F67" s="755">
        <f t="shared" si="0"/>
        <v>0</v>
      </c>
    </row>
    <row r="68" spans="1:6" s="66" customFormat="1" ht="12" customHeight="1">
      <c r="A68" s="263" t="s">
        <v>325</v>
      </c>
      <c r="B68" s="249" t="s">
        <v>287</v>
      </c>
      <c r="C68" s="166">
        <v>100000000</v>
      </c>
      <c r="E68" s="49">
        <f>'9.1.1. sz. mell. '!C68+'9.1.2. sz. mell.'!C68</f>
        <v>100000000</v>
      </c>
      <c r="F68" s="755">
        <f t="shared" si="0"/>
        <v>0</v>
      </c>
    </row>
    <row r="69" spans="1:6" s="66" customFormat="1" ht="12" customHeight="1" thickBot="1">
      <c r="A69" s="264" t="s">
        <v>326</v>
      </c>
      <c r="B69" s="251" t="s">
        <v>288</v>
      </c>
      <c r="C69" s="166"/>
      <c r="E69" s="49">
        <f>'9.1.1. sz. mell. '!C69+'9.1.2. sz. mell.'!C69</f>
        <v>0</v>
      </c>
      <c r="F69" s="755">
        <f t="shared" si="0"/>
        <v>0</v>
      </c>
    </row>
    <row r="70" spans="1:6" s="66" customFormat="1" ht="12" customHeight="1" thickBot="1">
      <c r="A70" s="265" t="s">
        <v>289</v>
      </c>
      <c r="B70" s="157" t="s">
        <v>290</v>
      </c>
      <c r="C70" s="162">
        <f>SUM(C71:C74)</f>
        <v>0</v>
      </c>
      <c r="E70" s="49">
        <f>'9.1.1. sz. mell. '!C70+'9.1.2. sz. mell.'!C70</f>
        <v>0</v>
      </c>
      <c r="F70" s="755">
        <f t="shared" si="0"/>
        <v>0</v>
      </c>
    </row>
    <row r="71" spans="1:6" s="66" customFormat="1" ht="12" customHeight="1">
      <c r="A71" s="262" t="s">
        <v>160</v>
      </c>
      <c r="B71" s="248" t="s">
        <v>291</v>
      </c>
      <c r="C71" s="166"/>
      <c r="E71" s="49">
        <f>'9.1.1. sz. mell. '!C71+'9.1.2. sz. mell.'!C71</f>
        <v>0</v>
      </c>
      <c r="F71" s="755">
        <f t="shared" si="0"/>
        <v>0</v>
      </c>
    </row>
    <row r="72" spans="1:6" s="66" customFormat="1" ht="12" customHeight="1">
      <c r="A72" s="263" t="s">
        <v>161</v>
      </c>
      <c r="B72" s="249" t="s">
        <v>292</v>
      </c>
      <c r="C72" s="166"/>
      <c r="E72" s="49">
        <f>'9.1.1. sz. mell. '!C72+'9.1.2. sz. mell.'!C72</f>
        <v>0</v>
      </c>
      <c r="F72" s="755">
        <f t="shared" si="0"/>
        <v>0</v>
      </c>
    </row>
    <row r="73" spans="1:6" s="66" customFormat="1" ht="12" customHeight="1">
      <c r="A73" s="263" t="s">
        <v>317</v>
      </c>
      <c r="B73" s="249" t="s">
        <v>293</v>
      </c>
      <c r="C73" s="166"/>
      <c r="E73" s="49">
        <f>'9.1.1. sz. mell. '!C73+'9.1.2. sz. mell.'!C73</f>
        <v>0</v>
      </c>
      <c r="F73" s="755">
        <f aca="true" t="shared" si="1" ref="F73:F136">C73-E73</f>
        <v>0</v>
      </c>
    </row>
    <row r="74" spans="1:6" s="66" customFormat="1" ht="12" customHeight="1" thickBot="1">
      <c r="A74" s="264" t="s">
        <v>318</v>
      </c>
      <c r="B74" s="250" t="s">
        <v>294</v>
      </c>
      <c r="C74" s="166"/>
      <c r="E74" s="49">
        <f>'9.1.1. sz. mell. '!C74+'9.1.2. sz. mell.'!C74</f>
        <v>0</v>
      </c>
      <c r="F74" s="755">
        <f t="shared" si="1"/>
        <v>0</v>
      </c>
    </row>
    <row r="75" spans="1:6" s="66" customFormat="1" ht="12" customHeight="1" thickBot="1">
      <c r="A75" s="265" t="s">
        <v>295</v>
      </c>
      <c r="B75" s="157" t="s">
        <v>296</v>
      </c>
      <c r="C75" s="162">
        <f>SUM(C76:C77)</f>
        <v>289331423</v>
      </c>
      <c r="E75" s="49">
        <f>'9.1.1. sz. mell. '!C75+'9.1.2. sz. mell.'!C75</f>
        <v>289331423</v>
      </c>
      <c r="F75" s="755">
        <f t="shared" si="1"/>
        <v>0</v>
      </c>
    </row>
    <row r="76" spans="1:6" s="66" customFormat="1" ht="12" customHeight="1">
      <c r="A76" s="262" t="s">
        <v>319</v>
      </c>
      <c r="B76" s="248" t="s">
        <v>297</v>
      </c>
      <c r="C76" s="166">
        <v>289331423</v>
      </c>
      <c r="E76" s="49">
        <f>'9.1.1. sz. mell. '!C76+'9.1.2. sz. mell.'!C76</f>
        <v>289331423</v>
      </c>
      <c r="F76" s="755">
        <f t="shared" si="1"/>
        <v>0</v>
      </c>
    </row>
    <row r="77" spans="1:6" s="66" customFormat="1" ht="12" customHeight="1" thickBot="1">
      <c r="A77" s="264" t="s">
        <v>320</v>
      </c>
      <c r="B77" s="250" t="s">
        <v>298</v>
      </c>
      <c r="C77" s="166"/>
      <c r="E77" s="49">
        <f>'9.1.1. sz. mell. '!C77+'9.1.2. sz. mell.'!C77</f>
        <v>0</v>
      </c>
      <c r="F77" s="755">
        <f t="shared" si="1"/>
        <v>0</v>
      </c>
    </row>
    <row r="78" spans="1:6" s="65" customFormat="1" ht="12" customHeight="1" thickBot="1">
      <c r="A78" s="265" t="s">
        <v>299</v>
      </c>
      <c r="B78" s="157" t="s">
        <v>300</v>
      </c>
      <c r="C78" s="162">
        <f>SUM(C79:C81)</f>
        <v>0</v>
      </c>
      <c r="E78" s="49">
        <f>'9.1.1. sz. mell. '!C78+'9.1.2. sz. mell.'!C78</f>
        <v>0</v>
      </c>
      <c r="F78" s="755">
        <f t="shared" si="1"/>
        <v>0</v>
      </c>
    </row>
    <row r="79" spans="1:6" s="66" customFormat="1" ht="12" customHeight="1">
      <c r="A79" s="262" t="s">
        <v>321</v>
      </c>
      <c r="B79" s="248" t="s">
        <v>301</v>
      </c>
      <c r="C79" s="166"/>
      <c r="E79" s="49">
        <f>'9.1.1. sz. mell. '!C79+'9.1.2. sz. mell.'!C79</f>
        <v>0</v>
      </c>
      <c r="F79" s="755">
        <f t="shared" si="1"/>
        <v>0</v>
      </c>
    </row>
    <row r="80" spans="1:6" s="66" customFormat="1" ht="12" customHeight="1">
      <c r="A80" s="263" t="s">
        <v>322</v>
      </c>
      <c r="B80" s="249" t="s">
        <v>302</v>
      </c>
      <c r="C80" s="166"/>
      <c r="E80" s="49">
        <f>'9.1.1. sz. mell. '!C80+'9.1.2. sz. mell.'!C80</f>
        <v>0</v>
      </c>
      <c r="F80" s="755">
        <f t="shared" si="1"/>
        <v>0</v>
      </c>
    </row>
    <row r="81" spans="1:6" s="66" customFormat="1" ht="12" customHeight="1" thickBot="1">
      <c r="A81" s="264" t="s">
        <v>323</v>
      </c>
      <c r="B81" s="250" t="s">
        <v>303</v>
      </c>
      <c r="C81" s="166"/>
      <c r="E81" s="49">
        <f>'9.1.1. sz. mell. '!C81+'9.1.2. sz. mell.'!C81</f>
        <v>0</v>
      </c>
      <c r="F81" s="755">
        <f t="shared" si="1"/>
        <v>0</v>
      </c>
    </row>
    <row r="82" spans="1:6" s="66" customFormat="1" ht="12" customHeight="1" thickBot="1">
      <c r="A82" s="265" t="s">
        <v>304</v>
      </c>
      <c r="B82" s="157" t="s">
        <v>324</v>
      </c>
      <c r="C82" s="162">
        <f>SUM(C83:C86)</f>
        <v>0</v>
      </c>
      <c r="E82" s="49">
        <f>'9.1.1. sz. mell. '!C82+'9.1.2. sz. mell.'!C82</f>
        <v>0</v>
      </c>
      <c r="F82" s="755">
        <f t="shared" si="1"/>
        <v>0</v>
      </c>
    </row>
    <row r="83" spans="1:6" s="66" customFormat="1" ht="12" customHeight="1">
      <c r="A83" s="266" t="s">
        <v>305</v>
      </c>
      <c r="B83" s="248" t="s">
        <v>306</v>
      </c>
      <c r="C83" s="166"/>
      <c r="E83" s="49">
        <f>'9.1.1. sz. mell. '!C83+'9.1.2. sz. mell.'!C83</f>
        <v>0</v>
      </c>
      <c r="F83" s="755">
        <f t="shared" si="1"/>
        <v>0</v>
      </c>
    </row>
    <row r="84" spans="1:6" s="66" customFormat="1" ht="12" customHeight="1">
      <c r="A84" s="267" t="s">
        <v>307</v>
      </c>
      <c r="B84" s="249" t="s">
        <v>308</v>
      </c>
      <c r="C84" s="166"/>
      <c r="E84" s="49">
        <f>'9.1.1. sz. mell. '!C84+'9.1.2. sz. mell.'!C84</f>
        <v>0</v>
      </c>
      <c r="F84" s="755">
        <f t="shared" si="1"/>
        <v>0</v>
      </c>
    </row>
    <row r="85" spans="1:6" s="66" customFormat="1" ht="12" customHeight="1">
      <c r="A85" s="267" t="s">
        <v>309</v>
      </c>
      <c r="B85" s="249" t="s">
        <v>310</v>
      </c>
      <c r="C85" s="166"/>
      <c r="E85" s="49">
        <f>'9.1.1. sz. mell. '!C85+'9.1.2. sz. mell.'!C85</f>
        <v>0</v>
      </c>
      <c r="F85" s="755">
        <f t="shared" si="1"/>
        <v>0</v>
      </c>
    </row>
    <row r="86" spans="1:6" s="65" customFormat="1" ht="12" customHeight="1" thickBot="1">
      <c r="A86" s="268" t="s">
        <v>311</v>
      </c>
      <c r="B86" s="250" t="s">
        <v>312</v>
      </c>
      <c r="C86" s="166"/>
      <c r="E86" s="49">
        <f>'9.1.1. sz. mell. '!C86+'9.1.2. sz. mell.'!C86</f>
        <v>0</v>
      </c>
      <c r="F86" s="755">
        <f t="shared" si="1"/>
        <v>0</v>
      </c>
    </row>
    <row r="87" spans="1:6" s="65" customFormat="1" ht="12" customHeight="1" thickBot="1">
      <c r="A87" s="265" t="s">
        <v>313</v>
      </c>
      <c r="B87" s="157" t="s">
        <v>504</v>
      </c>
      <c r="C87" s="287"/>
      <c r="E87" s="49">
        <f>'9.1.1. sz. mell. '!C87+'9.1.2. sz. mell.'!C87</f>
        <v>0</v>
      </c>
      <c r="F87" s="755">
        <f t="shared" si="1"/>
        <v>0</v>
      </c>
    </row>
    <row r="88" spans="1:6" s="65" customFormat="1" ht="12" customHeight="1" thickBot="1">
      <c r="A88" s="265" t="s">
        <v>557</v>
      </c>
      <c r="B88" s="157" t="s">
        <v>314</v>
      </c>
      <c r="C88" s="287"/>
      <c r="E88" s="49">
        <f>'9.1.1. sz. mell. '!C88+'9.1.2. sz. mell.'!C88</f>
        <v>0</v>
      </c>
      <c r="F88" s="755">
        <f t="shared" si="1"/>
        <v>0</v>
      </c>
    </row>
    <row r="89" spans="1:6" s="65" customFormat="1" ht="12" customHeight="1" thickBot="1">
      <c r="A89" s="265" t="s">
        <v>558</v>
      </c>
      <c r="B89" s="255" t="s">
        <v>505</v>
      </c>
      <c r="C89" s="167">
        <f>+C66+C70+C75+C78+C82+C88+C87</f>
        <v>476831423</v>
      </c>
      <c r="E89" s="49">
        <f>'9.1.1. sz. mell. '!C89+'9.1.2. sz. mell.'!C89</f>
        <v>476831423</v>
      </c>
      <c r="F89" s="755">
        <f t="shared" si="1"/>
        <v>0</v>
      </c>
    </row>
    <row r="90" spans="1:6" s="65" customFormat="1" ht="12" customHeight="1" thickBot="1">
      <c r="A90" s="269" t="s">
        <v>559</v>
      </c>
      <c r="B90" s="256" t="s">
        <v>560</v>
      </c>
      <c r="C90" s="167">
        <f>+C65+C89</f>
        <v>2994470251</v>
      </c>
      <c r="E90" s="49">
        <f>'9.1.1. sz. mell. '!C90+'9.1.2. sz. mell.'!C90</f>
        <v>2994470251</v>
      </c>
      <c r="F90" s="755">
        <f t="shared" si="1"/>
        <v>0</v>
      </c>
    </row>
    <row r="91" spans="1:6" s="66" customFormat="1" ht="15" customHeight="1" thickBot="1">
      <c r="A91" s="136"/>
      <c r="B91" s="137"/>
      <c r="C91" s="222"/>
      <c r="E91" s="49">
        <f>'9.1.1. sz. mell. '!C91+'9.1.2. sz. mell.'!C91</f>
        <v>0</v>
      </c>
      <c r="F91" s="755">
        <f t="shared" si="1"/>
        <v>0</v>
      </c>
    </row>
    <row r="92" spans="1:6" s="49" customFormat="1" ht="16.5" customHeight="1" thickBot="1">
      <c r="A92" s="140"/>
      <c r="B92" s="141" t="s">
        <v>79</v>
      </c>
      <c r="C92" s="224"/>
      <c r="E92" s="49">
        <f>'9.1.1. sz. mell. '!C92+'9.1.2. sz. mell.'!C92</f>
        <v>0</v>
      </c>
      <c r="F92" s="755">
        <f t="shared" si="1"/>
        <v>0</v>
      </c>
    </row>
    <row r="93" spans="1:6" s="67" customFormat="1" ht="12" customHeight="1" thickBot="1">
      <c r="A93" s="240" t="s">
        <v>40</v>
      </c>
      <c r="B93" s="25" t="s">
        <v>571</v>
      </c>
      <c r="C93" s="161">
        <f>+C94+C95+C96+C97+C98+C111</f>
        <v>844771159</v>
      </c>
      <c r="E93" s="49">
        <f>'9.1.1. sz. mell. '!C93+'9.1.2. sz. mell.'!C93</f>
        <v>844771159</v>
      </c>
      <c r="F93" s="755">
        <f t="shared" si="1"/>
        <v>0</v>
      </c>
    </row>
    <row r="94" spans="1:6" ht="12" customHeight="1">
      <c r="A94" s="270" t="s">
        <v>116</v>
      </c>
      <c r="B94" s="9" t="s">
        <v>71</v>
      </c>
      <c r="C94" s="756">
        <f>25364000+485000+6010000+3749000+165142000+48000+105000+8381882+232903371-282000+589000+24000+281000+326126+85501355+54000-231000+76000+2550000-132000-1343902+2037000+481496+3375000+4000-279139483-198000-388424+2921000+1577323</f>
        <v>260270744</v>
      </c>
      <c r="E94" s="49">
        <f>'9.1.1. sz. mell. '!C94+'9.1.2. sz. mell.'!C94</f>
        <v>260270744</v>
      </c>
      <c r="F94" s="755">
        <f t="shared" si="1"/>
        <v>0</v>
      </c>
    </row>
    <row r="95" spans="1:6" ht="12" customHeight="1">
      <c r="A95" s="263" t="s">
        <v>117</v>
      </c>
      <c r="B95" s="7" t="s">
        <v>183</v>
      </c>
      <c r="C95" s="753">
        <f>5239000+143000+1233000+14000+1652000+19299000+10000+23000+922005+25618911-63900+117000+10800+31000+35874+9405149+12000-45738+37984+561000-26136-235888+448140+210221+911250-31590193-39204+388424+578359+312310</f>
        <v>35212368</v>
      </c>
      <c r="E95" s="49">
        <f>'9.1.1. sz. mell. '!C95+'9.1.2. sz. mell.'!C95</f>
        <v>35212368</v>
      </c>
      <c r="F95" s="755">
        <f t="shared" si="1"/>
        <v>0</v>
      </c>
    </row>
    <row r="96" spans="1:6" ht="12" customHeight="1">
      <c r="A96" s="263" t="s">
        <v>118</v>
      </c>
      <c r="B96" s="7" t="s">
        <v>152</v>
      </c>
      <c r="C96" s="757">
        <f>11475000+835000+4801000+2722822+944166+8715000+1817000+17736000+735000+300000+8485000+34925000+628800+40773000+3429000+11212000+576000+3351000+1682000+16980000+46750042+1200000+4573000+1350000+376000+36794904+295900+401000+20000+812000+400000+411000+1982000+1600000+270000+26600000+3939600-8488680+91440+869950+918292+40808090+140000+40446+7585000+600000+706000+361225+6840000+918292+137360+80000+570939+433000+46000+8760131-2866987-800001+1246500+68374+300000+143504+214000-4705000+138750+254000+381000+2749550+394000+326000-19000000+454000+2267725-4000-558800+1524000+1905000-2694940-31916082+1924793+5080000</f>
        <v>318141105</v>
      </c>
      <c r="E96" s="49">
        <f>'9.1.1. sz. mell. '!C96+'9.1.2. sz. mell.'!C96</f>
        <v>318141105</v>
      </c>
      <c r="F96" s="755">
        <f t="shared" si="1"/>
        <v>0</v>
      </c>
    </row>
    <row r="97" spans="1:6" ht="12" customHeight="1">
      <c r="A97" s="263" t="s">
        <v>119</v>
      </c>
      <c r="B97" s="10" t="s">
        <v>184</v>
      </c>
      <c r="C97" s="757">
        <f>70980000+5000-6906260-5080000</f>
        <v>58998740</v>
      </c>
      <c r="E97" s="49">
        <f>'9.1.1. sz. mell. '!C97+'9.1.2. sz. mell.'!C97</f>
        <v>58998740</v>
      </c>
      <c r="F97" s="755">
        <f t="shared" si="1"/>
        <v>0</v>
      </c>
    </row>
    <row r="98" spans="1:6" ht="12" customHeight="1">
      <c r="A98" s="263" t="s">
        <v>130</v>
      </c>
      <c r="B98" s="18" t="s">
        <v>185</v>
      </c>
      <c r="C98" s="237">
        <f>SUM(C99:C110)</f>
        <v>85130011</v>
      </c>
      <c r="E98" s="49">
        <f>'9.1.1. sz. mell. '!C98+'9.1.2. sz. mell.'!C98</f>
        <v>85130011</v>
      </c>
      <c r="F98" s="755">
        <f t="shared" si="1"/>
        <v>0</v>
      </c>
    </row>
    <row r="99" spans="1:6" ht="12" customHeight="1">
      <c r="A99" s="263" t="s">
        <v>120</v>
      </c>
      <c r="B99" s="7" t="s">
        <v>561</v>
      </c>
      <c r="C99" s="757">
        <f>1500+6098534+1143510+114463+2792500+6504</f>
        <v>10157011</v>
      </c>
      <c r="E99" s="49">
        <f>'9.1.1. sz. mell. '!C99+'9.1.2. sz. mell.'!C99</f>
        <v>10157011</v>
      </c>
      <c r="F99" s="755">
        <f t="shared" si="1"/>
        <v>0</v>
      </c>
    </row>
    <row r="100" spans="1:6" ht="12" customHeight="1">
      <c r="A100" s="263" t="s">
        <v>121</v>
      </c>
      <c r="B100" s="91" t="s">
        <v>509</v>
      </c>
      <c r="C100" s="237"/>
      <c r="E100" s="49">
        <f>'9.1.1. sz. mell. '!C100+'9.1.2. sz. mell.'!C100</f>
        <v>0</v>
      </c>
      <c r="F100" s="755">
        <f t="shared" si="1"/>
        <v>0</v>
      </c>
    </row>
    <row r="101" spans="1:6" ht="12" customHeight="1">
      <c r="A101" s="263" t="s">
        <v>131</v>
      </c>
      <c r="B101" s="91" t="s">
        <v>510</v>
      </c>
      <c r="C101" s="237"/>
      <c r="E101" s="49">
        <f>'9.1.1. sz. mell. '!C101+'9.1.2. sz. mell.'!C101</f>
        <v>0</v>
      </c>
      <c r="F101" s="755">
        <f t="shared" si="1"/>
        <v>0</v>
      </c>
    </row>
    <row r="102" spans="1:6" ht="12" customHeight="1">
      <c r="A102" s="263" t="s">
        <v>132</v>
      </c>
      <c r="B102" s="91" t="s">
        <v>330</v>
      </c>
      <c r="C102" s="237"/>
      <c r="E102" s="49">
        <f>'9.1.1. sz. mell. '!C102+'9.1.2. sz. mell.'!C102</f>
        <v>0</v>
      </c>
      <c r="F102" s="755">
        <f t="shared" si="1"/>
        <v>0</v>
      </c>
    </row>
    <row r="103" spans="1:6" ht="12" customHeight="1">
      <c r="A103" s="263" t="s">
        <v>133</v>
      </c>
      <c r="B103" s="92" t="s">
        <v>331</v>
      </c>
      <c r="C103" s="237"/>
      <c r="E103" s="49">
        <f>'9.1.1. sz. mell. '!C103+'9.1.2. sz. mell.'!C103</f>
        <v>0</v>
      </c>
      <c r="F103" s="755">
        <f t="shared" si="1"/>
        <v>0</v>
      </c>
    </row>
    <row r="104" spans="1:6" ht="12" customHeight="1">
      <c r="A104" s="263" t="s">
        <v>134</v>
      </c>
      <c r="B104" s="92" t="s">
        <v>332</v>
      </c>
      <c r="C104" s="237"/>
      <c r="E104" s="49">
        <f>'9.1.1. sz. mell. '!C104+'9.1.2. sz. mell.'!C104</f>
        <v>0</v>
      </c>
      <c r="F104" s="755">
        <f t="shared" si="1"/>
        <v>0</v>
      </c>
    </row>
    <row r="105" spans="1:6" ht="12" customHeight="1">
      <c r="A105" s="263" t="s">
        <v>136</v>
      </c>
      <c r="B105" s="91" t="s">
        <v>333</v>
      </c>
      <c r="C105" s="237">
        <f>60754-60754</f>
        <v>0</v>
      </c>
      <c r="E105" s="49">
        <f>'9.1.1. sz. mell. '!C105+'9.1.2. sz. mell.'!C105</f>
        <v>0</v>
      </c>
      <c r="F105" s="755">
        <f t="shared" si="1"/>
        <v>0</v>
      </c>
    </row>
    <row r="106" spans="1:6" ht="12" customHeight="1">
      <c r="A106" s="263" t="s">
        <v>186</v>
      </c>
      <c r="B106" s="91" t="s">
        <v>334</v>
      </c>
      <c r="C106" s="237"/>
      <c r="E106" s="49">
        <f>'9.1.1. sz. mell. '!C106+'9.1.2. sz. mell.'!C106</f>
        <v>0</v>
      </c>
      <c r="F106" s="755">
        <f t="shared" si="1"/>
        <v>0</v>
      </c>
    </row>
    <row r="107" spans="1:6" ht="12" customHeight="1">
      <c r="A107" s="263" t="s">
        <v>328</v>
      </c>
      <c r="B107" s="92" t="s">
        <v>335</v>
      </c>
      <c r="C107" s="237"/>
      <c r="E107" s="49">
        <f>'9.1.1. sz. mell. '!C107+'9.1.2. sz. mell.'!C107</f>
        <v>0</v>
      </c>
      <c r="F107" s="755">
        <f t="shared" si="1"/>
        <v>0</v>
      </c>
    </row>
    <row r="108" spans="1:6" ht="12" customHeight="1">
      <c r="A108" s="271" t="s">
        <v>329</v>
      </c>
      <c r="B108" s="93" t="s">
        <v>336</v>
      </c>
      <c r="C108" s="237"/>
      <c r="E108" s="49">
        <f>'9.1.1. sz. mell. '!C108+'9.1.2. sz. mell.'!C108</f>
        <v>0</v>
      </c>
      <c r="F108" s="755">
        <f t="shared" si="1"/>
        <v>0</v>
      </c>
    </row>
    <row r="109" spans="1:6" ht="12" customHeight="1">
      <c r="A109" s="263" t="s">
        <v>511</v>
      </c>
      <c r="B109" s="93" t="s">
        <v>337</v>
      </c>
      <c r="C109" s="237"/>
      <c r="E109" s="49">
        <f>'9.1.1. sz. mell. '!C109+'9.1.2. sz. mell.'!C109</f>
        <v>0</v>
      </c>
      <c r="F109" s="755">
        <f t="shared" si="1"/>
        <v>0</v>
      </c>
    </row>
    <row r="110" spans="1:6" ht="12" customHeight="1">
      <c r="A110" s="263" t="s">
        <v>512</v>
      </c>
      <c r="B110" s="92" t="s">
        <v>338</v>
      </c>
      <c r="C110" s="753">
        <f>536000+11389000+8562000+16678000+3500000+6600000+2000000+163000+4568000+4000000+7351000+2975000+250000+3000000+60000+80000+3261000</f>
        <v>74973000</v>
      </c>
      <c r="E110" s="49">
        <f>'9.1.1. sz. mell. '!C110+'9.1.2. sz. mell.'!C110</f>
        <v>74973000</v>
      </c>
      <c r="F110" s="755">
        <f t="shared" si="1"/>
        <v>0</v>
      </c>
    </row>
    <row r="111" spans="1:6" ht="12" customHeight="1">
      <c r="A111" s="263" t="s">
        <v>513</v>
      </c>
      <c r="B111" s="10" t="s">
        <v>72</v>
      </c>
      <c r="C111" s="166">
        <f>C112+C113</f>
        <v>87018191</v>
      </c>
      <c r="E111" s="49">
        <f>'9.1.1. sz. mell. '!C111+'9.1.2. sz. mell.'!C111</f>
        <v>87018191</v>
      </c>
      <c r="F111" s="755">
        <f t="shared" si="1"/>
        <v>0</v>
      </c>
    </row>
    <row r="112" spans="1:6" ht="12" customHeight="1">
      <c r="A112" s="264" t="s">
        <v>514</v>
      </c>
      <c r="B112" s="7" t="s">
        <v>562</v>
      </c>
      <c r="C112" s="757">
        <f>20000000-9172313+8719388-4010722-1042502-1846399+5485909+1656508</f>
        <v>19789869</v>
      </c>
      <c r="E112" s="49">
        <f>'9.1.1. sz. mell. '!C112+'9.1.2. sz. mell.'!C112</f>
        <v>19789869</v>
      </c>
      <c r="F112" s="755">
        <f t="shared" si="1"/>
        <v>0</v>
      </c>
    </row>
    <row r="113" spans="1:6" ht="12" customHeight="1" thickBot="1">
      <c r="A113" s="272" t="s">
        <v>516</v>
      </c>
      <c r="B113" s="94" t="s">
        <v>563</v>
      </c>
      <c r="C113" s="759">
        <f>110613300+500000-8373330-1600000-8539600-6323156-7948000-7343244+31158286-32066515+411581-3261000</f>
        <v>67228322</v>
      </c>
      <c r="E113" s="49">
        <f>'9.1.1. sz. mell. '!C113+'9.1.2. sz. mell.'!C113</f>
        <v>67228322</v>
      </c>
      <c r="F113" s="755">
        <f t="shared" si="1"/>
        <v>0</v>
      </c>
    </row>
    <row r="114" spans="1:6" ht="12" customHeight="1" thickBot="1">
      <c r="A114" s="31" t="s">
        <v>41</v>
      </c>
      <c r="B114" s="24" t="s">
        <v>339</v>
      </c>
      <c r="C114" s="162">
        <f>+C115+C117+C119</f>
        <v>730250386</v>
      </c>
      <c r="E114" s="49">
        <f>'9.1.1. sz. mell. '!C114+'9.1.2. sz. mell.'!C114</f>
        <v>730250386</v>
      </c>
      <c r="F114" s="755">
        <f t="shared" si="1"/>
        <v>0</v>
      </c>
    </row>
    <row r="115" spans="1:6" ht="12" customHeight="1">
      <c r="A115" s="262" t="s">
        <v>122</v>
      </c>
      <c r="B115" s="7" t="s">
        <v>203</v>
      </c>
      <c r="C115" s="754">
        <f>6621000+2963001+787402+10624171+3081125+300001+529000+1654000+447000+2237000+90200+6604000+301000+204000+15179276+979170-1000000-300001+2160000+4226991+71809476+15956160+214128350+180000-2768918+2707800+370002+349250-127000-254000+5001260+2694940-979170-14894286-2921000-1889633</f>
        <v>347051567</v>
      </c>
      <c r="E115" s="49">
        <f>'9.1.1. sz. mell. '!C115+'9.1.2. sz. mell.'!C115</f>
        <v>347051567</v>
      </c>
      <c r="F115" s="755">
        <f t="shared" si="1"/>
        <v>0</v>
      </c>
    </row>
    <row r="116" spans="1:6" ht="12" customHeight="1">
      <c r="A116" s="262" t="s">
        <v>123</v>
      </c>
      <c r="B116" s="11" t="s">
        <v>343</v>
      </c>
      <c r="C116" s="286">
        <f>14492698-1000000+71809476+15956160+214128350</f>
        <v>315386684</v>
      </c>
      <c r="E116" s="49">
        <f>'9.1.1. sz. mell. '!C116+'9.1.2. sz. mell.'!C116</f>
        <v>315386684</v>
      </c>
      <c r="F116" s="755">
        <f t="shared" si="1"/>
        <v>0</v>
      </c>
    </row>
    <row r="117" spans="1:6" ht="12" customHeight="1">
      <c r="A117" s="262" t="s">
        <v>124</v>
      </c>
      <c r="B117" s="11" t="s">
        <v>187</v>
      </c>
      <c r="C117" s="753">
        <f>53340000+21000000+1513000+2996000+809000+7509510+1000000+300001+18459450+2866987+18700651+5566352+3795044+5929+189429682-203244-1286510+558800+9053657+200000+80010</f>
        <v>335694319</v>
      </c>
      <c r="E117" s="49">
        <f>'9.1.1. sz. mell. '!C117+'9.1.2. sz. mell.'!C117</f>
        <v>335694319</v>
      </c>
      <c r="F117" s="755">
        <f t="shared" si="1"/>
        <v>0</v>
      </c>
    </row>
    <row r="118" spans="1:6" ht="12" customHeight="1">
      <c r="A118" s="262" t="s">
        <v>125</v>
      </c>
      <c r="B118" s="11" t="s">
        <v>344</v>
      </c>
      <c r="C118" s="318">
        <f>53340000+1000000+3795044+189429682-203244</f>
        <v>247361482</v>
      </c>
      <c r="E118" s="49">
        <f>'9.1.1. sz. mell. '!C118+'9.1.2. sz. mell.'!C118</f>
        <v>247361482</v>
      </c>
      <c r="F118" s="755">
        <f t="shared" si="1"/>
        <v>0</v>
      </c>
    </row>
    <row r="119" spans="1:6" ht="12" customHeight="1">
      <c r="A119" s="262" t="s">
        <v>126</v>
      </c>
      <c r="B119" s="159" t="s">
        <v>205</v>
      </c>
      <c r="C119" s="318">
        <f>SUM(C120:C127)</f>
        <v>47504500</v>
      </c>
      <c r="E119" s="49">
        <f>'9.1.1. sz. mell. '!C119+'9.1.2. sz. mell.'!C119</f>
        <v>47504500</v>
      </c>
      <c r="F119" s="755">
        <f t="shared" si="1"/>
        <v>0</v>
      </c>
    </row>
    <row r="120" spans="1:6" ht="12" customHeight="1">
      <c r="A120" s="262" t="s">
        <v>135</v>
      </c>
      <c r="B120" s="158" t="s">
        <v>406</v>
      </c>
      <c r="C120" s="318"/>
      <c r="E120" s="49">
        <f>'9.1.1. sz. mell. '!C120+'9.1.2. sz. mell.'!C120</f>
        <v>0</v>
      </c>
      <c r="F120" s="755">
        <f t="shared" si="1"/>
        <v>0</v>
      </c>
    </row>
    <row r="121" spans="1:6" ht="12" customHeight="1">
      <c r="A121" s="262" t="s">
        <v>137</v>
      </c>
      <c r="B121" s="244" t="s">
        <v>349</v>
      </c>
      <c r="C121" s="318"/>
      <c r="E121" s="49">
        <f>'9.1.1. sz. mell. '!C121+'9.1.2. sz. mell.'!C121</f>
        <v>0</v>
      </c>
      <c r="F121" s="755">
        <f t="shared" si="1"/>
        <v>0</v>
      </c>
    </row>
    <row r="122" spans="1:6" ht="12" customHeight="1">
      <c r="A122" s="262" t="s">
        <v>188</v>
      </c>
      <c r="B122" s="92" t="s">
        <v>332</v>
      </c>
      <c r="C122" s="318"/>
      <c r="E122" s="49">
        <f>'9.1.1. sz. mell. '!C122+'9.1.2. sz. mell.'!C122</f>
        <v>0</v>
      </c>
      <c r="F122" s="755">
        <f t="shared" si="1"/>
        <v>0</v>
      </c>
    </row>
    <row r="123" spans="1:6" ht="12" customHeight="1">
      <c r="A123" s="262" t="s">
        <v>189</v>
      </c>
      <c r="B123" s="92" t="s">
        <v>348</v>
      </c>
      <c r="C123" s="318"/>
      <c r="E123" s="49">
        <f>'9.1.1. sz. mell. '!C123+'9.1.2. sz. mell.'!C123</f>
        <v>0</v>
      </c>
      <c r="F123" s="755">
        <f t="shared" si="1"/>
        <v>0</v>
      </c>
    </row>
    <row r="124" spans="1:6" ht="12" customHeight="1">
      <c r="A124" s="262" t="s">
        <v>190</v>
      </c>
      <c r="B124" s="92" t="s">
        <v>347</v>
      </c>
      <c r="C124" s="318"/>
      <c r="E124" s="49">
        <f>'9.1.1. sz. mell. '!C124+'9.1.2. sz. mell.'!C124</f>
        <v>0</v>
      </c>
      <c r="F124" s="755">
        <f t="shared" si="1"/>
        <v>0</v>
      </c>
    </row>
    <row r="125" spans="1:6" ht="12" customHeight="1">
      <c r="A125" s="262" t="s">
        <v>340</v>
      </c>
      <c r="B125" s="92" t="s">
        <v>335</v>
      </c>
      <c r="C125" s="318">
        <v>5000</v>
      </c>
      <c r="E125" s="49">
        <f>'9.1.1. sz. mell. '!C125+'9.1.2. sz. mell.'!C125</f>
        <v>5000</v>
      </c>
      <c r="F125" s="755">
        <f t="shared" si="1"/>
        <v>0</v>
      </c>
    </row>
    <row r="126" spans="1:6" ht="12" customHeight="1">
      <c r="A126" s="262" t="s">
        <v>341</v>
      </c>
      <c r="B126" s="92" t="s">
        <v>346</v>
      </c>
      <c r="C126" s="318"/>
      <c r="E126" s="49">
        <f>'9.1.1. sz. mell. '!C126+'9.1.2. sz. mell.'!C126</f>
        <v>0</v>
      </c>
      <c r="F126" s="755">
        <f t="shared" si="1"/>
        <v>0</v>
      </c>
    </row>
    <row r="127" spans="1:6" ht="12" customHeight="1" thickBot="1">
      <c r="A127" s="271" t="s">
        <v>342</v>
      </c>
      <c r="B127" s="92" t="s">
        <v>345</v>
      </c>
      <c r="C127" s="758">
        <f>42072000+2400000+1348000+600000+1079500</f>
        <v>47499500</v>
      </c>
      <c r="E127" s="49">
        <f>'9.1.1. sz. mell. '!C127+'9.1.2. sz. mell.'!C127</f>
        <v>47499500</v>
      </c>
      <c r="F127" s="755">
        <f t="shared" si="1"/>
        <v>0</v>
      </c>
    </row>
    <row r="128" spans="1:6" ht="12" customHeight="1" thickBot="1">
      <c r="A128" s="31" t="s">
        <v>42</v>
      </c>
      <c r="B128" s="87" t="s">
        <v>518</v>
      </c>
      <c r="C128" s="162">
        <f>+C93+C114</f>
        <v>1575021545</v>
      </c>
      <c r="E128" s="49">
        <f>'9.1.1. sz. mell. '!C128+'9.1.2. sz. mell.'!C128</f>
        <v>1575021545</v>
      </c>
      <c r="F128" s="755">
        <f t="shared" si="1"/>
        <v>0</v>
      </c>
    </row>
    <row r="129" spans="1:6" ht="12" customHeight="1" thickBot="1">
      <c r="A129" s="31" t="s">
        <v>43</v>
      </c>
      <c r="B129" s="87" t="s">
        <v>519</v>
      </c>
      <c r="C129" s="162">
        <f>+C130+C131+C132</f>
        <v>103161000</v>
      </c>
      <c r="E129" s="49">
        <f>'9.1.1. sz. mell. '!C129+'9.1.2. sz. mell.'!C129</f>
        <v>103161000</v>
      </c>
      <c r="F129" s="755">
        <f t="shared" si="1"/>
        <v>0</v>
      </c>
    </row>
    <row r="130" spans="1:6" s="67" customFormat="1" ht="12" customHeight="1">
      <c r="A130" s="262" t="s">
        <v>240</v>
      </c>
      <c r="B130" s="8" t="s">
        <v>564</v>
      </c>
      <c r="C130" s="318">
        <v>3161000</v>
      </c>
      <c r="E130" s="49">
        <f>'9.1.1. sz. mell. '!C130+'9.1.2. sz. mell.'!C130</f>
        <v>3161000</v>
      </c>
      <c r="F130" s="755">
        <f t="shared" si="1"/>
        <v>0</v>
      </c>
    </row>
    <row r="131" spans="1:6" ht="12" customHeight="1">
      <c r="A131" s="262" t="s">
        <v>243</v>
      </c>
      <c r="B131" s="8" t="s">
        <v>521</v>
      </c>
      <c r="C131" s="149">
        <v>100000000</v>
      </c>
      <c r="E131" s="49">
        <f>'9.1.1. sz. mell. '!C131+'9.1.2. sz. mell.'!C131</f>
        <v>100000000</v>
      </c>
      <c r="F131" s="755">
        <f t="shared" si="1"/>
        <v>0</v>
      </c>
    </row>
    <row r="132" spans="1:6" ht="12" customHeight="1" thickBot="1">
      <c r="A132" s="271" t="s">
        <v>244</v>
      </c>
      <c r="B132" s="6" t="s">
        <v>565</v>
      </c>
      <c r="C132" s="149"/>
      <c r="E132" s="49">
        <f>'9.1.1. sz. mell. '!C132+'9.1.2. sz. mell.'!C132</f>
        <v>0</v>
      </c>
      <c r="F132" s="755">
        <f t="shared" si="1"/>
        <v>0</v>
      </c>
    </row>
    <row r="133" spans="1:6" ht="12" customHeight="1" thickBot="1">
      <c r="A133" s="31" t="s">
        <v>44</v>
      </c>
      <c r="B133" s="87" t="s">
        <v>523</v>
      </c>
      <c r="C133" s="162">
        <f>+C134+C135+C136+C137+C138+C139</f>
        <v>0</v>
      </c>
      <c r="E133" s="49">
        <f>'9.1.1. sz. mell. '!C133+'9.1.2. sz. mell.'!C133</f>
        <v>0</v>
      </c>
      <c r="F133" s="755">
        <f t="shared" si="1"/>
        <v>0</v>
      </c>
    </row>
    <row r="134" spans="1:6" ht="12" customHeight="1">
      <c r="A134" s="262" t="s">
        <v>109</v>
      </c>
      <c r="B134" s="8" t="s">
        <v>524</v>
      </c>
      <c r="C134" s="149"/>
      <c r="E134" s="49">
        <f>'9.1.1. sz. mell. '!C134+'9.1.2. sz. mell.'!C134</f>
        <v>0</v>
      </c>
      <c r="F134" s="755">
        <f t="shared" si="1"/>
        <v>0</v>
      </c>
    </row>
    <row r="135" spans="1:6" ht="12" customHeight="1">
      <c r="A135" s="262" t="s">
        <v>110</v>
      </c>
      <c r="B135" s="8" t="s">
        <v>525</v>
      </c>
      <c r="C135" s="149"/>
      <c r="E135" s="49">
        <f>'9.1.1. sz. mell. '!C135+'9.1.2. sz. mell.'!C135</f>
        <v>0</v>
      </c>
      <c r="F135" s="755">
        <f t="shared" si="1"/>
        <v>0</v>
      </c>
    </row>
    <row r="136" spans="1:6" ht="12" customHeight="1">
      <c r="A136" s="262" t="s">
        <v>111</v>
      </c>
      <c r="B136" s="8" t="s">
        <v>526</v>
      </c>
      <c r="C136" s="149"/>
      <c r="E136" s="49">
        <f>'9.1.1. sz. mell. '!C136+'9.1.2. sz. mell.'!C136</f>
        <v>0</v>
      </c>
      <c r="F136" s="755">
        <f t="shared" si="1"/>
        <v>0</v>
      </c>
    </row>
    <row r="137" spans="1:6" ht="12" customHeight="1">
      <c r="A137" s="262" t="s">
        <v>175</v>
      </c>
      <c r="B137" s="8" t="s">
        <v>566</v>
      </c>
      <c r="C137" s="149"/>
      <c r="E137" s="49">
        <f>'9.1.1. sz. mell. '!C137+'9.1.2. sz. mell.'!C137</f>
        <v>0</v>
      </c>
      <c r="F137" s="755">
        <f aca="true" t="shared" si="2" ref="F137:F158">C137-E137</f>
        <v>0</v>
      </c>
    </row>
    <row r="138" spans="1:6" ht="12" customHeight="1">
      <c r="A138" s="262" t="s">
        <v>176</v>
      </c>
      <c r="B138" s="8" t="s">
        <v>528</v>
      </c>
      <c r="C138" s="149"/>
      <c r="E138" s="49">
        <f>'9.1.1. sz. mell. '!C138+'9.1.2. sz. mell.'!C138</f>
        <v>0</v>
      </c>
      <c r="F138" s="755">
        <f t="shared" si="2"/>
        <v>0</v>
      </c>
    </row>
    <row r="139" spans="1:6" s="67" customFormat="1" ht="12" customHeight="1" thickBot="1">
      <c r="A139" s="271" t="s">
        <v>177</v>
      </c>
      <c r="B139" s="6" t="s">
        <v>529</v>
      </c>
      <c r="C139" s="149"/>
      <c r="E139" s="49">
        <f>'9.1.1. sz. mell. '!C139+'9.1.2. sz. mell.'!C139</f>
        <v>0</v>
      </c>
      <c r="F139" s="755">
        <f t="shared" si="2"/>
        <v>0</v>
      </c>
    </row>
    <row r="140" spans="1:11" ht="12" customHeight="1" thickBot="1">
      <c r="A140" s="31" t="s">
        <v>45</v>
      </c>
      <c r="B140" s="87" t="s">
        <v>567</v>
      </c>
      <c r="C140" s="167">
        <f>+C141+C142+C144+C145+C143</f>
        <v>35164932</v>
      </c>
      <c r="E140" s="49">
        <f>'9.1.1. sz. mell. '!C140+'9.1.2. sz. mell.'!C140</f>
        <v>35164932</v>
      </c>
      <c r="F140" s="755">
        <f t="shared" si="2"/>
        <v>0</v>
      </c>
      <c r="K140" s="148"/>
    </row>
    <row r="141" spans="1:6" ht="15.75">
      <c r="A141" s="262" t="s">
        <v>112</v>
      </c>
      <c r="B141" s="8" t="s">
        <v>350</v>
      </c>
      <c r="C141" s="149"/>
      <c r="E141" s="49">
        <f>'9.1.1. sz. mell. '!C141+'9.1.2. sz. mell.'!C141</f>
        <v>0</v>
      </c>
      <c r="F141" s="755">
        <f t="shared" si="2"/>
        <v>0</v>
      </c>
    </row>
    <row r="142" spans="1:6" ht="12" customHeight="1">
      <c r="A142" s="262" t="s">
        <v>113</v>
      </c>
      <c r="B142" s="8" t="s">
        <v>351</v>
      </c>
      <c r="C142" s="149">
        <f>35164932</f>
        <v>35164932</v>
      </c>
      <c r="E142" s="49">
        <f>'9.1.1. sz. mell. '!C142+'9.1.2. sz. mell.'!C142</f>
        <v>35164932</v>
      </c>
      <c r="F142" s="755">
        <f t="shared" si="2"/>
        <v>0</v>
      </c>
    </row>
    <row r="143" spans="1:6" ht="12" customHeight="1">
      <c r="A143" s="262" t="s">
        <v>264</v>
      </c>
      <c r="B143" s="8" t="s">
        <v>568</v>
      </c>
      <c r="C143" s="149"/>
      <c r="E143" s="49">
        <f>'9.1.1. sz. mell. '!C143+'9.1.2. sz. mell.'!C143</f>
        <v>0</v>
      </c>
      <c r="F143" s="755">
        <f t="shared" si="2"/>
        <v>0</v>
      </c>
    </row>
    <row r="144" spans="1:6" s="67" customFormat="1" ht="12" customHeight="1">
      <c r="A144" s="262" t="s">
        <v>265</v>
      </c>
      <c r="B144" s="8" t="s">
        <v>531</v>
      </c>
      <c r="C144" s="149"/>
      <c r="E144" s="49">
        <f>'9.1.1. sz. mell. '!C144+'9.1.2. sz. mell.'!C144</f>
        <v>0</v>
      </c>
      <c r="F144" s="755">
        <f t="shared" si="2"/>
        <v>0</v>
      </c>
    </row>
    <row r="145" spans="1:6" s="67" customFormat="1" ht="12" customHeight="1" thickBot="1">
      <c r="A145" s="271" t="s">
        <v>266</v>
      </c>
      <c r="B145" s="6" t="s">
        <v>369</v>
      </c>
      <c r="C145" s="149"/>
      <c r="E145" s="49">
        <f>'9.1.1. sz. mell. '!C145+'9.1.2. sz. mell.'!C145</f>
        <v>0</v>
      </c>
      <c r="F145" s="755">
        <f t="shared" si="2"/>
        <v>0</v>
      </c>
    </row>
    <row r="146" spans="1:6" s="67" customFormat="1" ht="12" customHeight="1" thickBot="1">
      <c r="A146" s="31" t="s">
        <v>46</v>
      </c>
      <c r="B146" s="87" t="s">
        <v>532</v>
      </c>
      <c r="C146" s="170">
        <f>+C147+C148+C149+C150+C151</f>
        <v>0</v>
      </c>
      <c r="E146" s="49">
        <f>'9.1.1. sz. mell. '!C146+'9.1.2. sz. mell.'!C146</f>
        <v>0</v>
      </c>
      <c r="F146" s="755">
        <f t="shared" si="2"/>
        <v>0</v>
      </c>
    </row>
    <row r="147" spans="1:6" s="67" customFormat="1" ht="12" customHeight="1">
      <c r="A147" s="262" t="s">
        <v>114</v>
      </c>
      <c r="B147" s="8" t="s">
        <v>533</v>
      </c>
      <c r="C147" s="149"/>
      <c r="E147" s="49">
        <f>'9.1.1. sz. mell. '!C147+'9.1.2. sz. mell.'!C147</f>
        <v>0</v>
      </c>
      <c r="F147" s="755">
        <f t="shared" si="2"/>
        <v>0</v>
      </c>
    </row>
    <row r="148" spans="1:6" s="67" customFormat="1" ht="12" customHeight="1">
      <c r="A148" s="262" t="s">
        <v>115</v>
      </c>
      <c r="B148" s="8" t="s">
        <v>534</v>
      </c>
      <c r="C148" s="149"/>
      <c r="E148" s="49">
        <f>'9.1.1. sz. mell. '!C148+'9.1.2. sz. mell.'!C148</f>
        <v>0</v>
      </c>
      <c r="F148" s="755">
        <f t="shared" si="2"/>
        <v>0</v>
      </c>
    </row>
    <row r="149" spans="1:6" s="67" customFormat="1" ht="12" customHeight="1">
      <c r="A149" s="262" t="s">
        <v>276</v>
      </c>
      <c r="B149" s="8" t="s">
        <v>535</v>
      </c>
      <c r="C149" s="149"/>
      <c r="E149" s="49">
        <f>'9.1.1. sz. mell. '!C149+'9.1.2. sz. mell.'!C149</f>
        <v>0</v>
      </c>
      <c r="F149" s="755">
        <f t="shared" si="2"/>
        <v>0</v>
      </c>
    </row>
    <row r="150" spans="1:6" s="67" customFormat="1" ht="12" customHeight="1">
      <c r="A150" s="262" t="s">
        <v>277</v>
      </c>
      <c r="B150" s="8" t="s">
        <v>569</v>
      </c>
      <c r="C150" s="149"/>
      <c r="E150" s="49">
        <f>'9.1.1. sz. mell. '!C150+'9.1.2. sz. mell.'!C150</f>
        <v>0</v>
      </c>
      <c r="F150" s="755">
        <f t="shared" si="2"/>
        <v>0</v>
      </c>
    </row>
    <row r="151" spans="1:6" ht="12.75" customHeight="1" thickBot="1">
      <c r="A151" s="271" t="s">
        <v>537</v>
      </c>
      <c r="B151" s="6" t="s">
        <v>538</v>
      </c>
      <c r="C151" s="150"/>
      <c r="E151" s="49">
        <f>'9.1.1. sz. mell. '!C151+'9.1.2. sz. mell.'!C151</f>
        <v>0</v>
      </c>
      <c r="F151" s="755">
        <f t="shared" si="2"/>
        <v>0</v>
      </c>
    </row>
    <row r="152" spans="1:6" ht="12.75" customHeight="1" thickBot="1">
      <c r="A152" s="314" t="s">
        <v>47</v>
      </c>
      <c r="B152" s="87" t="s">
        <v>539</v>
      </c>
      <c r="C152" s="170"/>
      <c r="E152" s="49">
        <f>'9.1.1. sz. mell. '!C152+'9.1.2. sz. mell.'!C152</f>
        <v>0</v>
      </c>
      <c r="F152" s="755">
        <f t="shared" si="2"/>
        <v>0</v>
      </c>
    </row>
    <row r="153" spans="1:6" ht="12.75" customHeight="1" thickBot="1">
      <c r="A153" s="314" t="s">
        <v>48</v>
      </c>
      <c r="B153" s="87" t="s">
        <v>540</v>
      </c>
      <c r="C153" s="170"/>
      <c r="E153" s="49">
        <f>'9.1.1. sz. mell. '!C153+'9.1.2. sz. mell.'!C153</f>
        <v>0</v>
      </c>
      <c r="F153" s="755">
        <f t="shared" si="2"/>
        <v>0</v>
      </c>
    </row>
    <row r="154" spans="1:6" ht="12" customHeight="1" thickBot="1">
      <c r="A154" s="31" t="s">
        <v>49</v>
      </c>
      <c r="B154" s="87" t="s">
        <v>541</v>
      </c>
      <c r="C154" s="258">
        <f>+C129+C133+C140+C146+C152+C153</f>
        <v>138325932</v>
      </c>
      <c r="E154" s="49">
        <f>'9.1.1. sz. mell. '!C154+'9.1.2. sz. mell.'!C154</f>
        <v>138325932</v>
      </c>
      <c r="F154" s="755">
        <f t="shared" si="2"/>
        <v>0</v>
      </c>
    </row>
    <row r="155" spans="1:6" ht="15" customHeight="1" thickBot="1">
      <c r="A155" s="273" t="s">
        <v>50</v>
      </c>
      <c r="B155" s="233" t="s">
        <v>542</v>
      </c>
      <c r="C155" s="258">
        <f>+C128+C154</f>
        <v>1713347477</v>
      </c>
      <c r="E155" s="49">
        <f>'9.1.1. sz. mell. '!C155+'9.1.2. sz. mell.'!C155</f>
        <v>1713347477</v>
      </c>
      <c r="F155" s="755">
        <f t="shared" si="2"/>
        <v>0</v>
      </c>
    </row>
    <row r="156" spans="5:6" ht="16.5" thickBot="1">
      <c r="E156" s="49">
        <f>'9.1.1. sz. mell. '!C156+'9.1.2. sz. mell.'!C156</f>
        <v>0</v>
      </c>
      <c r="F156" s="755">
        <f t="shared" si="2"/>
        <v>0</v>
      </c>
    </row>
    <row r="157" spans="1:6" ht="15" customHeight="1" thickBot="1">
      <c r="A157" s="145" t="s">
        <v>570</v>
      </c>
      <c r="B157" s="146"/>
      <c r="C157" s="86">
        <v>6</v>
      </c>
      <c r="E157" s="49">
        <f>'9.1.1. sz. mell. '!C157+'9.1.2. sz. mell.'!C157</f>
        <v>6</v>
      </c>
      <c r="F157" s="755">
        <f t="shared" si="2"/>
        <v>0</v>
      </c>
    </row>
    <row r="158" spans="1:6" ht="14.25" customHeight="1" thickBot="1">
      <c r="A158" s="145" t="s">
        <v>199</v>
      </c>
      <c r="B158" s="146"/>
      <c r="C158" s="86">
        <v>0</v>
      </c>
      <c r="E158" s="49">
        <f>'9.1.1. sz. mell. '!C158+'9.1.2. sz. mell.'!C158</f>
        <v>0</v>
      </c>
      <c r="F158" s="755">
        <f t="shared" si="2"/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9. melléklet a 28/2017.(X.27.)önkormányzati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Girus András</cp:lastModifiedBy>
  <cp:lastPrinted>2017-10-25T14:49:28Z</cp:lastPrinted>
  <dcterms:created xsi:type="dcterms:W3CDTF">1999-10-30T10:30:45Z</dcterms:created>
  <dcterms:modified xsi:type="dcterms:W3CDTF">2017-10-27T07:12:58Z</dcterms:modified>
  <cp:category/>
  <cp:version/>
  <cp:contentType/>
  <cp:contentStatus/>
</cp:coreProperties>
</file>