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4.melléklet" sheetId="1" r:id="rId1"/>
    <sheet name="4.1 melléklet" sheetId="2" r:id="rId2"/>
  </sheets>
  <definedNames>
    <definedName name="_xlnm.Print_Area" localSheetId="0">'4.melléklet'!$A$1:$K$62</definedName>
  </definedNames>
  <calcPr fullCalcOnLoad="1"/>
</workbook>
</file>

<file path=xl/sharedStrings.xml><?xml version="1.0" encoding="utf-8"?>
<sst xmlns="http://schemas.openxmlformats.org/spreadsheetml/2006/main" count="260" uniqueCount="145">
  <si>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</si>
  <si>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</si>
  <si>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</si>
  <si>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</si>
  <si>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</si>
  <si>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</si>
  <si>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</si>
  <si>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</si>
  <si>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</si>
  <si>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</si>
  <si>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</si>
  <si>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</si>
  <si>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</si>
  <si>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</si>
  <si>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</si>
  <si>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</si>
  <si>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</si>
  <si>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</si>
  <si>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</si>
  <si>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</si>
  <si>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</si>
  <si>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</si>
  <si>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</si>
  <si>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</si>
  <si>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</si>
  <si>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</si>
  <si>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</si>
  <si>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</si>
  <si>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</si>
  <si>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</si>
  <si>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</si>
  <si>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</si>
  <si>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</si>
  <si>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</si>
  <si>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</si>
  <si>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</si>
  <si>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</si>
  <si>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</si>
  <si>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</si>
  <si>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</si>
  <si>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</si>
  <si>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</si>
  <si>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</si>
  <si>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</si>
  <si>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</si>
  <si>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</si>
  <si>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</si>
  <si>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</si>
  <si>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</si>
  <si>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</si>
  <si>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</si>
  <si>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</si>
  <si>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</si>
  <si>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</si>
  <si>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</si>
  <si>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</si>
  <si>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</si>
  <si>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</si>
  <si>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</si>
  <si>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</si>
  <si>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</si>
  <si>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</si>
  <si>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</si>
  <si>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</si>
  <si>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</si>
  <si>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</si>
  <si>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</si>
  <si>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</si>
  <si>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</si>
  <si>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</si>
  <si>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</si>
  <si>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</si>
  <si>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</si>
  <si>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</si>
  <si>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</si>
  <si>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</si>
  <si>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</si>
  <si>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</si>
  <si>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</si>
  <si>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</si>
  <si>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</si>
  <si>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</si>
  <si>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</si>
  <si>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</si>
  <si>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</si>
  <si>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</si>
  <si>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</si>
  <si>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</si>
  <si>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</si>
  <si>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</si>
  <si>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</si>
  <si>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</si>
  <si>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</si>
  <si>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Cím</t>
  </si>
  <si>
    <t>Alcím</t>
  </si>
  <si>
    <t>Költségvetési szerv megnevezése</t>
  </si>
  <si>
    <t>Déri Múzeum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</si>
  <si>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</si>
  <si>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</si>
  <si>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</si>
  <si>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</si>
  <si>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</si>
  <si>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</si>
  <si>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</si>
  <si>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</si>
  <si>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</si>
  <si>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</si>
  <si>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</si>
  <si>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</si>
  <si>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Debreceni Arany János Óvoda</t>
  </si>
  <si>
    <t>Óvodák összesen</t>
  </si>
  <si>
    <t>Debreceni Intézményműködtető Központ ÖSSZESEN</t>
  </si>
  <si>
    <t>43.1.</t>
  </si>
  <si>
    <t>43.2.</t>
  </si>
  <si>
    <t>ebből: Kodály Kórus Debrecen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</si>
  <si>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</si>
  <si>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</si>
  <si>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</si>
  <si>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</si>
  <si>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</si>
  <si>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</si>
  <si>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</si>
  <si>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Összesen</t>
  </si>
  <si>
    <t>(a dologi kiadásokból visszatervezendő kiadási előirányzatok)</t>
  </si>
  <si>
    <t>ebből:</t>
  </si>
  <si>
    <t>Debreceni Intézményműködtető Központ összesen</t>
  </si>
  <si>
    <t>Dologi kiadások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</si>
  <si>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</si>
  <si>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</si>
  <si>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</si>
  <si>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</si>
  <si>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</si>
  <si>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</si>
  <si>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</si>
  <si>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</si>
  <si>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</si>
  <si>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</si>
  <si>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</si>
  <si>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</si>
  <si>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</si>
  <si>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Költségvetési szervek költségvetési kiadásai, kiemelt kiadási előirányzatonkénti részlezetésben</t>
  </si>
  <si>
    <r>
      <t xml:space="preserve">Az irányító szerv által előírt kötelezően megtervezett előirányzatok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1"/>
        <rFont val="Arial"/>
        <family val="2"/>
      </rPr>
      <t xml:space="preserve"> </t>
    </r>
  </si>
  <si>
    <t>Ft-ban</t>
  </si>
  <si>
    <t>4. melléklet a 4/2020. (II. 13.) önkormányzati rendelethez</t>
  </si>
  <si>
    <t>4.1. melléklet a 4/2020. (II. 13.)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</si>
</sst>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0.000"/>
    <numFmt numFmtId="174" formatCode="0.0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0000\ _F_t_-;\-* #,##0.00000\ _F_t_-;_-* &quot;-&quot;??\ _F_t_-;_-@_-"/>
    <numFmt numFmtId="180" formatCode="_-* #,##0.000000\ _F_t_-;\-* #,##0.000000\ _F_t_-;_-* &quot;-&quot;??\ _F_t_-;_-@_-"/>
    <numFmt numFmtId="181" formatCode="_-* #,##0.0000000\ _F_t_-;\-* #,##0.0000000\ _F_t_-;_-* &quot;-&quot;??\ _F_t_-;_-@_-"/>
    <numFmt numFmtId="182" formatCode="_-* #,##0.00000000\ _F_t_-;\-* #,##0.00000000\ _F_t_-;_-* &quot;-&quot;??\ _F_t_-;_-@_-"/>
    <numFmt numFmtId="183" formatCode="_-* #,##0.000000000\ _F_t_-;\-* #,##0.000000000\ _F_t_-;_-* &quot;-&quot;??\ _F_t_-;_-@_-"/>
    <numFmt numFmtId="184" formatCode="#,##0.00\ &quot;Ft&quot;"/>
    <numFmt numFmtId="185" formatCode="#,##0.000\ &quot;Ft&quot;"/>
    <numFmt numFmtId="186" formatCode="#,##0.0000\ &quot;Ft&quot;"/>
    <numFmt numFmtId="187" formatCode="#,##0.0\ &quot;Ft&quot;"/>
    <numFmt numFmtId="188" formatCode="#,##0\ &quot;Ft&quot;"/>
    <numFmt numFmtId="189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Border="0" applyAlignment="0" applyProtection="0"/>
    <xf numFmtId="43" fontId="4" fillId="0" borderId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70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62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3" fontId="7" fillId="0" borderId="10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7" fillId="0" borderId="0" xfId="62" applyFont="1" applyFill="1" applyBorder="1">
      <alignment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4" fillId="0" borderId="10" xfId="62" applyFont="1" applyFill="1" applyBorder="1" applyAlignment="1">
      <alignment horizontal="center"/>
      <protection/>
    </xf>
    <xf numFmtId="3" fontId="7" fillId="0" borderId="10" xfId="66" applyNumberFormat="1" applyFont="1" applyFill="1" applyBorder="1" applyAlignment="1">
      <alignment horizontal="right" vertical="center" wrapText="1"/>
      <protection/>
    </xf>
    <xf numFmtId="0" fontId="7" fillId="0" borderId="0" xfId="62" applyFont="1" applyFill="1" applyBorder="1" applyAlignment="1">
      <alignment horizontal="right"/>
      <protection/>
    </xf>
    <xf numFmtId="3" fontId="9" fillId="0" borderId="10" xfId="62" applyNumberFormat="1" applyFont="1" applyFill="1" applyBorder="1">
      <alignment/>
      <protection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65" applyFont="1" applyFill="1" applyBorder="1" applyAlignment="1">
      <alignment horizontal="left" vertical="center" wrapText="1"/>
      <protection/>
    </xf>
    <xf numFmtId="3" fontId="7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8" fillId="0" borderId="10" xfId="65" applyNumberFormat="1" applyFont="1" applyFill="1" applyBorder="1" applyAlignment="1">
      <alignment horizontal="left" vertical="center" wrapText="1"/>
      <protection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4" fillId="0" borderId="10" xfId="66" applyNumberFormat="1" applyFont="1" applyFill="1" applyBorder="1" applyAlignment="1">
      <alignment horizontal="left" vertical="center" wrapText="1"/>
      <protection/>
    </xf>
    <xf numFmtId="2" fontId="4" fillId="0" borderId="0" xfId="62" applyNumberFormat="1" applyFont="1" applyFill="1" applyBorder="1" applyAlignment="1">
      <alignment wrapText="1"/>
      <protection/>
    </xf>
    <xf numFmtId="0" fontId="4" fillId="0" borderId="10" xfId="0" applyFont="1" applyFill="1" applyBorder="1" applyAlignment="1">
      <alignment vertical="center" wrapText="1"/>
    </xf>
    <xf numFmtId="3" fontId="4" fillId="0" borderId="10" xfId="65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7" fillId="0" borderId="10" xfId="62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6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left" vertical="center"/>
      <protection/>
    </xf>
    <xf numFmtId="0" fontId="7" fillId="0" borderId="11" xfId="62" applyFont="1" applyFill="1" applyBorder="1" applyAlignment="1" applyProtection="1">
      <alignment horizontal="right" vertical="center" wrapText="1"/>
      <protection/>
    </xf>
    <xf numFmtId="0" fontId="7" fillId="0" borderId="12" xfId="62" applyFont="1" applyFill="1" applyBorder="1" applyAlignment="1" applyProtection="1">
      <alignment horizontal="right" vertical="center" wrapText="1"/>
      <protection/>
    </xf>
    <xf numFmtId="0" fontId="6" fillId="0" borderId="0" xfId="62" applyFont="1" applyFill="1" applyBorder="1" applyAlignment="1">
      <alignment horizontal="right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/>
      <protection/>
    </xf>
    <xf numFmtId="0" fontId="7" fillId="0" borderId="14" xfId="62" applyFont="1" applyFill="1" applyBorder="1" applyAlignment="1">
      <alignment horizontal="center"/>
      <protection/>
    </xf>
    <xf numFmtId="0" fontId="7" fillId="0" borderId="15" xfId="62" applyFont="1" applyFill="1" applyBorder="1" applyAlignment="1">
      <alignment horizontal="center"/>
      <protection/>
    </xf>
    <xf numFmtId="0" fontId="10" fillId="0" borderId="0" xfId="62" applyFont="1" applyFill="1" applyAlignment="1">
      <alignment horizontal="center" wrapText="1"/>
      <protection/>
    </xf>
    <xf numFmtId="0" fontId="10" fillId="0" borderId="0" xfId="62" applyFont="1" applyFill="1" applyAlignment="1">
      <alignment horizontal="center"/>
      <protection/>
    </xf>
    <xf numFmtId="0" fontId="4" fillId="0" borderId="0" xfId="62" applyFont="1" applyFill="1" applyBorder="1" applyAlignment="1">
      <alignment horizontal="center" vertic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3 2" xfId="47"/>
    <cellStyle name="Figyelmeztetés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 2 2" xfId="61"/>
    <cellStyle name="Normál 3" xfId="62"/>
    <cellStyle name="Normál 4" xfId="63"/>
    <cellStyle name="Normál 4 2" xfId="64"/>
    <cellStyle name="Normál_létszámkeret 2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TableStyleLigh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view="pageBreakPreview" zoomScale="80" zoomScaleNormal="8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" sqref="H1:K1"/>
    </sheetView>
  </sheetViews>
  <sheetFormatPr defaultColWidth="8.8515625" defaultRowHeight="15"/>
  <cols>
    <col min="1" max="1" width="13.00390625" style="6" customWidth="1"/>
    <col min="2" max="2" width="7.28125" style="6" bestFit="1" customWidth="1"/>
    <col min="3" max="3" width="41.28125" style="6" bestFit="1" customWidth="1"/>
    <col min="4" max="4" width="20.8515625" style="6" bestFit="1" customWidth="1"/>
    <col min="5" max="5" width="14.140625" style="6" customWidth="1"/>
    <col min="6" max="6" width="13.8515625" style="6" customWidth="1"/>
    <col min="7" max="7" width="10.57421875" style="6" customWidth="1"/>
    <col min="8" max="8" width="11.00390625" style="6" customWidth="1"/>
    <col min="9" max="9" width="15.00390625" style="6" customWidth="1"/>
    <col min="10" max="10" width="13.421875" style="6" customWidth="1"/>
    <col min="11" max="11" width="16.28125" style="7" customWidth="1"/>
    <col min="12" max="12" width="12.00390625" style="6" bestFit="1" customWidth="1"/>
    <col min="13" max="14" width="8.8515625" style="6" customWidth="1"/>
    <col min="15" max="15" width="10.8515625" style="6" bestFit="1" customWidth="1"/>
    <col min="16" max="16" width="9.8515625" style="6" bestFit="1" customWidth="1"/>
    <col min="17" max="18" width="12.00390625" style="6" bestFit="1" customWidth="1"/>
    <col min="19" max="19" width="10.8515625" style="6" bestFit="1" customWidth="1"/>
    <col min="20" max="20" width="12.00390625" style="6" bestFit="1" customWidth="1"/>
    <col min="21" max="16384" width="8.8515625" style="6" customWidth="1"/>
  </cols>
  <sheetData>
    <row r="1" spans="1:11" s="11" customFormat="1" ht="15" customHeight="1">
      <c r="A1" s="10"/>
      <c r="B1" s="10"/>
      <c r="C1" s="10"/>
      <c r="H1" s="52" t="s">
        <v>143</v>
      </c>
      <c r="I1" s="52"/>
      <c r="J1" s="52"/>
      <c r="K1" s="52"/>
    </row>
    <row r="2" spans="1:3" s="11" customFormat="1" ht="12.75">
      <c r="A2" s="10"/>
      <c r="B2" s="10"/>
      <c r="C2" s="10"/>
    </row>
    <row r="3" spans="1:11" s="11" customFormat="1" ht="12.75">
      <c r="A3" s="53" t="s">
        <v>140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11"/>
      <c r="B4" s="11"/>
      <c r="C4" s="11"/>
      <c r="J4" s="11"/>
      <c r="K4" s="31" t="s">
        <v>142</v>
      </c>
    </row>
    <row r="5" spans="1:11" ht="12.75">
      <c r="A5" s="27" t="s">
        <v>128</v>
      </c>
      <c r="B5" s="27" t="s">
        <v>129</v>
      </c>
      <c r="C5" s="27" t="s">
        <v>130</v>
      </c>
      <c r="D5" s="19" t="s">
        <v>131</v>
      </c>
      <c r="E5" s="27" t="s">
        <v>132</v>
      </c>
      <c r="F5" s="27" t="s">
        <v>133</v>
      </c>
      <c r="G5" s="27" t="s">
        <v>134</v>
      </c>
      <c r="H5" s="27" t="s">
        <v>135</v>
      </c>
      <c r="I5" s="27" t="s">
        <v>136</v>
      </c>
      <c r="J5" s="27" t="s">
        <v>137</v>
      </c>
      <c r="K5" s="27" t="s">
        <v>138</v>
      </c>
    </row>
    <row r="6" spans="1:11" ht="12.75">
      <c r="A6" s="55" t="s">
        <v>93</v>
      </c>
      <c r="B6" s="55" t="s">
        <v>94</v>
      </c>
      <c r="C6" s="50" t="s">
        <v>95</v>
      </c>
      <c r="D6" s="51"/>
      <c r="E6" s="51"/>
      <c r="F6" s="51"/>
      <c r="G6" s="51"/>
      <c r="H6" s="51"/>
      <c r="I6" s="51"/>
      <c r="J6" s="51"/>
      <c r="K6" s="51"/>
    </row>
    <row r="7" spans="1:11" ht="12.75" customHeight="1">
      <c r="A7" s="55"/>
      <c r="B7" s="55"/>
      <c r="C7" s="50"/>
      <c r="D7" s="51" t="s">
        <v>97</v>
      </c>
      <c r="E7" s="51"/>
      <c r="F7" s="51"/>
      <c r="G7" s="51"/>
      <c r="H7" s="51"/>
      <c r="I7" s="51" t="s">
        <v>98</v>
      </c>
      <c r="J7" s="51"/>
      <c r="K7" s="54" t="s">
        <v>106</v>
      </c>
    </row>
    <row r="8" spans="1:11" ht="89.25">
      <c r="A8" s="55"/>
      <c r="B8" s="55"/>
      <c r="C8" s="50"/>
      <c r="D8" s="1" t="s">
        <v>99</v>
      </c>
      <c r="E8" s="1" t="s">
        <v>100</v>
      </c>
      <c r="F8" s="1" t="s">
        <v>101</v>
      </c>
      <c r="G8" s="1" t="s">
        <v>102</v>
      </c>
      <c r="H8" s="1" t="s">
        <v>103</v>
      </c>
      <c r="I8" s="1" t="s">
        <v>104</v>
      </c>
      <c r="J8" s="1" t="s">
        <v>105</v>
      </c>
      <c r="K8" s="54"/>
    </row>
    <row r="9" spans="1:11" ht="12.75">
      <c r="A9" s="47" t="s">
        <v>0</v>
      </c>
      <c r="B9" s="47"/>
      <c r="C9" s="39" t="s">
        <v>54</v>
      </c>
      <c r="D9" s="3">
        <f>83447438-1215976-757124</f>
        <v>81474338</v>
      </c>
      <c r="E9" s="3">
        <f>16487001-212796-132497</f>
        <v>16141708</v>
      </c>
      <c r="F9" s="3">
        <f>6750640-2627916</f>
        <v>4122724</v>
      </c>
      <c r="G9" s="3">
        <v>0</v>
      </c>
      <c r="H9" s="3">
        <v>0</v>
      </c>
      <c r="I9" s="3">
        <f>1028700-728700-300000</f>
        <v>0</v>
      </c>
      <c r="J9" s="3">
        <v>0</v>
      </c>
      <c r="K9" s="2">
        <f>SUM(D9:J9)</f>
        <v>101738770</v>
      </c>
    </row>
    <row r="10" spans="1:11" ht="12.75">
      <c r="A10" s="47" t="s">
        <v>2</v>
      </c>
      <c r="B10" s="47"/>
      <c r="C10" s="39" t="s">
        <v>27</v>
      </c>
      <c r="D10" s="3">
        <f>123256453-1818790-1132465</f>
        <v>120305198</v>
      </c>
      <c r="E10" s="3">
        <f>24240370-318288-198181</f>
        <v>23723901</v>
      </c>
      <c r="F10" s="3">
        <f>7840012-1715382</f>
        <v>6124630</v>
      </c>
      <c r="G10" s="3">
        <v>0</v>
      </c>
      <c r="H10" s="3">
        <v>0</v>
      </c>
      <c r="I10" s="3">
        <f>3873500-3373500-500000</f>
        <v>0</v>
      </c>
      <c r="J10" s="3">
        <v>0</v>
      </c>
      <c r="K10" s="2">
        <f aca="true" t="shared" si="0" ref="K10:K41">SUM(D10:J10)</f>
        <v>150153729</v>
      </c>
    </row>
    <row r="11" spans="1:11" ht="12.75">
      <c r="A11" s="47" t="s">
        <v>4</v>
      </c>
      <c r="B11" s="47"/>
      <c r="C11" s="39" t="s">
        <v>17</v>
      </c>
      <c r="D11" s="3">
        <f>159420665-2330501-1451080</f>
        <v>155639084</v>
      </c>
      <c r="E11" s="3">
        <f>31120833-407838-253939</f>
        <v>30459056</v>
      </c>
      <c r="F11" s="3">
        <f>8233987-1309450</f>
        <v>6924537</v>
      </c>
      <c r="G11" s="3">
        <v>0</v>
      </c>
      <c r="H11" s="3">
        <v>0</v>
      </c>
      <c r="I11" s="3">
        <f>2628900-2328900-300000</f>
        <v>0</v>
      </c>
      <c r="J11" s="3">
        <v>0</v>
      </c>
      <c r="K11" s="2">
        <f t="shared" si="0"/>
        <v>193022677</v>
      </c>
    </row>
    <row r="12" spans="1:11" ht="12.75">
      <c r="A12" s="47" t="s">
        <v>6</v>
      </c>
      <c r="B12" s="47"/>
      <c r="C12" s="39" t="s">
        <v>3</v>
      </c>
      <c r="D12" s="3">
        <f>108420105-1585980-987506</f>
        <v>105846619</v>
      </c>
      <c r="E12" s="3">
        <f>21340510-277546-172814</f>
        <v>20890150</v>
      </c>
      <c r="F12" s="3">
        <f>33362693-3066775</f>
        <v>30295918</v>
      </c>
      <c r="G12" s="3">
        <v>0</v>
      </c>
      <c r="H12" s="3">
        <v>0</v>
      </c>
      <c r="I12" s="3">
        <f>7353300-6553300-800000</f>
        <v>0</v>
      </c>
      <c r="J12" s="3">
        <v>0</v>
      </c>
      <c r="K12" s="2">
        <f t="shared" si="0"/>
        <v>157032687</v>
      </c>
    </row>
    <row r="13" spans="1:11" ht="12.75">
      <c r="A13" s="47" t="s">
        <v>8</v>
      </c>
      <c r="B13" s="47"/>
      <c r="C13" s="39" t="s">
        <v>109</v>
      </c>
      <c r="D13" s="3">
        <f>105731083-1485722-925081</f>
        <v>103320280</v>
      </c>
      <c r="E13" s="3">
        <f>20599271-260001-161889</f>
        <v>20177381</v>
      </c>
      <c r="F13" s="3">
        <f>8185344-4288886</f>
        <v>3896458</v>
      </c>
      <c r="G13" s="3">
        <v>0</v>
      </c>
      <c r="H13" s="3">
        <v>0</v>
      </c>
      <c r="I13" s="3">
        <f>1841500-1541500-300000</f>
        <v>0</v>
      </c>
      <c r="J13" s="3">
        <v>0</v>
      </c>
      <c r="K13" s="2">
        <f t="shared" si="0"/>
        <v>127394119</v>
      </c>
    </row>
    <row r="14" spans="1:11" ht="12.75">
      <c r="A14" s="47" t="s">
        <v>10</v>
      </c>
      <c r="B14" s="47"/>
      <c r="C14" s="39" t="s">
        <v>35</v>
      </c>
      <c r="D14" s="3">
        <f>117338302-1693496-1054451</f>
        <v>114590355</v>
      </c>
      <c r="E14" s="3">
        <f>23037532-296362-184529</f>
        <v>22556641</v>
      </c>
      <c r="F14" s="3">
        <f>8084156-3024557</f>
        <v>5059599</v>
      </c>
      <c r="G14" s="3">
        <v>0</v>
      </c>
      <c r="H14" s="3">
        <v>0</v>
      </c>
      <c r="I14" s="3">
        <f>3530600-3230600-300000</f>
        <v>0</v>
      </c>
      <c r="J14" s="3">
        <v>0</v>
      </c>
      <c r="K14" s="2">
        <f t="shared" si="0"/>
        <v>142206595</v>
      </c>
    </row>
    <row r="15" spans="1:11" ht="12.75">
      <c r="A15" s="47" t="s">
        <v>12</v>
      </c>
      <c r="B15" s="47"/>
      <c r="C15" s="39" t="s">
        <v>52</v>
      </c>
      <c r="D15" s="3">
        <f>108257661-1580670-984200</f>
        <v>105692791</v>
      </c>
      <c r="E15" s="3">
        <f>21231163-276617-172235</f>
        <v>20782311</v>
      </c>
      <c r="F15" s="3">
        <f>9820195-4732266</f>
        <v>5087929</v>
      </c>
      <c r="G15" s="3">
        <v>0</v>
      </c>
      <c r="H15" s="3">
        <v>0</v>
      </c>
      <c r="I15" s="3">
        <v>889000</v>
      </c>
      <c r="J15" s="3">
        <v>0</v>
      </c>
      <c r="K15" s="2">
        <f t="shared" si="0"/>
        <v>132452031</v>
      </c>
    </row>
    <row r="16" spans="1:11" ht="12.75">
      <c r="A16" s="47" t="s">
        <v>14</v>
      </c>
      <c r="B16" s="47"/>
      <c r="C16" s="39" t="s">
        <v>7</v>
      </c>
      <c r="D16" s="3">
        <f>108076507-1579151-983254</f>
        <v>105514102</v>
      </c>
      <c r="E16" s="3">
        <f>21184672-276351-172070</f>
        <v>20736251</v>
      </c>
      <c r="F16" s="3">
        <f>6692401-1865021</f>
        <v>4827380</v>
      </c>
      <c r="G16" s="3">
        <v>0</v>
      </c>
      <c r="H16" s="3">
        <v>0</v>
      </c>
      <c r="I16" s="3">
        <f>3765550-3465550-300000</f>
        <v>0</v>
      </c>
      <c r="J16" s="3">
        <v>0</v>
      </c>
      <c r="K16" s="2">
        <f t="shared" si="0"/>
        <v>131077733</v>
      </c>
    </row>
    <row r="17" spans="1:11" ht="12.75">
      <c r="A17" s="47" t="s">
        <v>16</v>
      </c>
      <c r="B17" s="47"/>
      <c r="C17" s="39" t="s">
        <v>62</v>
      </c>
      <c r="D17" s="3">
        <f>63551710-915321-569922</f>
        <v>62066467</v>
      </c>
      <c r="E17" s="3">
        <f>11105690-160181-99736</f>
        <v>10845773</v>
      </c>
      <c r="F17" s="3">
        <f>5621636-2014930</f>
        <v>3606706</v>
      </c>
      <c r="G17" s="3">
        <v>0</v>
      </c>
      <c r="H17" s="3">
        <v>0</v>
      </c>
      <c r="I17" s="3">
        <f>2419985-2219985-200000</f>
        <v>0</v>
      </c>
      <c r="J17" s="3">
        <v>0</v>
      </c>
      <c r="K17" s="2">
        <f t="shared" si="0"/>
        <v>76518946</v>
      </c>
    </row>
    <row r="18" spans="1:11" ht="12.75">
      <c r="A18" s="47" t="s">
        <v>18</v>
      </c>
      <c r="B18" s="47"/>
      <c r="C18" s="39" t="s">
        <v>1</v>
      </c>
      <c r="D18" s="3">
        <f>320656702-4671423-2908650</f>
        <v>313076629</v>
      </c>
      <c r="E18" s="3">
        <f>62957317-817499-509014</f>
        <v>61630804</v>
      </c>
      <c r="F18" s="3">
        <f>29294061-14766012</f>
        <v>14528049</v>
      </c>
      <c r="G18" s="3">
        <v>0</v>
      </c>
      <c r="H18" s="3">
        <v>0</v>
      </c>
      <c r="I18" s="3">
        <f>23952200-22752200-1200000</f>
        <v>0</v>
      </c>
      <c r="J18" s="3">
        <v>0</v>
      </c>
      <c r="K18" s="2">
        <f t="shared" si="0"/>
        <v>389235482</v>
      </c>
    </row>
    <row r="19" spans="1:11" ht="12.75">
      <c r="A19" s="47" t="s">
        <v>20</v>
      </c>
      <c r="B19" s="47"/>
      <c r="C19" s="39" t="s">
        <v>15</v>
      </c>
      <c r="D19" s="3">
        <f>94113168-1376737-857222</f>
        <v>91879209</v>
      </c>
      <c r="E19" s="3">
        <f>18540686-240929-150014</f>
        <v>18149743</v>
      </c>
      <c r="F19" s="3">
        <f>7661858-2828731</f>
        <v>4833127</v>
      </c>
      <c r="G19" s="3">
        <v>0</v>
      </c>
      <c r="H19" s="3">
        <v>0</v>
      </c>
      <c r="I19" s="3">
        <f>8216900-7916900-300000</f>
        <v>0</v>
      </c>
      <c r="J19" s="3">
        <v>0</v>
      </c>
      <c r="K19" s="2">
        <f t="shared" si="0"/>
        <v>114862079</v>
      </c>
    </row>
    <row r="20" spans="1:11" ht="12.75">
      <c r="A20" s="47" t="s">
        <v>22</v>
      </c>
      <c r="B20" s="47"/>
      <c r="C20" s="39" t="s">
        <v>29</v>
      </c>
      <c r="D20" s="3">
        <f>69970395-1036515-645384</f>
        <v>68288496</v>
      </c>
      <c r="E20" s="3">
        <f>12188000-181390-112942</f>
        <v>11893668</v>
      </c>
      <c r="F20" s="3">
        <f>5245644-1238509</f>
        <v>4007135</v>
      </c>
      <c r="G20" s="3">
        <v>0</v>
      </c>
      <c r="H20" s="3">
        <v>0</v>
      </c>
      <c r="I20" s="3">
        <f>1619250-1319250-300000</f>
        <v>0</v>
      </c>
      <c r="J20" s="3">
        <v>0</v>
      </c>
      <c r="K20" s="2">
        <f t="shared" si="0"/>
        <v>84189299</v>
      </c>
    </row>
    <row r="21" spans="1:11" ht="12.75">
      <c r="A21" s="47" t="s">
        <v>24</v>
      </c>
      <c r="B21" s="47"/>
      <c r="C21" s="39" t="s">
        <v>37</v>
      </c>
      <c r="D21" s="3">
        <f>116206623-1693348-1054358</f>
        <v>113458917</v>
      </c>
      <c r="E21" s="3">
        <f>22850311-296336-184513</f>
        <v>22369462</v>
      </c>
      <c r="F21" s="3">
        <f>7758266-3158285</f>
        <v>4599981</v>
      </c>
      <c r="G21" s="3">
        <v>0</v>
      </c>
      <c r="H21" s="3">
        <v>0</v>
      </c>
      <c r="I21" s="3">
        <f>4883150-4183150-700000</f>
        <v>0</v>
      </c>
      <c r="J21" s="3">
        <v>0</v>
      </c>
      <c r="K21" s="2">
        <f t="shared" si="0"/>
        <v>140428360</v>
      </c>
    </row>
    <row r="22" spans="1:11" ht="12.75">
      <c r="A22" s="47" t="s">
        <v>26</v>
      </c>
      <c r="B22" s="47"/>
      <c r="C22" s="39" t="s">
        <v>21</v>
      </c>
      <c r="D22" s="3">
        <f>106907979-1585996-987516</f>
        <v>104334467</v>
      </c>
      <c r="E22" s="3">
        <f>21083003-277549-172815</f>
        <v>20632639</v>
      </c>
      <c r="F22" s="3">
        <f>7647712-2421210</f>
        <v>5226502</v>
      </c>
      <c r="G22" s="3">
        <v>0</v>
      </c>
      <c r="H22" s="3">
        <v>0</v>
      </c>
      <c r="I22" s="3">
        <f>4127500-3827500-300000</f>
        <v>0</v>
      </c>
      <c r="J22" s="3">
        <v>0</v>
      </c>
      <c r="K22" s="2">
        <f t="shared" si="0"/>
        <v>130193608</v>
      </c>
    </row>
    <row r="23" spans="1:11" ht="12.75">
      <c r="A23" s="47" t="s">
        <v>28</v>
      </c>
      <c r="B23" s="47"/>
      <c r="C23" s="39" t="s">
        <v>60</v>
      </c>
      <c r="D23" s="3">
        <f>86266785-1256704-782484</f>
        <v>84227597</v>
      </c>
      <c r="E23" s="3">
        <f>16980387-219923-136935</f>
        <v>16623529</v>
      </c>
      <c r="F23" s="3">
        <f>8460287-3256115</f>
        <v>5204172</v>
      </c>
      <c r="G23" s="3">
        <v>0</v>
      </c>
      <c r="H23" s="3">
        <v>0</v>
      </c>
      <c r="I23" s="3">
        <f>6328410-6028410-300000</f>
        <v>0</v>
      </c>
      <c r="J23" s="3">
        <v>0</v>
      </c>
      <c r="K23" s="2">
        <f t="shared" si="0"/>
        <v>106055298</v>
      </c>
    </row>
    <row r="24" spans="1:11" ht="12.75">
      <c r="A24" s="47" t="s">
        <v>30</v>
      </c>
      <c r="B24" s="47"/>
      <c r="C24" s="39" t="s">
        <v>9</v>
      </c>
      <c r="D24" s="3">
        <f>110122570-1602468-997772</f>
        <v>107522330</v>
      </c>
      <c r="E24" s="3">
        <f>21502516-280432-174610</f>
        <v>21047474</v>
      </c>
      <c r="F24" s="3">
        <f>8053490-3721555</f>
        <v>4331935</v>
      </c>
      <c r="G24" s="3">
        <v>0</v>
      </c>
      <c r="H24" s="3">
        <v>0</v>
      </c>
      <c r="I24" s="3">
        <f>8327390-8027390-300000</f>
        <v>0</v>
      </c>
      <c r="J24" s="3">
        <v>0</v>
      </c>
      <c r="K24" s="2">
        <f t="shared" si="0"/>
        <v>132901739</v>
      </c>
    </row>
    <row r="25" spans="1:11" ht="12.75">
      <c r="A25" s="47" t="s">
        <v>32</v>
      </c>
      <c r="B25" s="47"/>
      <c r="C25" s="39" t="s">
        <v>19</v>
      </c>
      <c r="D25" s="3">
        <f>80348474-1189850-740857</f>
        <v>78417767</v>
      </c>
      <c r="E25" s="3">
        <f>14046565-208224-129650</f>
        <v>13708691</v>
      </c>
      <c r="F25" s="3">
        <f>5165292-996861</f>
        <v>4168431</v>
      </c>
      <c r="G25" s="3">
        <v>0</v>
      </c>
      <c r="H25" s="3">
        <v>0</v>
      </c>
      <c r="I25" s="3">
        <f>2133600-1833600-300000</f>
        <v>0</v>
      </c>
      <c r="J25" s="3">
        <v>0</v>
      </c>
      <c r="K25" s="2">
        <f t="shared" si="0"/>
        <v>96294889</v>
      </c>
    </row>
    <row r="26" spans="1:11" ht="12.75">
      <c r="A26" s="47" t="s">
        <v>34</v>
      </c>
      <c r="B26" s="47"/>
      <c r="C26" s="39" t="s">
        <v>5</v>
      </c>
      <c r="D26" s="3">
        <f>134173697-1940394-1208181</f>
        <v>131025122</v>
      </c>
      <c r="E26" s="3">
        <f>26264754-339569-211432</f>
        <v>25713753</v>
      </c>
      <c r="F26" s="3">
        <f>10540277-2893106</f>
        <v>7647171</v>
      </c>
      <c r="G26" s="3">
        <v>0</v>
      </c>
      <c r="H26" s="3">
        <v>0</v>
      </c>
      <c r="I26" s="3">
        <f>2249170-1949170-300000</f>
        <v>0</v>
      </c>
      <c r="J26" s="3">
        <v>0</v>
      </c>
      <c r="K26" s="2">
        <f t="shared" si="0"/>
        <v>164386046</v>
      </c>
    </row>
    <row r="27" spans="1:11" ht="12.75">
      <c r="A27" s="47" t="s">
        <v>36</v>
      </c>
      <c r="B27" s="47"/>
      <c r="C27" s="39" t="s">
        <v>56</v>
      </c>
      <c r="D27" s="3">
        <f>97103174-1362506-848361</f>
        <v>94892307</v>
      </c>
      <c r="E27" s="3">
        <f>19101841-238439-148463</f>
        <v>18714939</v>
      </c>
      <c r="F27" s="3">
        <f>14294366-6409591</f>
        <v>7884775</v>
      </c>
      <c r="G27" s="3">
        <v>0</v>
      </c>
      <c r="H27" s="3">
        <v>0</v>
      </c>
      <c r="I27" s="3">
        <f>5695950-5395950-300000</f>
        <v>0</v>
      </c>
      <c r="J27" s="3">
        <v>0</v>
      </c>
      <c r="K27" s="2">
        <f t="shared" si="0"/>
        <v>121492021</v>
      </c>
    </row>
    <row r="28" spans="1:11" ht="12.75">
      <c r="A28" s="47" t="s">
        <v>38</v>
      </c>
      <c r="B28" s="47"/>
      <c r="C28" s="39" t="s">
        <v>31</v>
      </c>
      <c r="D28" s="3">
        <f>118401962-1722994-1072818</f>
        <v>115606150</v>
      </c>
      <c r="E28" s="3">
        <f>23232401-301524-187743</f>
        <v>22743134</v>
      </c>
      <c r="F28" s="3">
        <f>20700334-13632276</f>
        <v>7068058</v>
      </c>
      <c r="G28" s="3">
        <v>0</v>
      </c>
      <c r="H28" s="3">
        <v>0</v>
      </c>
      <c r="I28" s="3">
        <f>14071600-13571600-500000</f>
        <v>0</v>
      </c>
      <c r="J28" s="3">
        <v>0</v>
      </c>
      <c r="K28" s="2">
        <f t="shared" si="0"/>
        <v>145417342</v>
      </c>
    </row>
    <row r="29" spans="1:11" ht="12.75">
      <c r="A29" s="47" t="s">
        <v>40</v>
      </c>
      <c r="B29" s="47"/>
      <c r="C29" s="39" t="s">
        <v>11</v>
      </c>
      <c r="D29" s="3">
        <f>93148516-1362946-848635</f>
        <v>90936935</v>
      </c>
      <c r="E29" s="3">
        <f>18480877-238516-148511</f>
        <v>18093850</v>
      </c>
      <c r="F29" s="3">
        <f>13298619-2600427</f>
        <v>10698192</v>
      </c>
      <c r="G29" s="3">
        <v>0</v>
      </c>
      <c r="H29" s="3">
        <v>0</v>
      </c>
      <c r="I29" s="3">
        <f>5537200-5237200-300000</f>
        <v>0</v>
      </c>
      <c r="J29" s="3">
        <v>0</v>
      </c>
      <c r="K29" s="2">
        <f t="shared" si="0"/>
        <v>119728977</v>
      </c>
    </row>
    <row r="30" spans="1:11" ht="12.75">
      <c r="A30" s="47" t="s">
        <v>42</v>
      </c>
      <c r="B30" s="47"/>
      <c r="C30" s="39" t="s">
        <v>50</v>
      </c>
      <c r="D30" s="3">
        <f>111030077-1586528-987848</f>
        <v>108455701</v>
      </c>
      <c r="E30" s="3">
        <f>21773541-277643-172873</f>
        <v>21323025</v>
      </c>
      <c r="F30" s="3">
        <f>9253968-4917442</f>
        <v>4336526</v>
      </c>
      <c r="G30" s="3">
        <v>0</v>
      </c>
      <c r="H30" s="3">
        <v>0</v>
      </c>
      <c r="I30" s="3">
        <f>2184400-2034400-150000</f>
        <v>0</v>
      </c>
      <c r="J30" s="3">
        <v>0</v>
      </c>
      <c r="K30" s="2">
        <f t="shared" si="0"/>
        <v>134115252</v>
      </c>
    </row>
    <row r="31" spans="1:11" ht="12.75">
      <c r="A31" s="47" t="s">
        <v>44</v>
      </c>
      <c r="B31" s="47"/>
      <c r="C31" s="39" t="s">
        <v>47</v>
      </c>
      <c r="D31" s="3">
        <f>78160181-1151686-717094</f>
        <v>76291401</v>
      </c>
      <c r="E31" s="3">
        <f>13678032-201545-125491</f>
        <v>13350996</v>
      </c>
      <c r="F31" s="3">
        <f>6178626-2238631</f>
        <v>3939995</v>
      </c>
      <c r="G31" s="3">
        <v>0</v>
      </c>
      <c r="H31" s="3">
        <v>0</v>
      </c>
      <c r="I31" s="3">
        <f>4000500-3700500-300000</f>
        <v>0</v>
      </c>
      <c r="J31" s="3">
        <v>0</v>
      </c>
      <c r="K31" s="2">
        <f t="shared" si="0"/>
        <v>93582392</v>
      </c>
    </row>
    <row r="32" spans="1:11" ht="12.75">
      <c r="A32" s="47" t="s">
        <v>46</v>
      </c>
      <c r="B32" s="47"/>
      <c r="C32" s="39" t="s">
        <v>45</v>
      </c>
      <c r="D32" s="3">
        <f>103804988-1490279-927918</f>
        <v>101386791</v>
      </c>
      <c r="E32" s="3">
        <f>20328874-260799-162386</f>
        <v>19905689</v>
      </c>
      <c r="F32" s="3">
        <f>8225649-2278538</f>
        <v>5947111</v>
      </c>
      <c r="G32" s="3">
        <v>0</v>
      </c>
      <c r="H32" s="3">
        <v>0</v>
      </c>
      <c r="I32" s="3">
        <f>3329940-3029940-300000</f>
        <v>0</v>
      </c>
      <c r="J32" s="3">
        <v>0</v>
      </c>
      <c r="K32" s="2">
        <f t="shared" si="0"/>
        <v>127239591</v>
      </c>
    </row>
    <row r="33" spans="1:11" ht="12.75">
      <c r="A33" s="47" t="s">
        <v>48</v>
      </c>
      <c r="B33" s="47"/>
      <c r="C33" s="39" t="s">
        <v>13</v>
      </c>
      <c r="D33" s="4">
        <f>162726834-2377847-1480560</f>
        <v>158868427</v>
      </c>
      <c r="E33" s="4">
        <f>32019570-416123-259098</f>
        <v>31344349</v>
      </c>
      <c r="F33" s="4">
        <f>11953403-5125586</f>
        <v>6827817</v>
      </c>
      <c r="G33" s="4">
        <v>0</v>
      </c>
      <c r="H33" s="4">
        <v>0</v>
      </c>
      <c r="I33" s="4">
        <f>14557502-13357502-1200000</f>
        <v>0</v>
      </c>
      <c r="J33" s="4">
        <v>0</v>
      </c>
      <c r="K33" s="2">
        <f t="shared" si="0"/>
        <v>197040593</v>
      </c>
    </row>
    <row r="34" spans="1:11" ht="12.75">
      <c r="A34" s="47" t="s">
        <v>49</v>
      </c>
      <c r="B34" s="47"/>
      <c r="C34" s="39" t="s">
        <v>41</v>
      </c>
      <c r="D34" s="3">
        <f>133373473-1956972-1218503</f>
        <v>130197998</v>
      </c>
      <c r="E34" s="3">
        <f>26162356-342470-213238</f>
        <v>25606648</v>
      </c>
      <c r="F34" s="3">
        <f>8544026-2692852</f>
        <v>5851174</v>
      </c>
      <c r="G34" s="3">
        <v>0</v>
      </c>
      <c r="H34" s="3">
        <v>0</v>
      </c>
      <c r="I34" s="3">
        <f>7029450-6529450-500000</f>
        <v>0</v>
      </c>
      <c r="J34" s="3">
        <v>0</v>
      </c>
      <c r="K34" s="2">
        <f t="shared" si="0"/>
        <v>161655820</v>
      </c>
    </row>
    <row r="35" spans="1:11" ht="12.75">
      <c r="A35" s="47" t="s">
        <v>51</v>
      </c>
      <c r="B35" s="47"/>
      <c r="C35" s="39" t="s">
        <v>33</v>
      </c>
      <c r="D35" s="3">
        <f>113387125-1656685-1031530</f>
        <v>110698910</v>
      </c>
      <c r="E35" s="3">
        <f>22450947-289920-180518</f>
        <v>21980509</v>
      </c>
      <c r="F35" s="3">
        <f>8136864-3155931</f>
        <v>4980933</v>
      </c>
      <c r="G35" s="3">
        <v>0</v>
      </c>
      <c r="H35" s="3">
        <v>0</v>
      </c>
      <c r="I35" s="3">
        <f>9725602-9425602-300000</f>
        <v>0</v>
      </c>
      <c r="J35" s="3">
        <v>0</v>
      </c>
      <c r="K35" s="2">
        <f t="shared" si="0"/>
        <v>137660352</v>
      </c>
    </row>
    <row r="36" spans="1:11" ht="12.75">
      <c r="A36" s="47" t="s">
        <v>53</v>
      </c>
      <c r="B36" s="47"/>
      <c r="C36" s="39" t="s">
        <v>25</v>
      </c>
      <c r="D36" s="3">
        <f>107355780-1578882-983087</f>
        <v>104793811</v>
      </c>
      <c r="E36" s="3">
        <f>21124499-276304-172040</f>
        <v>20676155</v>
      </c>
      <c r="F36" s="3">
        <f>10119696-5078133</f>
        <v>5041563</v>
      </c>
      <c r="G36" s="4">
        <v>0</v>
      </c>
      <c r="H36" s="4">
        <v>0</v>
      </c>
      <c r="I36" s="3">
        <f>7228840-6928840-300000</f>
        <v>0</v>
      </c>
      <c r="J36" s="4">
        <v>0</v>
      </c>
      <c r="K36" s="2">
        <f t="shared" si="0"/>
        <v>130511529</v>
      </c>
    </row>
    <row r="37" spans="1:11" ht="12.75">
      <c r="A37" s="47" t="s">
        <v>55</v>
      </c>
      <c r="B37" s="47"/>
      <c r="C37" s="39" t="s">
        <v>23</v>
      </c>
      <c r="D37" s="3">
        <f>104968165-1540064-958917</f>
        <v>102469184</v>
      </c>
      <c r="E37" s="3">
        <f>20668129-269512-167810</f>
        <v>20230807</v>
      </c>
      <c r="F37" s="3">
        <f>8124156-3623114</f>
        <v>4501042</v>
      </c>
      <c r="G37" s="3">
        <v>0</v>
      </c>
      <c r="H37" s="3">
        <v>0</v>
      </c>
      <c r="I37" s="3">
        <f>6032500-5732500-300000</f>
        <v>0</v>
      </c>
      <c r="J37" s="3">
        <v>0</v>
      </c>
      <c r="K37" s="2">
        <f t="shared" si="0"/>
        <v>127201033</v>
      </c>
    </row>
    <row r="38" spans="1:11" ht="12.75">
      <c r="A38" s="47" t="s">
        <v>57</v>
      </c>
      <c r="B38" s="47"/>
      <c r="C38" s="39" t="s">
        <v>39</v>
      </c>
      <c r="D38" s="3">
        <f>122391392-1790614-1114921</f>
        <v>119485857</v>
      </c>
      <c r="E38" s="3">
        <f>23985623-313358-195111</f>
        <v>23477154</v>
      </c>
      <c r="F38" s="3">
        <f>6450446-1938508</f>
        <v>4511938</v>
      </c>
      <c r="G38" s="3">
        <v>0</v>
      </c>
      <c r="H38" s="3">
        <v>0</v>
      </c>
      <c r="I38" s="3">
        <f>3848100-3548100-300000</f>
        <v>0</v>
      </c>
      <c r="J38" s="3">
        <v>0</v>
      </c>
      <c r="K38" s="2">
        <f t="shared" si="0"/>
        <v>147474949</v>
      </c>
    </row>
    <row r="39" spans="1:11" ht="12.75">
      <c r="A39" s="47" t="s">
        <v>59</v>
      </c>
      <c r="B39" s="47"/>
      <c r="C39" s="39" t="s">
        <v>43</v>
      </c>
      <c r="D39" s="3">
        <f>108486192-1581354-984626</f>
        <v>105920212</v>
      </c>
      <c r="E39" s="3">
        <f>21182714-276737-172310</f>
        <v>20733667</v>
      </c>
      <c r="F39" s="3">
        <f>7825756-3880070</f>
        <v>3945686</v>
      </c>
      <c r="G39" s="3">
        <v>0</v>
      </c>
      <c r="H39" s="3">
        <v>0</v>
      </c>
      <c r="I39" s="3">
        <f>8007350-7707350-300000</f>
        <v>0</v>
      </c>
      <c r="J39" s="3">
        <v>0</v>
      </c>
      <c r="K39" s="2">
        <f t="shared" si="0"/>
        <v>130599565</v>
      </c>
    </row>
    <row r="40" spans="1:11" ht="12.75">
      <c r="A40" s="47" t="s">
        <v>61</v>
      </c>
      <c r="B40" s="47"/>
      <c r="C40" s="39" t="s">
        <v>58</v>
      </c>
      <c r="D40" s="3">
        <f>111005957-1590276-990181</f>
        <v>108425500</v>
      </c>
      <c r="E40" s="3">
        <f>21718798-278298-173282</f>
        <v>21267218</v>
      </c>
      <c r="F40" s="3">
        <f>8424278-2073196</f>
        <v>6351082</v>
      </c>
      <c r="G40" s="3">
        <v>0</v>
      </c>
      <c r="H40" s="3">
        <v>0</v>
      </c>
      <c r="I40" s="3">
        <f>3048000-2748000-300000</f>
        <v>0</v>
      </c>
      <c r="J40" s="3">
        <v>0</v>
      </c>
      <c r="K40" s="2">
        <f t="shared" si="0"/>
        <v>136043800</v>
      </c>
    </row>
    <row r="41" spans="1:11" ht="12.75">
      <c r="A41" s="47" t="s">
        <v>63</v>
      </c>
      <c r="B41" s="47"/>
      <c r="C41" s="39" t="s">
        <v>64</v>
      </c>
      <c r="D41" s="3">
        <f>93578940-1365214-850047</f>
        <v>91363679</v>
      </c>
      <c r="E41" s="3">
        <f>18371652-238912-148758</f>
        <v>17983982</v>
      </c>
      <c r="F41" s="3">
        <f>6346213-2113389</f>
        <v>4232824</v>
      </c>
      <c r="G41" s="3">
        <v>0</v>
      </c>
      <c r="H41" s="3">
        <v>0</v>
      </c>
      <c r="I41" s="3">
        <f>4229100-3929100-300000</f>
        <v>0</v>
      </c>
      <c r="J41" s="3">
        <v>0</v>
      </c>
      <c r="K41" s="2">
        <f t="shared" si="0"/>
        <v>113580485</v>
      </c>
    </row>
    <row r="42" spans="1:11" s="7" customFormat="1" ht="12.75">
      <c r="A42" s="50" t="s">
        <v>110</v>
      </c>
      <c r="B42" s="50"/>
      <c r="C42" s="50"/>
      <c r="D42" s="2">
        <f aca="true" t="shared" si="1" ref="D42:K42">SUM(D9:D41)</f>
        <v>3666472631</v>
      </c>
      <c r="E42" s="2">
        <f t="shared" si="1"/>
        <v>715515057</v>
      </c>
      <c r="F42" s="2">
        <f t="shared" si="1"/>
        <v>210611100</v>
      </c>
      <c r="G42" s="2">
        <f t="shared" si="1"/>
        <v>0</v>
      </c>
      <c r="H42" s="2">
        <f t="shared" si="1"/>
        <v>0</v>
      </c>
      <c r="I42" s="2">
        <f t="shared" si="1"/>
        <v>889000</v>
      </c>
      <c r="J42" s="2">
        <f t="shared" si="1"/>
        <v>0</v>
      </c>
      <c r="K42" s="2">
        <f t="shared" si="1"/>
        <v>4593487788</v>
      </c>
    </row>
    <row r="43" spans="1:11" ht="12.75">
      <c r="A43" s="8" t="s">
        <v>65</v>
      </c>
      <c r="B43" s="8"/>
      <c r="C43" s="41" t="s">
        <v>73</v>
      </c>
      <c r="D43" s="3">
        <v>741054401</v>
      </c>
      <c r="E43" s="3">
        <v>139041171</v>
      </c>
      <c r="F43" s="3">
        <v>419892403</v>
      </c>
      <c r="G43" s="3">
        <v>0</v>
      </c>
      <c r="H43" s="3">
        <v>0</v>
      </c>
      <c r="I43" s="3">
        <v>0</v>
      </c>
      <c r="J43" s="3">
        <v>0</v>
      </c>
      <c r="K43" s="2">
        <f>SUM(D43:J43)</f>
        <v>1299987975</v>
      </c>
    </row>
    <row r="44" spans="1:11" ht="12.75">
      <c r="A44" s="8" t="s">
        <v>68</v>
      </c>
      <c r="B44" s="8"/>
      <c r="C44" s="9" t="s">
        <v>107</v>
      </c>
      <c r="D44" s="3">
        <v>659443099</v>
      </c>
      <c r="E44" s="3">
        <v>128308739</v>
      </c>
      <c r="F44" s="3">
        <v>3809195001</v>
      </c>
      <c r="G44" s="3">
        <v>0</v>
      </c>
      <c r="H44" s="3">
        <v>0</v>
      </c>
      <c r="I44" s="3">
        <f>23596600-22596600-1000000</f>
        <v>0</v>
      </c>
      <c r="J44" s="3">
        <v>0</v>
      </c>
      <c r="K44" s="2">
        <f aca="true" t="shared" si="2" ref="K44:K51">SUM(D44:J44)</f>
        <v>4596946839</v>
      </c>
    </row>
    <row r="45" spans="1:11" ht="12.75">
      <c r="A45" s="8" t="s">
        <v>70</v>
      </c>
      <c r="B45" s="8"/>
      <c r="C45" s="9" t="s">
        <v>78</v>
      </c>
      <c r="D45" s="3">
        <v>391657841</v>
      </c>
      <c r="E45" s="3">
        <v>79260177</v>
      </c>
      <c r="F45" s="3">
        <v>765278373</v>
      </c>
      <c r="G45" s="3">
        <v>0</v>
      </c>
      <c r="H45" s="3">
        <v>0</v>
      </c>
      <c r="I45" s="3">
        <v>1270000</v>
      </c>
      <c r="J45" s="3">
        <v>2540000</v>
      </c>
      <c r="K45" s="2">
        <f t="shared" si="2"/>
        <v>1240006391</v>
      </c>
    </row>
    <row r="46" spans="1:11" ht="12.75">
      <c r="A46" s="8" t="s">
        <v>72</v>
      </c>
      <c r="B46" s="8"/>
      <c r="C46" s="42" t="s">
        <v>71</v>
      </c>
      <c r="D46" s="3">
        <v>142211104</v>
      </c>
      <c r="E46" s="3">
        <v>28998789</v>
      </c>
      <c r="F46" s="3">
        <f>131821953-635000</f>
        <v>131186953</v>
      </c>
      <c r="G46" s="3">
        <v>0</v>
      </c>
      <c r="H46" s="3">
        <v>0</v>
      </c>
      <c r="I46" s="3">
        <v>635000</v>
      </c>
      <c r="J46" s="3">
        <v>9600000</v>
      </c>
      <c r="K46" s="2">
        <f t="shared" si="2"/>
        <v>312631846</v>
      </c>
    </row>
    <row r="47" spans="1:11" ht="12.75">
      <c r="A47" s="8" t="s">
        <v>74</v>
      </c>
      <c r="B47" s="8"/>
      <c r="C47" s="43" t="s">
        <v>96</v>
      </c>
      <c r="D47" s="3">
        <v>425627717</v>
      </c>
      <c r="E47" s="3">
        <v>77780708</v>
      </c>
      <c r="F47" s="3">
        <v>962116734</v>
      </c>
      <c r="G47" s="3">
        <v>0</v>
      </c>
      <c r="H47" s="3">
        <v>0</v>
      </c>
      <c r="I47" s="3">
        <v>173233801</v>
      </c>
      <c r="J47" s="3">
        <v>0</v>
      </c>
      <c r="K47" s="2">
        <f t="shared" si="2"/>
        <v>1638758960</v>
      </c>
    </row>
    <row r="48" spans="1:11" ht="12.75">
      <c r="A48" s="8" t="s">
        <v>76</v>
      </c>
      <c r="B48" s="8"/>
      <c r="C48" s="44" t="s">
        <v>108</v>
      </c>
      <c r="D48" s="3">
        <v>364598065</v>
      </c>
      <c r="E48" s="3">
        <v>72522462</v>
      </c>
      <c r="F48" s="3">
        <v>55251191</v>
      </c>
      <c r="G48" s="3">
        <v>0</v>
      </c>
      <c r="H48" s="3">
        <v>0</v>
      </c>
      <c r="I48" s="3">
        <v>1651000</v>
      </c>
      <c r="J48" s="3">
        <v>0</v>
      </c>
      <c r="K48" s="2">
        <f>SUM(D48:J48)</f>
        <v>494022718</v>
      </c>
    </row>
    <row r="49" spans="1:11" ht="12.75">
      <c r="A49" s="8" t="s">
        <v>77</v>
      </c>
      <c r="B49" s="8"/>
      <c r="C49" s="44" t="s">
        <v>84</v>
      </c>
      <c r="D49" s="3">
        <v>954574393</v>
      </c>
      <c r="E49" s="3">
        <v>186819616</v>
      </c>
      <c r="F49" s="3">
        <v>132117364</v>
      </c>
      <c r="G49" s="3">
        <v>0</v>
      </c>
      <c r="H49" s="3">
        <v>0</v>
      </c>
      <c r="I49" s="3">
        <v>2731507</v>
      </c>
      <c r="J49" s="3">
        <v>0</v>
      </c>
      <c r="K49" s="2">
        <f t="shared" si="2"/>
        <v>1276242880</v>
      </c>
    </row>
    <row r="50" spans="1:11" ht="12.75">
      <c r="A50" s="8" t="s">
        <v>79</v>
      </c>
      <c r="B50" s="8"/>
      <c r="C50" s="44" t="s">
        <v>86</v>
      </c>
      <c r="D50" s="3">
        <f>86982983-0</f>
        <v>86982983</v>
      </c>
      <c r="E50" s="3">
        <f>17375535-0</f>
        <v>17375535</v>
      </c>
      <c r="F50" s="3">
        <v>22134869</v>
      </c>
      <c r="G50" s="3">
        <v>414120</v>
      </c>
      <c r="H50" s="3">
        <v>0</v>
      </c>
      <c r="I50" s="3">
        <v>2002500</v>
      </c>
      <c r="J50" s="3">
        <v>254000</v>
      </c>
      <c r="K50" s="2">
        <f t="shared" si="2"/>
        <v>129164007</v>
      </c>
    </row>
    <row r="51" spans="1:11" ht="12.75">
      <c r="A51" s="8" t="s">
        <v>80</v>
      </c>
      <c r="B51" s="8"/>
      <c r="C51" s="45" t="s">
        <v>82</v>
      </c>
      <c r="D51" s="3">
        <v>860923641</v>
      </c>
      <c r="E51" s="3">
        <v>168851589</v>
      </c>
      <c r="F51" s="3">
        <v>354529283</v>
      </c>
      <c r="G51" s="3">
        <v>410400</v>
      </c>
      <c r="H51" s="3">
        <v>0</v>
      </c>
      <c r="I51" s="3">
        <f>29771760-27771760-2000000</f>
        <v>0</v>
      </c>
      <c r="J51" s="3">
        <v>0</v>
      </c>
      <c r="K51" s="2">
        <f t="shared" si="2"/>
        <v>1384714913</v>
      </c>
    </row>
    <row r="52" spans="1:21" s="7" customFormat="1" ht="12.75">
      <c r="A52" s="32" t="s">
        <v>81</v>
      </c>
      <c r="B52" s="32"/>
      <c r="C52" s="33" t="s">
        <v>66</v>
      </c>
      <c r="D52" s="2">
        <f aca="true" t="shared" si="3" ref="D52:K52">D53+D54</f>
        <v>565473367</v>
      </c>
      <c r="E52" s="2">
        <f t="shared" si="3"/>
        <v>107157713</v>
      </c>
      <c r="F52" s="2">
        <f>F53+F54</f>
        <v>218777078</v>
      </c>
      <c r="G52" s="2">
        <f t="shared" si="3"/>
        <v>0</v>
      </c>
      <c r="H52" s="2">
        <f t="shared" si="3"/>
        <v>0</v>
      </c>
      <c r="I52" s="2">
        <f t="shared" si="3"/>
        <v>1634000</v>
      </c>
      <c r="J52" s="2">
        <f t="shared" si="3"/>
        <v>0</v>
      </c>
      <c r="K52" s="2">
        <f t="shared" si="3"/>
        <v>893042158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11" s="38" customFormat="1" ht="25.5">
      <c r="A53" s="35"/>
      <c r="B53" s="24" t="s">
        <v>112</v>
      </c>
      <c r="C53" s="36" t="s">
        <v>67</v>
      </c>
      <c r="D53" s="37">
        <v>356051269</v>
      </c>
      <c r="E53" s="37">
        <v>68526949</v>
      </c>
      <c r="F53" s="37">
        <v>180963562</v>
      </c>
      <c r="G53" s="37">
        <v>0</v>
      </c>
      <c r="H53" s="37">
        <v>0</v>
      </c>
      <c r="I53" s="37">
        <v>1214000</v>
      </c>
      <c r="J53" s="37">
        <f>5080000-5080000</f>
        <v>0</v>
      </c>
      <c r="K53" s="37">
        <f>SUM(D53:J53)</f>
        <v>606755780</v>
      </c>
    </row>
    <row r="54" spans="1:11" s="38" customFormat="1" ht="12.75">
      <c r="A54" s="35"/>
      <c r="B54" s="24" t="s">
        <v>113</v>
      </c>
      <c r="C54" s="36" t="s">
        <v>114</v>
      </c>
      <c r="D54" s="37">
        <v>209422098</v>
      </c>
      <c r="E54" s="37">
        <v>38630764</v>
      </c>
      <c r="F54" s="37">
        <v>37813516</v>
      </c>
      <c r="G54" s="37">
        <v>0</v>
      </c>
      <c r="H54" s="37">
        <v>0</v>
      </c>
      <c r="I54" s="37">
        <v>420000</v>
      </c>
      <c r="J54" s="37">
        <v>0</v>
      </c>
      <c r="K54" s="37">
        <f>SUM(D54:J54)</f>
        <v>286286378</v>
      </c>
    </row>
    <row r="55" spans="1:11" ht="12.75">
      <c r="A55" s="8" t="s">
        <v>83</v>
      </c>
      <c r="B55" s="8"/>
      <c r="C55" s="42" t="s">
        <v>69</v>
      </c>
      <c r="D55" s="3">
        <v>287158667</v>
      </c>
      <c r="E55" s="3">
        <v>56195499</v>
      </c>
      <c r="F55" s="3">
        <v>122168542</v>
      </c>
      <c r="G55" s="3">
        <v>0</v>
      </c>
      <c r="H55" s="3">
        <v>0</v>
      </c>
      <c r="I55" s="3">
        <v>32591198</v>
      </c>
      <c r="J55" s="3">
        <f>57245250-57245250</f>
        <v>0</v>
      </c>
      <c r="K55" s="2">
        <f>SUM(D55:J55)</f>
        <v>498113906</v>
      </c>
    </row>
    <row r="56" spans="1:11" ht="12.75">
      <c r="A56" s="8" t="s">
        <v>85</v>
      </c>
      <c r="B56" s="8"/>
      <c r="C56" s="41" t="s">
        <v>75</v>
      </c>
      <c r="D56" s="3">
        <v>165786246</v>
      </c>
      <c r="E56" s="3">
        <v>29539803</v>
      </c>
      <c r="F56" s="3">
        <v>77814092</v>
      </c>
      <c r="G56" s="3">
        <v>0</v>
      </c>
      <c r="H56" s="3">
        <v>0</v>
      </c>
      <c r="I56" s="3">
        <v>15000000</v>
      </c>
      <c r="J56" s="3">
        <v>0</v>
      </c>
      <c r="K56" s="2">
        <f>SUM(D56:J56)</f>
        <v>288140141</v>
      </c>
    </row>
    <row r="57" spans="1:11" ht="12.75">
      <c r="A57" s="54" t="s">
        <v>111</v>
      </c>
      <c r="B57" s="54"/>
      <c r="C57" s="54"/>
      <c r="D57" s="2">
        <f aca="true" t="shared" si="4" ref="D57:K57">D42+D43+D44+D45+D46+D47+D48+D49+D50+D51+D52+D55+D56</f>
        <v>9311964155</v>
      </c>
      <c r="E57" s="2">
        <f t="shared" si="4"/>
        <v>1807366858</v>
      </c>
      <c r="F57" s="2">
        <f t="shared" si="4"/>
        <v>7281072983</v>
      </c>
      <c r="G57" s="2">
        <f t="shared" si="4"/>
        <v>824520</v>
      </c>
      <c r="H57" s="2">
        <f t="shared" si="4"/>
        <v>0</v>
      </c>
      <c r="I57" s="2">
        <f t="shared" si="4"/>
        <v>231638006</v>
      </c>
      <c r="J57" s="2">
        <f t="shared" si="4"/>
        <v>12394000</v>
      </c>
      <c r="K57" s="2">
        <f t="shared" si="4"/>
        <v>18645260522</v>
      </c>
    </row>
    <row r="58" spans="1:11" ht="12.75">
      <c r="A58" s="32" t="s">
        <v>87</v>
      </c>
      <c r="B58" s="32"/>
      <c r="C58" s="48" t="s">
        <v>88</v>
      </c>
      <c r="D58" s="2">
        <f>3156771377-125000000-114157814</f>
        <v>2917613563</v>
      </c>
      <c r="E58" s="2">
        <f>601184225-21875000-19977618</f>
        <v>559331607</v>
      </c>
      <c r="F58" s="2">
        <f>794810259-40000000</f>
        <v>754810259</v>
      </c>
      <c r="G58" s="2">
        <v>2000000</v>
      </c>
      <c r="H58" s="2">
        <v>1000000</v>
      </c>
      <c r="I58" s="2">
        <f>557036073-522036073</f>
        <v>35000000</v>
      </c>
      <c r="J58" s="2">
        <f>103950000-73950000</f>
        <v>30000000</v>
      </c>
      <c r="K58" s="2">
        <f>SUM(D58:J58)</f>
        <v>4299755429</v>
      </c>
    </row>
    <row r="59" spans="1:11" ht="12.75">
      <c r="A59" s="50" t="s">
        <v>89</v>
      </c>
      <c r="B59" s="50"/>
      <c r="C59" s="50"/>
      <c r="D59" s="2">
        <f aca="true" t="shared" si="5" ref="D59:K59">D57+D58</f>
        <v>12229577718</v>
      </c>
      <c r="E59" s="2">
        <f t="shared" si="5"/>
        <v>2366698465</v>
      </c>
      <c r="F59" s="2">
        <f>F57+F58</f>
        <v>8035883242</v>
      </c>
      <c r="G59" s="2">
        <f t="shared" si="5"/>
        <v>2824520</v>
      </c>
      <c r="H59" s="2">
        <f t="shared" si="5"/>
        <v>1000000</v>
      </c>
      <c r="I59" s="2">
        <f t="shared" si="5"/>
        <v>266638006</v>
      </c>
      <c r="J59" s="2">
        <f t="shared" si="5"/>
        <v>42394000</v>
      </c>
      <c r="K59" s="2">
        <f t="shared" si="5"/>
        <v>22945015951</v>
      </c>
    </row>
    <row r="60" spans="1:11" ht="12.75">
      <c r="A60" s="4" t="s">
        <v>90</v>
      </c>
      <c r="B60" s="4"/>
      <c r="C60" s="4"/>
      <c r="D60" s="5">
        <f>D59-D61-D62</f>
        <v>11225672278</v>
      </c>
      <c r="E60" s="5">
        <f aca="true" t="shared" si="6" ref="E60:K60">E59-E61-E62</f>
        <v>2187360343</v>
      </c>
      <c r="F60" s="5">
        <f t="shared" si="6"/>
        <v>5386673316</v>
      </c>
      <c r="G60" s="5">
        <f t="shared" si="6"/>
        <v>824520</v>
      </c>
      <c r="H60" s="5">
        <f t="shared" si="6"/>
        <v>1000000</v>
      </c>
      <c r="I60" s="5">
        <f t="shared" si="6"/>
        <v>231638006</v>
      </c>
      <c r="J60" s="5">
        <f t="shared" si="6"/>
        <v>12394000</v>
      </c>
      <c r="K60" s="14">
        <f t="shared" si="6"/>
        <v>19045562463</v>
      </c>
    </row>
    <row r="61" spans="1:11" ht="12.75">
      <c r="A61" s="4" t="s">
        <v>91</v>
      </c>
      <c r="B61" s="4"/>
      <c r="C61" s="4"/>
      <c r="D61" s="5">
        <v>0</v>
      </c>
      <c r="E61" s="5">
        <v>0</v>
      </c>
      <c r="F61" s="5">
        <v>2380000000</v>
      </c>
      <c r="G61" s="5">
        <v>0</v>
      </c>
      <c r="H61" s="5">
        <v>0</v>
      </c>
      <c r="I61" s="5">
        <v>0</v>
      </c>
      <c r="J61" s="5">
        <v>0</v>
      </c>
      <c r="K61" s="14">
        <f>SUM(D61:J61)</f>
        <v>2380000000</v>
      </c>
    </row>
    <row r="62" spans="1:11" ht="12.75">
      <c r="A62" s="4" t="s">
        <v>92</v>
      </c>
      <c r="B62" s="4"/>
      <c r="C62" s="4"/>
      <c r="D62" s="5">
        <v>1003905440</v>
      </c>
      <c r="E62" s="5">
        <v>179338122</v>
      </c>
      <c r="F62" s="5">
        <v>269209926</v>
      </c>
      <c r="G62" s="5">
        <v>2000000</v>
      </c>
      <c r="H62" s="5">
        <v>0</v>
      </c>
      <c r="I62" s="5">
        <v>35000000</v>
      </c>
      <c r="J62" s="5">
        <v>30000000</v>
      </c>
      <c r="K62" s="2">
        <f>SUM(D62:J62)</f>
        <v>1519453488</v>
      </c>
    </row>
  </sheetData>
  <sheetProtection/>
  <mergeCells count="12">
    <mergeCell ref="A59:C59"/>
    <mergeCell ref="D7:H7"/>
    <mergeCell ref="I7:J7"/>
    <mergeCell ref="K7:K8"/>
    <mergeCell ref="A6:A8"/>
    <mergeCell ref="B6:B8"/>
    <mergeCell ref="C6:C8"/>
    <mergeCell ref="D6:K6"/>
    <mergeCell ref="H1:K1"/>
    <mergeCell ref="A3:K3"/>
    <mergeCell ref="A42:C42"/>
    <mergeCell ref="A57:C57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300" verticalDpi="300" orientation="landscape" paperSize="9" scale="64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2" sqref="H2"/>
    </sheetView>
  </sheetViews>
  <sheetFormatPr defaultColWidth="9.140625" defaultRowHeight="15"/>
  <cols>
    <col min="1" max="1" width="5.140625" style="16" bestFit="1" customWidth="1"/>
    <col min="2" max="2" width="7.00390625" style="16" bestFit="1" customWidth="1"/>
    <col min="3" max="3" width="38.7109375" style="16" bestFit="1" customWidth="1"/>
    <col min="4" max="4" width="15.57421875" style="29" bestFit="1" customWidth="1"/>
    <col min="5" max="5" width="13.140625" style="16" customWidth="1"/>
    <col min="6" max="6" width="15.140625" style="16" customWidth="1"/>
    <col min="7" max="7" width="13.7109375" style="16" customWidth="1"/>
    <col min="8" max="10" width="12.00390625" style="16" bestFit="1" customWidth="1"/>
    <col min="11" max="11" width="10.8515625" style="16" bestFit="1" customWidth="1"/>
    <col min="12" max="12" width="13.57421875" style="21" bestFit="1" customWidth="1"/>
    <col min="13" max="16384" width="9.140625" style="16" customWidth="1"/>
  </cols>
  <sheetData>
    <row r="1" spans="1:12" ht="15" customHeight="1">
      <c r="A1" s="15"/>
      <c r="B1" s="15"/>
      <c r="C1" s="15"/>
      <c r="D1" s="17"/>
      <c r="G1" s="62" t="s">
        <v>144</v>
      </c>
      <c r="H1" s="62"/>
      <c r="I1" s="62"/>
      <c r="J1" s="62"/>
      <c r="K1" s="62"/>
      <c r="L1" s="62"/>
    </row>
    <row r="2" ht="12" customHeight="1">
      <c r="D2" s="17"/>
    </row>
    <row r="3" spans="1:12" ht="12.75" customHeight="1">
      <c r="A3" s="67" t="s">
        <v>141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.75">
      <c r="A4" s="69" t="s">
        <v>123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2.75">
      <c r="A5" s="27" t="s">
        <v>128</v>
      </c>
      <c r="B5" s="27" t="s">
        <v>129</v>
      </c>
      <c r="C5" s="27" t="s">
        <v>130</v>
      </c>
      <c r="D5" s="19" t="s">
        <v>131</v>
      </c>
      <c r="E5" s="27" t="s">
        <v>132</v>
      </c>
      <c r="F5" s="27" t="s">
        <v>133</v>
      </c>
      <c r="G5" s="27" t="s">
        <v>134</v>
      </c>
      <c r="H5" s="27" t="s">
        <v>135</v>
      </c>
      <c r="I5" s="27" t="s">
        <v>136</v>
      </c>
      <c r="J5" s="27" t="s">
        <v>137</v>
      </c>
      <c r="K5" s="27" t="s">
        <v>138</v>
      </c>
      <c r="L5" s="19" t="s">
        <v>139</v>
      </c>
    </row>
    <row r="6" spans="1:12" s="18" customFormat="1" ht="12.75">
      <c r="A6" s="56" t="s">
        <v>93</v>
      </c>
      <c r="B6" s="56" t="s">
        <v>94</v>
      </c>
      <c r="C6" s="56" t="s">
        <v>95</v>
      </c>
      <c r="D6" s="23"/>
      <c r="E6" s="57" t="s">
        <v>127</v>
      </c>
      <c r="F6" s="57"/>
      <c r="G6" s="57"/>
      <c r="H6" s="57"/>
      <c r="I6" s="57"/>
      <c r="J6" s="57"/>
      <c r="K6" s="57"/>
      <c r="L6" s="57"/>
    </row>
    <row r="7" spans="1:12" s="18" customFormat="1" ht="33.75" customHeight="1">
      <c r="A7" s="56"/>
      <c r="B7" s="56"/>
      <c r="C7" s="56"/>
      <c r="D7" s="60" t="s">
        <v>126</v>
      </c>
      <c r="E7" s="64" t="s">
        <v>124</v>
      </c>
      <c r="F7" s="65"/>
      <c r="G7" s="65"/>
      <c r="H7" s="65"/>
      <c r="I7" s="65"/>
      <c r="J7" s="65"/>
      <c r="K7" s="65"/>
      <c r="L7" s="66"/>
    </row>
    <row r="8" spans="1:12" s="18" customFormat="1" ht="25.5">
      <c r="A8" s="56"/>
      <c r="B8" s="56"/>
      <c r="C8" s="56"/>
      <c r="D8" s="61"/>
      <c r="E8" s="12" t="s">
        <v>115</v>
      </c>
      <c r="F8" s="12" t="s">
        <v>116</v>
      </c>
      <c r="G8" s="12" t="s">
        <v>117</v>
      </c>
      <c r="H8" s="12" t="s">
        <v>118</v>
      </c>
      <c r="I8" s="12" t="s">
        <v>119</v>
      </c>
      <c r="J8" s="12" t="s">
        <v>120</v>
      </c>
      <c r="K8" s="12" t="s">
        <v>121</v>
      </c>
      <c r="L8" s="13" t="s">
        <v>122</v>
      </c>
    </row>
    <row r="9" spans="1:12" ht="12.75">
      <c r="A9" s="8" t="s">
        <v>0</v>
      </c>
      <c r="B9" s="20"/>
      <c r="C9" s="39" t="s">
        <v>54</v>
      </c>
      <c r="D9" s="28">
        <f>'4.melléklet'!F9</f>
        <v>4122724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4">
        <f>SUM(E9:K9)</f>
        <v>0</v>
      </c>
    </row>
    <row r="10" spans="1:12" ht="12.75">
      <c r="A10" s="8" t="s">
        <v>2</v>
      </c>
      <c r="B10" s="20"/>
      <c r="C10" s="39" t="s">
        <v>27</v>
      </c>
      <c r="D10" s="28">
        <f>'4.melléklet'!F10</f>
        <v>6124630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14">
        <f aca="true" t="shared" si="0" ref="L10:L62">SUM(E10:K10)</f>
        <v>0</v>
      </c>
    </row>
    <row r="11" spans="1:12" ht="12.75">
      <c r="A11" s="8" t="s">
        <v>4</v>
      </c>
      <c r="B11" s="20"/>
      <c r="C11" s="39" t="s">
        <v>17</v>
      </c>
      <c r="D11" s="28">
        <f>'4.melléklet'!F11</f>
        <v>6924537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14">
        <f t="shared" si="0"/>
        <v>0</v>
      </c>
    </row>
    <row r="12" spans="1:13" ht="12.75">
      <c r="A12" s="8" t="s">
        <v>6</v>
      </c>
      <c r="B12" s="20"/>
      <c r="C12" s="39" t="s">
        <v>3</v>
      </c>
      <c r="D12" s="28">
        <f>'4.melléklet'!F12</f>
        <v>30295918</v>
      </c>
      <c r="E12" s="5">
        <v>0</v>
      </c>
      <c r="F12" s="5">
        <v>16681290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14">
        <f t="shared" si="0"/>
        <v>16681290</v>
      </c>
      <c r="M12" s="40"/>
    </row>
    <row r="13" spans="1:12" ht="12.75">
      <c r="A13" s="8" t="s">
        <v>8</v>
      </c>
      <c r="B13" s="20"/>
      <c r="C13" s="39" t="s">
        <v>109</v>
      </c>
      <c r="D13" s="28">
        <f>'4.melléklet'!F13</f>
        <v>3896458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14">
        <f t="shared" si="0"/>
        <v>0</v>
      </c>
    </row>
    <row r="14" spans="1:12" ht="12.75">
      <c r="A14" s="8" t="s">
        <v>10</v>
      </c>
      <c r="B14" s="20"/>
      <c r="C14" s="39" t="s">
        <v>35</v>
      </c>
      <c r="D14" s="28">
        <f>'4.melléklet'!F14</f>
        <v>5059599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14">
        <f t="shared" si="0"/>
        <v>0</v>
      </c>
    </row>
    <row r="15" spans="1:12" ht="12.75">
      <c r="A15" s="8" t="s">
        <v>12</v>
      </c>
      <c r="B15" s="20"/>
      <c r="C15" s="39" t="s">
        <v>52</v>
      </c>
      <c r="D15" s="28">
        <f>'4.melléklet'!F15</f>
        <v>5087929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14">
        <f t="shared" si="0"/>
        <v>0</v>
      </c>
    </row>
    <row r="16" spans="1:12" ht="12.75">
      <c r="A16" s="8" t="s">
        <v>14</v>
      </c>
      <c r="B16" s="20"/>
      <c r="C16" s="39" t="s">
        <v>7</v>
      </c>
      <c r="D16" s="28">
        <f>'4.melléklet'!F16</f>
        <v>4827380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14">
        <f t="shared" si="0"/>
        <v>0</v>
      </c>
    </row>
    <row r="17" spans="1:12" ht="12.75">
      <c r="A17" s="8" t="s">
        <v>16</v>
      </c>
      <c r="B17" s="20"/>
      <c r="C17" s="39" t="s">
        <v>62</v>
      </c>
      <c r="D17" s="28">
        <f>'4.melléklet'!F17</f>
        <v>3606706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14">
        <f t="shared" si="0"/>
        <v>0</v>
      </c>
    </row>
    <row r="18" spans="1:12" ht="12.75">
      <c r="A18" s="8" t="s">
        <v>18</v>
      </c>
      <c r="B18" s="20"/>
      <c r="C18" s="39" t="s">
        <v>1</v>
      </c>
      <c r="D18" s="28">
        <f>'4.melléklet'!F18</f>
        <v>14528049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4">
        <f t="shared" si="0"/>
        <v>0</v>
      </c>
    </row>
    <row r="19" spans="1:12" ht="12.75">
      <c r="A19" s="8" t="s">
        <v>20</v>
      </c>
      <c r="B19" s="20"/>
      <c r="C19" s="39" t="s">
        <v>15</v>
      </c>
      <c r="D19" s="28">
        <f>'4.melléklet'!F19</f>
        <v>4833127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4">
        <f t="shared" si="0"/>
        <v>0</v>
      </c>
    </row>
    <row r="20" spans="1:12" ht="12.75">
      <c r="A20" s="8" t="s">
        <v>22</v>
      </c>
      <c r="B20" s="20"/>
      <c r="C20" s="39" t="s">
        <v>29</v>
      </c>
      <c r="D20" s="28">
        <f>'4.melléklet'!F20</f>
        <v>4007135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4">
        <f t="shared" si="0"/>
        <v>0</v>
      </c>
    </row>
    <row r="21" spans="1:12" ht="12.75">
      <c r="A21" s="8" t="s">
        <v>24</v>
      </c>
      <c r="B21" s="20"/>
      <c r="C21" s="39" t="s">
        <v>37</v>
      </c>
      <c r="D21" s="28">
        <f>'4.melléklet'!F21</f>
        <v>4599981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4">
        <f t="shared" si="0"/>
        <v>0</v>
      </c>
    </row>
    <row r="22" spans="1:12" ht="12.75">
      <c r="A22" s="8" t="s">
        <v>26</v>
      </c>
      <c r="B22" s="20"/>
      <c r="C22" s="39" t="s">
        <v>21</v>
      </c>
      <c r="D22" s="28">
        <f>'4.melléklet'!F22</f>
        <v>5226502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4">
        <f t="shared" si="0"/>
        <v>0</v>
      </c>
    </row>
    <row r="23" spans="1:12" ht="12.75">
      <c r="A23" s="8" t="s">
        <v>28</v>
      </c>
      <c r="B23" s="20"/>
      <c r="C23" s="39" t="s">
        <v>60</v>
      </c>
      <c r="D23" s="28">
        <f>'4.melléklet'!F23</f>
        <v>5204172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4">
        <f t="shared" si="0"/>
        <v>0</v>
      </c>
    </row>
    <row r="24" spans="1:12" ht="12.75">
      <c r="A24" s="8" t="s">
        <v>30</v>
      </c>
      <c r="B24" s="20"/>
      <c r="C24" s="39" t="s">
        <v>9</v>
      </c>
      <c r="D24" s="28">
        <f>'4.melléklet'!F24</f>
        <v>4331935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14">
        <f t="shared" si="0"/>
        <v>0</v>
      </c>
    </row>
    <row r="25" spans="1:12" ht="12.75">
      <c r="A25" s="8" t="s">
        <v>32</v>
      </c>
      <c r="B25" s="20"/>
      <c r="C25" s="39" t="s">
        <v>19</v>
      </c>
      <c r="D25" s="28">
        <f>'4.melléklet'!F25</f>
        <v>4168431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14">
        <f t="shared" si="0"/>
        <v>0</v>
      </c>
    </row>
    <row r="26" spans="1:12" ht="12.75">
      <c r="A26" s="8" t="s">
        <v>34</v>
      </c>
      <c r="B26" s="20"/>
      <c r="C26" s="39" t="s">
        <v>5</v>
      </c>
      <c r="D26" s="28">
        <f>'4.melléklet'!F26</f>
        <v>7647171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4">
        <f t="shared" si="0"/>
        <v>0</v>
      </c>
    </row>
    <row r="27" spans="1:12" ht="12.75">
      <c r="A27" s="8" t="s">
        <v>36</v>
      </c>
      <c r="B27" s="20"/>
      <c r="C27" s="39" t="s">
        <v>56</v>
      </c>
      <c r="D27" s="28">
        <f>'4.melléklet'!F27</f>
        <v>7884775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4">
        <f t="shared" si="0"/>
        <v>0</v>
      </c>
    </row>
    <row r="28" spans="1:12" ht="12.75">
      <c r="A28" s="8" t="s">
        <v>38</v>
      </c>
      <c r="B28" s="20"/>
      <c r="C28" s="39" t="s">
        <v>31</v>
      </c>
      <c r="D28" s="28">
        <f>'4.melléklet'!F28</f>
        <v>7068058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4">
        <f t="shared" si="0"/>
        <v>0</v>
      </c>
    </row>
    <row r="29" spans="1:12" ht="12.75">
      <c r="A29" s="8" t="s">
        <v>40</v>
      </c>
      <c r="B29" s="20"/>
      <c r="C29" s="39" t="s">
        <v>11</v>
      </c>
      <c r="D29" s="28">
        <f>'4.melléklet'!F29</f>
        <v>10698192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4">
        <f t="shared" si="0"/>
        <v>0</v>
      </c>
    </row>
    <row r="30" spans="1:12" ht="12.75">
      <c r="A30" s="8" t="s">
        <v>42</v>
      </c>
      <c r="B30" s="20"/>
      <c r="C30" s="39" t="s">
        <v>50</v>
      </c>
      <c r="D30" s="28">
        <f>'4.melléklet'!F30</f>
        <v>4336526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4">
        <f t="shared" si="0"/>
        <v>0</v>
      </c>
    </row>
    <row r="31" spans="1:12" ht="12.75">
      <c r="A31" s="8" t="s">
        <v>44</v>
      </c>
      <c r="B31" s="20"/>
      <c r="C31" s="39" t="s">
        <v>47</v>
      </c>
      <c r="D31" s="28">
        <f>'4.melléklet'!F31</f>
        <v>3939995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4">
        <f t="shared" si="0"/>
        <v>0</v>
      </c>
    </row>
    <row r="32" spans="1:12" ht="12.75">
      <c r="A32" s="8" t="s">
        <v>46</v>
      </c>
      <c r="B32" s="20"/>
      <c r="C32" s="39" t="s">
        <v>45</v>
      </c>
      <c r="D32" s="28">
        <f>'4.melléklet'!F32</f>
        <v>5947111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14">
        <f t="shared" si="0"/>
        <v>0</v>
      </c>
    </row>
    <row r="33" spans="1:12" ht="12.75">
      <c r="A33" s="8" t="s">
        <v>48</v>
      </c>
      <c r="B33" s="20"/>
      <c r="C33" s="39" t="s">
        <v>13</v>
      </c>
      <c r="D33" s="28">
        <f>'4.melléklet'!F33</f>
        <v>6827817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14">
        <f t="shared" si="0"/>
        <v>0</v>
      </c>
    </row>
    <row r="34" spans="1:12" ht="12.75">
      <c r="A34" s="8" t="s">
        <v>49</v>
      </c>
      <c r="B34" s="20"/>
      <c r="C34" s="39" t="s">
        <v>41</v>
      </c>
      <c r="D34" s="28">
        <f>'4.melléklet'!F34</f>
        <v>5851174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14">
        <f t="shared" si="0"/>
        <v>0</v>
      </c>
    </row>
    <row r="35" spans="1:12" ht="12.75">
      <c r="A35" s="8" t="s">
        <v>51</v>
      </c>
      <c r="B35" s="20"/>
      <c r="C35" s="39" t="s">
        <v>33</v>
      </c>
      <c r="D35" s="28">
        <f>'4.melléklet'!F35</f>
        <v>4980933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4">
        <f t="shared" si="0"/>
        <v>0</v>
      </c>
    </row>
    <row r="36" spans="1:12" ht="12.75">
      <c r="A36" s="8" t="s">
        <v>53</v>
      </c>
      <c r="B36" s="20"/>
      <c r="C36" s="39" t="s">
        <v>25</v>
      </c>
      <c r="D36" s="28">
        <f>'4.melléklet'!F36</f>
        <v>5041563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14">
        <f t="shared" si="0"/>
        <v>0</v>
      </c>
    </row>
    <row r="37" spans="1:12" ht="12.75">
      <c r="A37" s="8" t="s">
        <v>55</v>
      </c>
      <c r="B37" s="20"/>
      <c r="C37" s="39" t="s">
        <v>23</v>
      </c>
      <c r="D37" s="28">
        <f>'4.melléklet'!F37</f>
        <v>4501042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4">
        <f t="shared" si="0"/>
        <v>0</v>
      </c>
    </row>
    <row r="38" spans="1:12" ht="12.75">
      <c r="A38" s="8" t="s">
        <v>57</v>
      </c>
      <c r="B38" s="20"/>
      <c r="C38" s="39" t="s">
        <v>39</v>
      </c>
      <c r="D38" s="28">
        <f>'4.melléklet'!F38</f>
        <v>4511938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4">
        <f t="shared" si="0"/>
        <v>0</v>
      </c>
    </row>
    <row r="39" spans="1:12" ht="12.75">
      <c r="A39" s="8" t="s">
        <v>59</v>
      </c>
      <c r="B39" s="20"/>
      <c r="C39" s="39" t="s">
        <v>43</v>
      </c>
      <c r="D39" s="28">
        <f>'4.melléklet'!F39</f>
        <v>3945686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14">
        <f t="shared" si="0"/>
        <v>0</v>
      </c>
    </row>
    <row r="40" spans="1:12" ht="12.75">
      <c r="A40" s="8" t="s">
        <v>61</v>
      </c>
      <c r="B40" s="20"/>
      <c r="C40" s="39" t="s">
        <v>58</v>
      </c>
      <c r="D40" s="28">
        <f>'4.melléklet'!F40</f>
        <v>6351082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14">
        <f t="shared" si="0"/>
        <v>0</v>
      </c>
    </row>
    <row r="41" spans="1:12" ht="12.75">
      <c r="A41" s="8" t="s">
        <v>63</v>
      </c>
      <c r="B41" s="20"/>
      <c r="C41" s="39" t="s">
        <v>64</v>
      </c>
      <c r="D41" s="28">
        <f>'4.melléklet'!F41</f>
        <v>4232824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14">
        <f t="shared" si="0"/>
        <v>0</v>
      </c>
    </row>
    <row r="42" spans="1:12" s="21" customFormat="1" ht="12.75">
      <c r="A42" s="58" t="s">
        <v>110</v>
      </c>
      <c r="B42" s="58"/>
      <c r="C42" s="58"/>
      <c r="D42" s="14">
        <f aca="true" t="shared" si="1" ref="D42:K42">SUM(D9:D41)</f>
        <v>210611100</v>
      </c>
      <c r="E42" s="14">
        <f t="shared" si="1"/>
        <v>0</v>
      </c>
      <c r="F42" s="14">
        <f t="shared" si="1"/>
        <v>16681290</v>
      </c>
      <c r="G42" s="14">
        <f t="shared" si="1"/>
        <v>0</v>
      </c>
      <c r="H42" s="14">
        <f t="shared" si="1"/>
        <v>0</v>
      </c>
      <c r="I42" s="14">
        <f t="shared" si="1"/>
        <v>0</v>
      </c>
      <c r="J42" s="14">
        <f t="shared" si="1"/>
        <v>0</v>
      </c>
      <c r="K42" s="14">
        <f t="shared" si="1"/>
        <v>0</v>
      </c>
      <c r="L42" s="14">
        <f t="shared" si="0"/>
        <v>16681290</v>
      </c>
    </row>
    <row r="43" spans="1:12" ht="12.75">
      <c r="A43" s="20" t="s">
        <v>65</v>
      </c>
      <c r="B43" s="8"/>
      <c r="C43" s="41" t="s">
        <v>73</v>
      </c>
      <c r="D43" s="28">
        <f>'4.melléklet'!F43</f>
        <v>419892403</v>
      </c>
      <c r="E43" s="5">
        <v>40000</v>
      </c>
      <c r="F43" s="5">
        <v>0</v>
      </c>
      <c r="G43" s="5">
        <v>0</v>
      </c>
      <c r="H43" s="5">
        <v>2500000</v>
      </c>
      <c r="I43" s="5">
        <v>9000000</v>
      </c>
      <c r="J43" s="5">
        <v>16000000</v>
      </c>
      <c r="K43" s="5">
        <v>2700000</v>
      </c>
      <c r="L43" s="14">
        <f t="shared" si="0"/>
        <v>30240000</v>
      </c>
    </row>
    <row r="44" spans="1:12" s="26" customFormat="1" ht="12.75">
      <c r="A44" s="22" t="s">
        <v>68</v>
      </c>
      <c r="B44" s="8"/>
      <c r="C44" s="9" t="s">
        <v>107</v>
      </c>
      <c r="D44" s="28">
        <f>'4.melléklet'!F44</f>
        <v>3809195001</v>
      </c>
      <c r="E44" s="5">
        <v>0</v>
      </c>
      <c r="F44" s="5">
        <v>0</v>
      </c>
      <c r="G44" s="5">
        <v>2380000000</v>
      </c>
      <c r="H44" s="5">
        <v>80000000</v>
      </c>
      <c r="I44" s="5">
        <v>45000000</v>
      </c>
      <c r="J44" s="5">
        <v>160000000</v>
      </c>
      <c r="K44" s="5">
        <v>35000000</v>
      </c>
      <c r="L44" s="14">
        <f t="shared" si="0"/>
        <v>2700000000</v>
      </c>
    </row>
    <row r="45" spans="1:12" s="26" customFormat="1" ht="12.75">
      <c r="A45" s="22" t="s">
        <v>70</v>
      </c>
      <c r="B45" s="8"/>
      <c r="C45" s="9" t="s">
        <v>78</v>
      </c>
      <c r="D45" s="28">
        <f>'4.melléklet'!F45</f>
        <v>765278373</v>
      </c>
      <c r="E45" s="5">
        <v>654000</v>
      </c>
      <c r="F45" s="5">
        <v>800000</v>
      </c>
      <c r="G45" s="5">
        <v>0</v>
      </c>
      <c r="H45" s="5">
        <v>1108600</v>
      </c>
      <c r="I45" s="5">
        <v>19694176</v>
      </c>
      <c r="J45" s="5">
        <v>16401610</v>
      </c>
      <c r="K45" s="5">
        <v>4285265</v>
      </c>
      <c r="L45" s="14">
        <f t="shared" si="0"/>
        <v>42943651</v>
      </c>
    </row>
    <row r="46" spans="1:12" ht="12.75">
      <c r="A46" s="20" t="s">
        <v>72</v>
      </c>
      <c r="B46" s="8"/>
      <c r="C46" s="42" t="s">
        <v>71</v>
      </c>
      <c r="D46" s="28">
        <f>'4.melléklet'!F46</f>
        <v>131186953</v>
      </c>
      <c r="E46" s="5">
        <v>300000</v>
      </c>
      <c r="F46" s="5">
        <v>0</v>
      </c>
      <c r="G46" s="5">
        <v>0</v>
      </c>
      <c r="H46" s="5">
        <v>8461729</v>
      </c>
      <c r="I46" s="5">
        <v>4182807</v>
      </c>
      <c r="J46" s="5">
        <v>4106613</v>
      </c>
      <c r="K46" s="5">
        <v>1066489</v>
      </c>
      <c r="L46" s="14">
        <f t="shared" si="0"/>
        <v>18117638</v>
      </c>
    </row>
    <row r="47" spans="1:12" ht="12.75">
      <c r="A47" s="20" t="s">
        <v>74</v>
      </c>
      <c r="B47" s="8"/>
      <c r="C47" s="43" t="s">
        <v>96</v>
      </c>
      <c r="D47" s="28">
        <f>'4.melléklet'!F47</f>
        <v>962116734</v>
      </c>
      <c r="E47" s="5">
        <v>420000</v>
      </c>
      <c r="F47" s="5">
        <v>0</v>
      </c>
      <c r="G47" s="5">
        <v>0</v>
      </c>
      <c r="H47" s="5">
        <v>8610038</v>
      </c>
      <c r="I47" s="5">
        <v>16488720</v>
      </c>
      <c r="J47" s="5">
        <v>20206754</v>
      </c>
      <c r="K47" s="5">
        <v>885161</v>
      </c>
      <c r="L47" s="14">
        <f t="shared" si="0"/>
        <v>46610673</v>
      </c>
    </row>
    <row r="48" spans="1:12" ht="12.75">
      <c r="A48" s="20" t="s">
        <v>76</v>
      </c>
      <c r="B48" s="8"/>
      <c r="C48" s="44" t="s">
        <v>108</v>
      </c>
      <c r="D48" s="28">
        <f>'4.melléklet'!F48</f>
        <v>55251191</v>
      </c>
      <c r="E48" s="5">
        <v>50000</v>
      </c>
      <c r="F48" s="5">
        <v>0</v>
      </c>
      <c r="G48" s="5">
        <v>0</v>
      </c>
      <c r="H48" s="5">
        <v>111454</v>
      </c>
      <c r="I48" s="5">
        <v>88512</v>
      </c>
      <c r="J48" s="5">
        <v>0</v>
      </c>
      <c r="K48" s="5">
        <v>0</v>
      </c>
      <c r="L48" s="14">
        <f t="shared" si="0"/>
        <v>249966</v>
      </c>
    </row>
    <row r="49" spans="1:12" ht="12.75">
      <c r="A49" s="20" t="s">
        <v>77</v>
      </c>
      <c r="B49" s="8"/>
      <c r="C49" s="44" t="s">
        <v>84</v>
      </c>
      <c r="D49" s="28">
        <f>'4.melléklet'!F49</f>
        <v>132117364</v>
      </c>
      <c r="E49" s="5">
        <v>70000</v>
      </c>
      <c r="F49" s="5">
        <v>78384768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14">
        <f t="shared" si="0"/>
        <v>78454768</v>
      </c>
    </row>
    <row r="50" spans="1:12" ht="12.75">
      <c r="A50" s="20" t="s">
        <v>79</v>
      </c>
      <c r="B50" s="8"/>
      <c r="C50" s="44" t="s">
        <v>86</v>
      </c>
      <c r="D50" s="28">
        <f>'4.melléklet'!F50</f>
        <v>22134869</v>
      </c>
      <c r="E50" s="5">
        <v>502000</v>
      </c>
      <c r="F50" s="5">
        <v>3815270</v>
      </c>
      <c r="G50" s="5">
        <v>1583340</v>
      </c>
      <c r="H50" s="5">
        <v>0</v>
      </c>
      <c r="I50" s="5">
        <v>0</v>
      </c>
      <c r="J50" s="5">
        <v>0</v>
      </c>
      <c r="K50" s="5">
        <v>0</v>
      </c>
      <c r="L50" s="14">
        <f t="shared" si="0"/>
        <v>5900610</v>
      </c>
    </row>
    <row r="51" spans="1:12" ht="12.75">
      <c r="A51" s="20" t="s">
        <v>80</v>
      </c>
      <c r="B51" s="8"/>
      <c r="C51" s="45" t="s">
        <v>82</v>
      </c>
      <c r="D51" s="28">
        <f>'4.melléklet'!F51</f>
        <v>354529283</v>
      </c>
      <c r="E51" s="5">
        <v>10141101</v>
      </c>
      <c r="F51" s="5">
        <v>100000</v>
      </c>
      <c r="G51" s="5">
        <v>180765731</v>
      </c>
      <c r="H51" s="5">
        <v>0</v>
      </c>
      <c r="I51" s="5">
        <v>0</v>
      </c>
      <c r="J51" s="5">
        <v>0</v>
      </c>
      <c r="K51" s="5">
        <v>0</v>
      </c>
      <c r="L51" s="14">
        <f t="shared" si="0"/>
        <v>191006832</v>
      </c>
    </row>
    <row r="52" spans="1:12" ht="12.75">
      <c r="A52" s="20" t="s">
        <v>81</v>
      </c>
      <c r="B52" s="8"/>
      <c r="C52" s="49" t="s">
        <v>66</v>
      </c>
      <c r="D52" s="14">
        <f>D53+D54</f>
        <v>218777078</v>
      </c>
      <c r="E52" s="5">
        <f>E53+E54</f>
        <v>30000</v>
      </c>
      <c r="F52" s="5">
        <f aca="true" t="shared" si="2" ref="F52:K52">F53+F54</f>
        <v>0</v>
      </c>
      <c r="G52" s="5">
        <f t="shared" si="2"/>
        <v>0</v>
      </c>
      <c r="H52" s="5">
        <f t="shared" si="2"/>
        <v>2000000</v>
      </c>
      <c r="I52" s="5">
        <f t="shared" si="2"/>
        <v>1120000</v>
      </c>
      <c r="J52" s="5">
        <f t="shared" si="2"/>
        <v>0</v>
      </c>
      <c r="K52" s="5">
        <f t="shared" si="2"/>
        <v>488000</v>
      </c>
      <c r="L52" s="14">
        <f t="shared" si="0"/>
        <v>3638000</v>
      </c>
    </row>
    <row r="53" spans="1:12" s="26" customFormat="1" ht="25.5">
      <c r="A53" s="22"/>
      <c r="B53" s="24" t="s">
        <v>112</v>
      </c>
      <c r="C53" s="36" t="s">
        <v>67</v>
      </c>
      <c r="D53" s="28">
        <f>'4.melléklet'!F53</f>
        <v>180963562</v>
      </c>
      <c r="E53" s="25">
        <v>20000</v>
      </c>
      <c r="F53" s="25">
        <v>0</v>
      </c>
      <c r="G53" s="25">
        <v>0</v>
      </c>
      <c r="H53" s="25">
        <v>1000000</v>
      </c>
      <c r="I53" s="25">
        <v>1000000</v>
      </c>
      <c r="J53" s="25">
        <v>0</v>
      </c>
      <c r="K53" s="25">
        <v>200000</v>
      </c>
      <c r="L53" s="30">
        <f t="shared" si="0"/>
        <v>2220000</v>
      </c>
    </row>
    <row r="54" spans="1:12" s="26" customFormat="1" ht="12.75">
      <c r="A54" s="22"/>
      <c r="B54" s="24" t="s">
        <v>113</v>
      </c>
      <c r="C54" s="36" t="s">
        <v>114</v>
      </c>
      <c r="D54" s="28">
        <f>'4.melléklet'!F54</f>
        <v>37813516</v>
      </c>
      <c r="E54" s="25">
        <v>10000</v>
      </c>
      <c r="F54" s="25">
        <v>0</v>
      </c>
      <c r="G54" s="25">
        <v>0</v>
      </c>
      <c r="H54" s="25">
        <v>1000000</v>
      </c>
      <c r="I54" s="25">
        <v>120000</v>
      </c>
      <c r="J54" s="25">
        <v>0</v>
      </c>
      <c r="K54" s="25">
        <v>288000</v>
      </c>
      <c r="L54" s="30">
        <f t="shared" si="0"/>
        <v>1418000</v>
      </c>
    </row>
    <row r="55" spans="1:12" ht="12.75">
      <c r="A55" s="20" t="s">
        <v>83</v>
      </c>
      <c r="B55" s="8"/>
      <c r="C55" s="42" t="s">
        <v>69</v>
      </c>
      <c r="D55" s="28">
        <f>'4.melléklet'!F55</f>
        <v>122168542</v>
      </c>
      <c r="E55" s="5">
        <v>50000</v>
      </c>
      <c r="F55" s="5">
        <v>0</v>
      </c>
      <c r="G55" s="5">
        <v>0</v>
      </c>
      <c r="H55" s="5">
        <v>10669533</v>
      </c>
      <c r="I55" s="5">
        <v>12098586</v>
      </c>
      <c r="J55" s="5">
        <v>6811589</v>
      </c>
      <c r="K55" s="5">
        <v>1231755</v>
      </c>
      <c r="L55" s="14">
        <f t="shared" si="0"/>
        <v>30861463</v>
      </c>
    </row>
    <row r="56" spans="1:12" ht="12.75">
      <c r="A56" s="20" t="s">
        <v>85</v>
      </c>
      <c r="B56" s="8"/>
      <c r="C56" s="41" t="s">
        <v>75</v>
      </c>
      <c r="D56" s="28">
        <f>'4.melléklet'!F56</f>
        <v>77814092</v>
      </c>
      <c r="E56" s="5">
        <v>5000</v>
      </c>
      <c r="F56" s="5">
        <v>0</v>
      </c>
      <c r="G56" s="5">
        <v>0</v>
      </c>
      <c r="H56" s="5">
        <v>732768</v>
      </c>
      <c r="I56" s="5">
        <v>2250000</v>
      </c>
      <c r="J56" s="5">
        <v>4658500</v>
      </c>
      <c r="K56" s="5">
        <v>265740</v>
      </c>
      <c r="L56" s="14">
        <f t="shared" si="0"/>
        <v>7912008</v>
      </c>
    </row>
    <row r="57" spans="1:12" ht="12.75">
      <c r="A57" s="63" t="s">
        <v>125</v>
      </c>
      <c r="B57" s="63"/>
      <c r="C57" s="63"/>
      <c r="D57" s="14">
        <f>D42+D43+D44+D45+D46+D47+D48+D49+D50+D51+D52+D55+D56</f>
        <v>7281072983</v>
      </c>
      <c r="E57" s="14">
        <f>E42+E43+E44+E45+E46+E47+E48+E49+E50+E51+E52+E55+E56</f>
        <v>12262101</v>
      </c>
      <c r="F57" s="14">
        <f aca="true" t="shared" si="3" ref="F57:K57">F42+F43+F44+F45+F46+F47+F48+F49+F50+F51+F52+F55+F56</f>
        <v>99781328</v>
      </c>
      <c r="G57" s="14">
        <f t="shared" si="3"/>
        <v>2562349071</v>
      </c>
      <c r="H57" s="14">
        <f t="shared" si="3"/>
        <v>114194122</v>
      </c>
      <c r="I57" s="14">
        <f t="shared" si="3"/>
        <v>109922801</v>
      </c>
      <c r="J57" s="14">
        <f t="shared" si="3"/>
        <v>228185066</v>
      </c>
      <c r="K57" s="14">
        <f t="shared" si="3"/>
        <v>45922410</v>
      </c>
      <c r="L57" s="14">
        <f t="shared" si="0"/>
        <v>3172616899</v>
      </c>
    </row>
    <row r="58" spans="1:12" s="21" customFormat="1" ht="12.75">
      <c r="A58" s="13" t="s">
        <v>87</v>
      </c>
      <c r="B58" s="13"/>
      <c r="C58" s="46" t="s">
        <v>88</v>
      </c>
      <c r="D58" s="28">
        <f>'4.melléklet'!F58</f>
        <v>754810259</v>
      </c>
      <c r="E58" s="14">
        <v>28572</v>
      </c>
      <c r="F58" s="14">
        <v>0</v>
      </c>
      <c r="G58" s="14">
        <v>0</v>
      </c>
      <c r="H58" s="14">
        <v>2685039</v>
      </c>
      <c r="I58" s="14">
        <v>20316800</v>
      </c>
      <c r="J58" s="14">
        <v>34694966</v>
      </c>
      <c r="K58" s="14">
        <v>3831758</v>
      </c>
      <c r="L58" s="14">
        <f t="shared" si="0"/>
        <v>61557135</v>
      </c>
    </row>
    <row r="59" spans="1:12" ht="12.75">
      <c r="A59" s="58" t="s">
        <v>89</v>
      </c>
      <c r="B59" s="58"/>
      <c r="C59" s="58"/>
      <c r="D59" s="14">
        <f aca="true" t="shared" si="4" ref="D59:K59">SUM(D57:D58)</f>
        <v>8035883242</v>
      </c>
      <c r="E59" s="14">
        <f t="shared" si="4"/>
        <v>12290673</v>
      </c>
      <c r="F59" s="14">
        <f t="shared" si="4"/>
        <v>99781328</v>
      </c>
      <c r="G59" s="14">
        <f t="shared" si="4"/>
        <v>2562349071</v>
      </c>
      <c r="H59" s="14">
        <f t="shared" si="4"/>
        <v>116879161</v>
      </c>
      <c r="I59" s="14">
        <f t="shared" si="4"/>
        <v>130239601</v>
      </c>
      <c r="J59" s="14">
        <f t="shared" si="4"/>
        <v>262880032</v>
      </c>
      <c r="K59" s="14">
        <f t="shared" si="4"/>
        <v>49754168</v>
      </c>
      <c r="L59" s="14">
        <f t="shared" si="0"/>
        <v>3234174034</v>
      </c>
    </row>
    <row r="60" spans="1:12" ht="12.75">
      <c r="A60" s="59" t="s">
        <v>90</v>
      </c>
      <c r="B60" s="59"/>
      <c r="C60" s="59"/>
      <c r="D60" s="28">
        <f>'4.melléklet'!F60</f>
        <v>5386673316</v>
      </c>
      <c r="E60" s="5">
        <f aca="true" t="shared" si="5" ref="E60:K60">E59-E61-E62</f>
        <v>12290673</v>
      </c>
      <c r="F60" s="5">
        <f t="shared" si="5"/>
        <v>99781328</v>
      </c>
      <c r="G60" s="5">
        <f t="shared" si="5"/>
        <v>182349071</v>
      </c>
      <c r="H60" s="5">
        <f t="shared" si="5"/>
        <v>116879161</v>
      </c>
      <c r="I60" s="5">
        <f t="shared" si="5"/>
        <v>130239601</v>
      </c>
      <c r="J60" s="5">
        <f t="shared" si="5"/>
        <v>262880032</v>
      </c>
      <c r="K60" s="5">
        <f t="shared" si="5"/>
        <v>49754168</v>
      </c>
      <c r="L60" s="14">
        <f t="shared" si="0"/>
        <v>854174034</v>
      </c>
    </row>
    <row r="61" spans="1:12" ht="12.75">
      <c r="A61" s="59" t="s">
        <v>91</v>
      </c>
      <c r="B61" s="59"/>
      <c r="C61" s="59"/>
      <c r="D61" s="28">
        <f>'4.melléklet'!F61</f>
        <v>2380000000</v>
      </c>
      <c r="E61" s="5">
        <v>0</v>
      </c>
      <c r="F61" s="5">
        <v>0</v>
      </c>
      <c r="G61" s="5">
        <v>2380000000</v>
      </c>
      <c r="H61" s="5">
        <v>0</v>
      </c>
      <c r="I61" s="5">
        <v>0</v>
      </c>
      <c r="J61" s="5">
        <v>0</v>
      </c>
      <c r="K61" s="5">
        <v>0</v>
      </c>
      <c r="L61" s="14">
        <f t="shared" si="0"/>
        <v>2380000000</v>
      </c>
    </row>
    <row r="62" spans="1:12" ht="12.75">
      <c r="A62" s="59" t="s">
        <v>92</v>
      </c>
      <c r="B62" s="59"/>
      <c r="C62" s="59"/>
      <c r="D62" s="28">
        <f>'4.melléklet'!F62</f>
        <v>269209926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14">
        <f t="shared" si="0"/>
        <v>0</v>
      </c>
    </row>
  </sheetData>
  <sheetProtection/>
  <mergeCells count="15">
    <mergeCell ref="A61:C61"/>
    <mergeCell ref="A62:C62"/>
    <mergeCell ref="D7:D8"/>
    <mergeCell ref="G1:L1"/>
    <mergeCell ref="A42:C42"/>
    <mergeCell ref="A57:C57"/>
    <mergeCell ref="E7:L7"/>
    <mergeCell ref="A3:L3"/>
    <mergeCell ref="A4:L4"/>
    <mergeCell ref="A6:A8"/>
    <mergeCell ref="B6:B8"/>
    <mergeCell ref="C6:C8"/>
    <mergeCell ref="E6:L6"/>
    <mergeCell ref="A59:C59"/>
    <mergeCell ref="A60:C6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2020-02-06T13:16:53Z</cp:lastPrinted>
  <dcterms:created xsi:type="dcterms:W3CDTF">2016-11-30T14:13:18Z</dcterms:created>
  <dcterms:modified xsi:type="dcterms:W3CDTF">2020-02-17T08:59:31Z</dcterms:modified>
  <cp:category/>
  <cp:version/>
  <cp:contentType/>
  <cp:contentStatus/>
</cp:coreProperties>
</file>