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595" activeTab="0"/>
  </bookViews>
  <sheets>
    <sheet name="kiadás" sheetId="1" r:id="rId1"/>
    <sheet name="bevétel" sheetId="2" r:id="rId2"/>
  </sheets>
  <definedNames>
    <definedName name="_xlnm.Print_Area" localSheetId="1">'bevétel'!$A$1:$P$38</definedName>
    <definedName name="_xlnm.Print_Area" localSheetId="0">'kiadás'!$A$7:$P$51</definedName>
  </definedNames>
  <calcPr fullCalcOnLoad="1"/>
</workbook>
</file>

<file path=xl/sharedStrings.xml><?xml version="1.0" encoding="utf-8"?>
<sst xmlns="http://schemas.openxmlformats.org/spreadsheetml/2006/main" count="128" uniqueCount="105">
  <si>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</si>
  <si>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</si>
  <si>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</si>
  <si>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</si>
  <si>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</si>
  <si>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</si>
  <si>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</si>
  <si>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</si>
  <si>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</si>
  <si>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</si>
  <si>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</si>
  <si>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</si>
  <si>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</si>
  <si>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</si>
  <si>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</si>
  <si>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</si>
  <si>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</si>
  <si>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</si>
  <si>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</si>
  <si>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</si>
  <si>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</si>
  <si>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</si>
  <si>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</si>
  <si>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 xml:space="preserve">        V  á  r  h  a  t  ó     t  e  l  j  e  s  í  t  é  s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</si>
  <si>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</si>
  <si>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</si>
  <si>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</si>
  <si>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</si>
  <si>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</si>
  <si>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</si>
  <si>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</si>
  <si>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</si>
  <si>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</si>
  <si>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</si>
  <si>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</si>
  <si>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</si>
  <si>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</si>
  <si>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</si>
  <si>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</si>
  <si>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</si>
  <si>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</si>
  <si>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Tárgyi eszközök, immat.javak értékesítése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</si>
  <si>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</si>
  <si>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</si>
  <si>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</si>
  <si>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</si>
  <si>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</si>
  <si>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Felhalmozási célú átvett pénzeszköz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</si>
  <si>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</si>
  <si>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</si>
  <si>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</si>
  <si>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</si>
  <si>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</si>
  <si>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</si>
  <si>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</si>
  <si>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</si>
  <si>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</si>
  <si>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</si>
  <si>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</si>
  <si>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</si>
  <si>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</si>
  <si>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</si>
  <si>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</si>
  <si>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</si>
  <si>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</si>
  <si>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</si>
  <si>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</si>
  <si>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</si>
  <si>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</si>
  <si>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</si>
  <si>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</si>
  <si>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</si>
  <si>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</si>
  <si>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</si>
  <si>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</si>
  <si>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</si>
  <si>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</si>
  <si>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</si>
  <si>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</si>
  <si>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</si>
  <si>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</si>
  <si>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</si>
  <si>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</si>
  <si>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a.) felhalmozási célú kötvény beváltása</t>
  </si>
  <si>
    <t xml:space="preserve">   b.) irányítószervi felhalmozási támogatás</t>
  </si>
  <si>
    <t>Felhalmozási finanszírozás kiadás összesen</t>
  </si>
  <si>
    <t xml:space="preserve">        -elvonások és befizetések</t>
  </si>
  <si>
    <t>nyitó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</si>
  <si>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</si>
  <si>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</si>
  <si>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</si>
  <si>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</si>
  <si>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</si>
  <si>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Finanszírozási bevételek összesen</t>
  </si>
  <si>
    <t>10.sz melléklet</t>
  </si>
  <si>
    <t>10.számú melléklet</t>
  </si>
  <si>
    <t>ÁH- n belüli megelőlegezések visszafizetése</t>
  </si>
  <si>
    <t>ÁH- n belüli megelőlegezések</t>
  </si>
  <si>
    <t>2016. évi ei</t>
  </si>
  <si>
    <t>Belváros-Lipótváros Önkormányzata 2016.évi kiadásainak előirányzat-felhasználási ütemterve</t>
  </si>
  <si>
    <r>
      <t xml:space="preserve"> </t>
    </r>
    <r>
      <rPr>
        <b/>
        <sz val="12"/>
        <rFont val="Arial CE"/>
        <family val="2"/>
      </rPr>
      <t>Belváros-Lipótváros Önkormányzata 2016. évi bevételeinek előirányzat felhasználási ütemterve</t>
    </r>
    <r>
      <rPr>
        <b/>
        <sz val="11"/>
        <rFont val="Arial CE"/>
        <family val="2"/>
      </rPr>
      <t xml:space="preserve">                                                    </t>
    </r>
  </si>
  <si>
    <t>2016.évi</t>
  </si>
  <si>
    <t>ei</t>
  </si>
  <si>
    <t>Betétlekötés megszüntetése működési</t>
  </si>
  <si>
    <t>Betétlekötés megszüntetése felhalmozási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</si>
</sst>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49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Lucida Sans Unicode"/>
      <family val="2"/>
    </font>
    <font>
      <b/>
      <sz val="11"/>
      <name val="Arial CE"/>
      <family val="2"/>
    </font>
    <font>
      <sz val="8"/>
      <name val="Lucida Sans Unicod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7" fillId="0" borderId="13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27" xfId="0" applyNumberFormat="1" applyFont="1" applyFill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 shrinkToFit="1"/>
    </xf>
    <xf numFmtId="3" fontId="7" fillId="0" borderId="43" xfId="0" applyNumberFormat="1" applyFont="1" applyFill="1" applyBorder="1" applyAlignment="1">
      <alignment vertical="center" shrinkToFit="1"/>
    </xf>
    <xf numFmtId="3" fontId="7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7" fillId="0" borderId="46" xfId="0" applyNumberFormat="1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7" fillId="0" borderId="47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vertical="center" shrinkToFit="1"/>
    </xf>
    <xf numFmtId="0" fontId="7" fillId="0" borderId="53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/>
    </xf>
    <xf numFmtId="0" fontId="5" fillId="0" borderId="54" xfId="0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5" fillId="0" borderId="51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/>
    </xf>
    <xf numFmtId="3" fontId="7" fillId="0" borderId="58" xfId="0" applyNumberFormat="1" applyFont="1" applyFill="1" applyBorder="1" applyAlignment="1">
      <alignment vertical="center" shrinkToFit="1"/>
    </xf>
    <xf numFmtId="3" fontId="7" fillId="0" borderId="59" xfId="0" applyNumberFormat="1" applyFont="1" applyFill="1" applyBorder="1" applyAlignment="1">
      <alignment vertical="center" shrinkToFit="1"/>
    </xf>
    <xf numFmtId="3" fontId="7" fillId="0" borderId="60" xfId="0" applyNumberFormat="1" applyFont="1" applyFill="1" applyBorder="1" applyAlignment="1">
      <alignment vertical="center" shrinkToFit="1"/>
    </xf>
    <xf numFmtId="3" fontId="5" fillId="0" borderId="58" xfId="0" applyNumberFormat="1" applyFont="1" applyFill="1" applyBorder="1" applyAlignment="1">
      <alignment vertical="center" shrinkToFit="1"/>
    </xf>
    <xf numFmtId="3" fontId="5" fillId="0" borderId="59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5" fillId="0" borderId="61" xfId="0" applyNumberFormat="1" applyFont="1" applyFill="1" applyBorder="1" applyAlignment="1">
      <alignment vertical="center" shrinkToFit="1"/>
    </xf>
    <xf numFmtId="3" fontId="5" fillId="0" borderId="62" xfId="0" applyNumberFormat="1" applyFont="1" applyFill="1" applyBorder="1" applyAlignment="1">
      <alignment vertical="center" shrinkToFit="1"/>
    </xf>
    <xf numFmtId="3" fontId="5" fillId="0" borderId="63" xfId="0" applyNumberFormat="1" applyFont="1" applyFill="1" applyBorder="1" applyAlignment="1">
      <alignment vertical="center" shrinkToFit="1"/>
    </xf>
    <xf numFmtId="3" fontId="5" fillId="0" borderId="64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65" xfId="0" applyNumberFormat="1" applyFont="1" applyFill="1" applyBorder="1" applyAlignment="1">
      <alignment vertical="center" shrinkToFit="1"/>
    </xf>
    <xf numFmtId="3" fontId="5" fillId="0" borderId="66" xfId="0" applyNumberFormat="1" applyFont="1" applyFill="1" applyBorder="1" applyAlignment="1">
      <alignment vertical="center" shrinkToFit="1"/>
    </xf>
    <xf numFmtId="3" fontId="5" fillId="0" borderId="67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7" fillId="0" borderId="62" xfId="0" applyNumberFormat="1" applyFont="1" applyFill="1" applyBorder="1" applyAlignment="1">
      <alignment vertical="center" shrinkToFit="1"/>
    </xf>
    <xf numFmtId="3" fontId="7" fillId="0" borderId="63" xfId="0" applyNumberFormat="1" applyFont="1" applyFill="1" applyBorder="1" applyAlignment="1">
      <alignment vertical="center" shrinkToFit="1"/>
    </xf>
    <xf numFmtId="3" fontId="7" fillId="0" borderId="68" xfId="0" applyNumberFormat="1" applyFont="1" applyFill="1" applyBorder="1" applyAlignment="1">
      <alignment vertical="center" shrinkToFit="1"/>
    </xf>
    <xf numFmtId="3" fontId="7" fillId="0" borderId="69" xfId="0" applyNumberFormat="1" applyFont="1" applyFill="1" applyBorder="1" applyAlignment="1">
      <alignment vertical="center" shrinkToFit="1"/>
    </xf>
    <xf numFmtId="3" fontId="5" fillId="0" borderId="70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shrinkToFit="1"/>
    </xf>
    <xf numFmtId="3" fontId="0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3" fontId="0" fillId="0" borderId="0" xfId="0" applyNumberFormat="1" applyFont="1" applyFill="1" applyBorder="1" applyAlignment="1">
      <alignment vertical="center" shrinkToFit="1"/>
    </xf>
    <xf numFmtId="3" fontId="5" fillId="0" borderId="71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72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Alignment="1">
      <alignment/>
    </xf>
    <xf numFmtId="0" fontId="7" fillId="0" borderId="54" xfId="0" applyFont="1" applyFill="1" applyBorder="1" applyAlignment="1">
      <alignment vertical="center" shrinkToFit="1"/>
    </xf>
    <xf numFmtId="3" fontId="5" fillId="0" borderId="73" xfId="0" applyNumberFormat="1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3" fontId="5" fillId="0" borderId="74" xfId="0" applyNumberFormat="1" applyFont="1" applyFill="1" applyBorder="1" applyAlignment="1">
      <alignment vertical="center" shrinkToFit="1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7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3" fontId="5" fillId="0" borderId="76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 shrinkToFit="1"/>
    </xf>
    <xf numFmtId="0" fontId="7" fillId="0" borderId="78" xfId="0" applyFont="1" applyFill="1" applyBorder="1" applyAlignment="1">
      <alignment horizontal="center" vertical="center" shrinkToFit="1"/>
    </xf>
    <xf numFmtId="3" fontId="5" fillId="0" borderId="79" xfId="0" applyNumberFormat="1" applyFont="1" applyFill="1" applyBorder="1" applyAlignment="1">
      <alignment horizontal="center" vertical="center"/>
    </xf>
    <xf numFmtId="3" fontId="5" fillId="0" borderId="69" xfId="0" applyNumberFormat="1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82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3" fontId="5" fillId="0" borderId="85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="80" zoomScaleNormal="80" zoomScalePageLayoutView="0" workbookViewId="0" topLeftCell="A7">
      <pane ySplit="10" topLeftCell="A17" activePane="bottomLeft" state="frozen"/>
      <selection pane="topLeft" activeCell="A7" sqref="A7"/>
      <selection pane="bottomLeft" activeCell="C34" sqref="C34"/>
    </sheetView>
  </sheetViews>
  <sheetFormatPr defaultColWidth="9.00390625" defaultRowHeight="12.75"/>
  <cols>
    <col min="1" max="1" width="3.125" style="37" customWidth="1"/>
    <col min="2" max="2" width="36.625" style="18" customWidth="1"/>
    <col min="3" max="3" width="12.25390625" style="22" customWidth="1"/>
    <col min="4" max="4" width="10.625" style="22" customWidth="1"/>
    <col min="5" max="5" width="10.00390625" style="22" customWidth="1"/>
    <col min="6" max="6" width="10.625" style="22" customWidth="1"/>
    <col min="7" max="7" width="10.00390625" style="22" customWidth="1"/>
    <col min="8" max="8" width="10.625" style="22" customWidth="1"/>
    <col min="9" max="9" width="11.125" style="22" customWidth="1"/>
    <col min="10" max="15" width="10.00390625" style="22" customWidth="1"/>
    <col min="16" max="16" width="11.125" style="22" customWidth="1"/>
    <col min="17" max="17" width="11.375" style="146" customWidth="1"/>
    <col min="18" max="18" width="9.125" style="18" customWidth="1"/>
    <col min="19" max="19" width="9.125" style="134" customWidth="1"/>
    <col min="20" max="20" width="12.875" style="134" customWidth="1"/>
    <col min="21" max="21" width="9.125" style="134" customWidth="1"/>
    <col min="22" max="22" width="9.125" style="22" customWidth="1"/>
    <col min="23" max="23" width="12.875" style="22" customWidth="1"/>
    <col min="24" max="16384" width="9.125" style="22" customWidth="1"/>
  </cols>
  <sheetData>
    <row r="1" spans="1:16" ht="12.75">
      <c r="A1" s="20"/>
      <c r="B1" s="43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20"/>
      <c r="B2" s="4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04" t="s">
        <v>40</v>
      </c>
      <c r="P2" s="204"/>
    </row>
    <row r="3" spans="1:16" ht="12.75">
      <c r="A3" s="20"/>
      <c r="B3" s="43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20"/>
      <c r="B4" s="4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>
      <c r="A5" s="20"/>
      <c r="B5" s="4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/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0"/>
      <c r="B7" s="4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97" t="s">
        <v>94</v>
      </c>
      <c r="P7" s="197"/>
    </row>
    <row r="8" spans="1:16" ht="21" customHeight="1">
      <c r="A8" s="205" t="s">
        <v>99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</row>
    <row r="9" spans="1:16" ht="12.75">
      <c r="A9" s="23"/>
      <c r="B9" s="4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2.75">
      <c r="A10" s="23"/>
      <c r="B10" s="4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59"/>
      <c r="N10" s="23"/>
      <c r="O10" s="23"/>
      <c r="P10" s="23"/>
    </row>
    <row r="11" spans="1:16" ht="12.75">
      <c r="A11" s="23"/>
      <c r="B11" s="44"/>
      <c r="C11" s="23"/>
      <c r="D11" s="48"/>
      <c r="E11" s="49"/>
      <c r="F11" s="48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" customHeight="1">
      <c r="A12" s="23"/>
      <c r="B12" s="44"/>
      <c r="C12" s="49"/>
      <c r="D12" s="48"/>
      <c r="E12" s="49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3.5" thickBot="1">
      <c r="A13" s="20"/>
      <c r="B13" s="4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52" t="s">
        <v>0</v>
      </c>
    </row>
    <row r="14" spans="1:16" ht="17.25" customHeight="1" thickBot="1">
      <c r="A14" s="206" t="s">
        <v>1</v>
      </c>
      <c r="B14" s="206"/>
      <c r="C14" s="207" t="s">
        <v>98</v>
      </c>
      <c r="D14" s="198" t="s">
        <v>2</v>
      </c>
      <c r="E14" s="198" t="s">
        <v>3</v>
      </c>
      <c r="F14" s="198" t="s">
        <v>4</v>
      </c>
      <c r="G14" s="198" t="s">
        <v>5</v>
      </c>
      <c r="H14" s="198" t="s">
        <v>6</v>
      </c>
      <c r="I14" s="198" t="s">
        <v>7</v>
      </c>
      <c r="J14" s="198" t="s">
        <v>8</v>
      </c>
      <c r="K14" s="198" t="s">
        <v>9</v>
      </c>
      <c r="L14" s="198" t="s">
        <v>10</v>
      </c>
      <c r="M14" s="198" t="s">
        <v>11</v>
      </c>
      <c r="N14" s="198" t="s">
        <v>12</v>
      </c>
      <c r="O14" s="198" t="s">
        <v>13</v>
      </c>
      <c r="P14" s="198" t="s">
        <v>14</v>
      </c>
    </row>
    <row r="15" spans="1:16" ht="13.5" thickBot="1">
      <c r="A15" s="206"/>
      <c r="B15" s="206"/>
      <c r="C15" s="208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1:16" ht="15" customHeight="1" thickBot="1">
      <c r="A16" s="202">
        <v>1</v>
      </c>
      <c r="B16" s="203"/>
      <c r="C16" s="24">
        <v>2</v>
      </c>
      <c r="D16" s="24">
        <v>3</v>
      </c>
      <c r="E16" s="24">
        <v>4</v>
      </c>
      <c r="F16" s="24">
        <v>5</v>
      </c>
      <c r="G16" s="24">
        <v>6</v>
      </c>
      <c r="H16" s="24">
        <v>7</v>
      </c>
      <c r="I16" s="24">
        <v>8</v>
      </c>
      <c r="J16" s="24">
        <v>9</v>
      </c>
      <c r="K16" s="24">
        <v>10</v>
      </c>
      <c r="L16" s="24">
        <v>11</v>
      </c>
      <c r="M16" s="24">
        <v>12</v>
      </c>
      <c r="N16" s="24">
        <v>13</v>
      </c>
      <c r="O16" s="24">
        <v>14</v>
      </c>
      <c r="P16" s="24">
        <v>15</v>
      </c>
    </row>
    <row r="17" spans="1:19" ht="15" customHeight="1">
      <c r="A17" s="25" t="s">
        <v>15</v>
      </c>
      <c r="B17" s="26" t="s">
        <v>78</v>
      </c>
      <c r="C17" s="27">
        <f>SUM(C18:C22)</f>
        <v>15980835</v>
      </c>
      <c r="D17" s="27">
        <f aca="true" t="shared" si="0" ref="D17:N17">SUM(D18:D22)</f>
        <v>1181114.7933333332</v>
      </c>
      <c r="E17" s="27">
        <f t="shared" si="0"/>
        <v>1268571.25</v>
      </c>
      <c r="F17" s="27">
        <f t="shared" si="0"/>
        <v>1269953.81</v>
      </c>
      <c r="G17" s="27">
        <f t="shared" si="0"/>
        <v>1275926.88</v>
      </c>
      <c r="H17" s="27">
        <f t="shared" si="0"/>
        <v>1256195.43</v>
      </c>
      <c r="I17" s="27">
        <f t="shared" si="0"/>
        <v>1298975.22</v>
      </c>
      <c r="J17" s="27">
        <f t="shared" si="0"/>
        <v>1371513.31</v>
      </c>
      <c r="K17" s="27">
        <f t="shared" si="0"/>
        <v>1373632.08</v>
      </c>
      <c r="L17" s="27">
        <f t="shared" si="0"/>
        <v>1359073.81</v>
      </c>
      <c r="M17" s="27">
        <f t="shared" si="0"/>
        <v>1384645.37</v>
      </c>
      <c r="N17" s="27">
        <f t="shared" si="0"/>
        <v>1405492.87</v>
      </c>
      <c r="O17" s="27">
        <f>SUM(O18:O22)+1</f>
        <v>1535741.84</v>
      </c>
      <c r="P17" s="110">
        <f>SUM(D17:O17)</f>
        <v>15980836.663333334</v>
      </c>
      <c r="R17" s="114">
        <f>SUM(C17-P17)</f>
        <v>-1.6633333340287209</v>
      </c>
      <c r="S17" s="133"/>
    </row>
    <row r="18" spans="1:20" ht="15" customHeight="1">
      <c r="A18" s="29"/>
      <c r="B18" s="45" t="s">
        <v>16</v>
      </c>
      <c r="C18" s="142">
        <v>3030479</v>
      </c>
      <c r="D18" s="30">
        <f>48653+48300+12148+155897</f>
        <v>264998</v>
      </c>
      <c r="E18" s="30">
        <f>48653+155897+12000+12325</f>
        <v>228875</v>
      </c>
      <c r="F18" s="30">
        <f>48653+155897+12653</f>
        <v>217203</v>
      </c>
      <c r="G18" s="30">
        <f>48653+48458+29780+155897+12356</f>
        <v>295144</v>
      </c>
      <c r="H18" s="30">
        <f>48653+155897+31727+12632</f>
        <v>248909</v>
      </c>
      <c r="I18" s="30">
        <f>48653+155897+12000+12536</f>
        <v>229086</v>
      </c>
      <c r="J18" s="30">
        <f>48653+12500+155897+7840+12563</f>
        <v>237453</v>
      </c>
      <c r="K18" s="30">
        <f>48653+155897+3500+12000+12354</f>
        <v>232404</v>
      </c>
      <c r="L18" s="30">
        <f>48653+155897-4000+3200+17468+4885</f>
        <v>226103</v>
      </c>
      <c r="M18" s="30">
        <f>48653+7891+155987+2900+15000</f>
        <v>230431</v>
      </c>
      <c r="N18" s="30">
        <f>48653+29780+155987+2200+15000+7000+19469+12292</f>
        <v>290381</v>
      </c>
      <c r="O18" s="30">
        <f>48653+20000+155717+984+14572+45000+35000-25849+20000+17000-1585</f>
        <v>329492</v>
      </c>
      <c r="P18" s="19">
        <f aca="true" t="shared" si="1" ref="P18:P49">SUM(D18:O18)</f>
        <v>3030479</v>
      </c>
      <c r="R18" s="114">
        <f>SUM(C18-P18)</f>
        <v>0</v>
      </c>
      <c r="S18" s="133"/>
      <c r="T18" s="132"/>
    </row>
    <row r="19" spans="1:20" ht="15" customHeight="1">
      <c r="A19" s="29"/>
      <c r="B19" s="45" t="s">
        <v>68</v>
      </c>
      <c r="C19" s="142">
        <v>906794</v>
      </c>
      <c r="D19" s="30">
        <f>SUM(D18*0.27)</f>
        <v>71549.46</v>
      </c>
      <c r="E19" s="30">
        <f>SUM(E18*0.27)+5000</f>
        <v>66796.25</v>
      </c>
      <c r="F19" s="30">
        <f>SUM(F18*0.27)+5000+1236</f>
        <v>64880.810000000005</v>
      </c>
      <c r="G19" s="30">
        <f>SUM(G18*0.27)+1263</f>
        <v>80951.88</v>
      </c>
      <c r="H19" s="30">
        <f>SUM(H18*0.27)+1263</f>
        <v>68468.43000000001</v>
      </c>
      <c r="I19" s="30">
        <f>SUM(I18*0.27)+5000+1263</f>
        <v>68116.22</v>
      </c>
      <c r="J19" s="30">
        <f>SUM(J18*0.27)+5000+1243</f>
        <v>70355.31</v>
      </c>
      <c r="K19" s="30">
        <f>SUM(K18*0.27)+5000+1205+1523</f>
        <v>70477.08</v>
      </c>
      <c r="L19" s="30">
        <f>SUM(L18*0.27)+5000+4056+10468+1023</f>
        <v>81594.81</v>
      </c>
      <c r="M19" s="30">
        <f>SUM(M18*0.27)+5000+7000+1452</f>
        <v>75668.37</v>
      </c>
      <c r="N19" s="30">
        <f>SUM(N18*0.27)+7000+7000+5186</f>
        <v>97588.87000000001</v>
      </c>
      <c r="O19" s="30">
        <f>SUM(O18*0.27)+10000+9804-18420</f>
        <v>90346.84000000001</v>
      </c>
      <c r="P19" s="19">
        <f t="shared" si="1"/>
        <v>906794.33</v>
      </c>
      <c r="R19" s="114">
        <f aca="true" t="shared" si="2" ref="R19:R50">SUM(C19-P19)</f>
        <v>-0.3299999999580905</v>
      </c>
      <c r="S19" s="133"/>
      <c r="T19" s="132"/>
    </row>
    <row r="20" spans="1:20" ht="15" customHeight="1">
      <c r="A20" s="29"/>
      <c r="B20" s="45" t="s">
        <v>38</v>
      </c>
      <c r="C20" s="142">
        <v>9619568</v>
      </c>
      <c r="D20" s="30">
        <f>673522-14344-10000+60000</f>
        <v>709178</v>
      </c>
      <c r="E20" s="30">
        <f>673522-11000+60000+70235</f>
        <v>792757</v>
      </c>
      <c r="F20" s="30">
        <f>673522+60490+75326</f>
        <v>809338</v>
      </c>
      <c r="G20" s="30">
        <f>673522+32270+63254</f>
        <v>769046</v>
      </c>
      <c r="H20" s="30">
        <f>673522+32280+35000+35641</f>
        <v>776443</v>
      </c>
      <c r="I20" s="30">
        <f>673522+35000+23406+20000+12356+23654</f>
        <v>787938</v>
      </c>
      <c r="J20" s="30">
        <f>673522+22325+19487+50000+20000+14253+45231</f>
        <v>844818</v>
      </c>
      <c r="K20" s="30">
        <f>673522+26332+50000+20000+12403+68741</f>
        <v>850998</v>
      </c>
      <c r="L20" s="30">
        <f>673522+54231+50000+20000+35412</f>
        <v>833165</v>
      </c>
      <c r="M20" s="30">
        <f>673522+21323+25000+50000+20000+35000+35211</f>
        <v>860056</v>
      </c>
      <c r="N20" s="30">
        <f>673522+23541+123547+50000+20000+34147+70038-200000+24016</f>
        <v>818811</v>
      </c>
      <c r="O20" s="30">
        <f>673522-5+34005+11717+70453+100000+20000+30000-10224+78000-240448</f>
        <v>767020</v>
      </c>
      <c r="P20" s="19">
        <f t="shared" si="1"/>
        <v>9619568</v>
      </c>
      <c r="R20" s="114">
        <f t="shared" si="2"/>
        <v>0</v>
      </c>
      <c r="S20" s="133"/>
      <c r="T20" s="132"/>
    </row>
    <row r="21" spans="1:20" ht="15" customHeight="1">
      <c r="A21" s="29"/>
      <c r="B21" s="45" t="s">
        <v>39</v>
      </c>
      <c r="C21" s="142">
        <v>684864</v>
      </c>
      <c r="D21" s="30">
        <f>50000+30515+3000</f>
        <v>83515</v>
      </c>
      <c r="E21" s="30">
        <f>50000+30515+3500</f>
        <v>84015</v>
      </c>
      <c r="F21" s="30">
        <f>50000+30515+3516</f>
        <v>84031</v>
      </c>
      <c r="G21" s="30">
        <f>30515+2300+5000+3241</f>
        <v>41056</v>
      </c>
      <c r="H21" s="30">
        <f>30515+2300+5000+3214</f>
        <v>41029</v>
      </c>
      <c r="I21" s="30">
        <f>30515+2217+5000+3214</f>
        <v>40946</v>
      </c>
      <c r="J21" s="30">
        <f>30515+15467+2365</f>
        <v>48347</v>
      </c>
      <c r="K21" s="30">
        <f>30515+13545+3686+1521-7925+2365</f>
        <v>43707</v>
      </c>
      <c r="L21" s="30">
        <f>30515+15326+2246-5000+2356</f>
        <v>45443</v>
      </c>
      <c r="M21" s="30">
        <f>30515+15325+5000-10000+1330</f>
        <v>42170</v>
      </c>
      <c r="N21" s="30">
        <f>50000+30515+1166+124-40000</f>
        <v>41805</v>
      </c>
      <c r="O21" s="30">
        <f>50000+30515+24205-15920</f>
        <v>88800</v>
      </c>
      <c r="P21" s="19">
        <f t="shared" si="1"/>
        <v>684864</v>
      </c>
      <c r="R21" s="114">
        <f t="shared" si="2"/>
        <v>0</v>
      </c>
      <c r="S21" s="133"/>
      <c r="T21" s="132"/>
    </row>
    <row r="22" spans="1:20" ht="15" customHeight="1">
      <c r="A22" s="29"/>
      <c r="B22" s="45" t="s">
        <v>52</v>
      </c>
      <c r="C22" s="142">
        <v>1739130</v>
      </c>
      <c r="D22" s="142">
        <f aca="true" t="shared" si="3" ref="D22:O22">SUM(D25:D29)</f>
        <v>51874.33333333333</v>
      </c>
      <c r="E22" s="142">
        <f t="shared" si="3"/>
        <v>96128</v>
      </c>
      <c r="F22" s="142">
        <f t="shared" si="3"/>
        <v>94501</v>
      </c>
      <c r="G22" s="142">
        <f>SUM(G24:G29)</f>
        <v>89729</v>
      </c>
      <c r="H22" s="142">
        <f t="shared" si="3"/>
        <v>121346</v>
      </c>
      <c r="I22" s="142">
        <f t="shared" si="3"/>
        <v>172889</v>
      </c>
      <c r="J22" s="142">
        <f t="shared" si="3"/>
        <v>170540</v>
      </c>
      <c r="K22" s="142">
        <f t="shared" si="3"/>
        <v>176046</v>
      </c>
      <c r="L22" s="142">
        <f t="shared" si="3"/>
        <v>172768</v>
      </c>
      <c r="M22" s="142">
        <f t="shared" si="3"/>
        <v>176320</v>
      </c>
      <c r="N22" s="142">
        <f t="shared" si="3"/>
        <v>156907</v>
      </c>
      <c r="O22" s="142">
        <f t="shared" si="3"/>
        <v>260082</v>
      </c>
      <c r="P22" s="19">
        <f t="shared" si="1"/>
        <v>1739130.3333333333</v>
      </c>
      <c r="R22" s="114">
        <f t="shared" si="2"/>
        <v>-0.3333333332557231</v>
      </c>
      <c r="S22" s="133"/>
      <c r="T22" s="132"/>
    </row>
    <row r="23" spans="1:20" ht="12.75" customHeight="1" hidden="1">
      <c r="A23" s="127"/>
      <c r="B23" s="128"/>
      <c r="C23" s="18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19">
        <f t="shared" si="1"/>
        <v>0</v>
      </c>
      <c r="R23" s="114">
        <f t="shared" si="2"/>
        <v>0</v>
      </c>
      <c r="S23" s="133"/>
      <c r="T23" s="132"/>
    </row>
    <row r="24" spans="1:20" ht="12.75" customHeight="1">
      <c r="A24" s="107"/>
      <c r="B24" s="128" t="s">
        <v>86</v>
      </c>
      <c r="C24" s="182">
        <v>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19">
        <f t="shared" si="1"/>
        <v>0</v>
      </c>
      <c r="Q24" s="150"/>
      <c r="R24" s="114">
        <f t="shared" si="2"/>
        <v>0</v>
      </c>
      <c r="S24" s="133"/>
      <c r="T24" s="132"/>
    </row>
    <row r="25" spans="1:20" ht="12.75" customHeight="1">
      <c r="A25" s="107"/>
      <c r="B25" s="128" t="s">
        <v>71</v>
      </c>
      <c r="C25" s="182">
        <v>350176</v>
      </c>
      <c r="D25" s="32">
        <f>SUM(C25/12)-2400</f>
        <v>26781.333333333332</v>
      </c>
      <c r="E25" s="32">
        <f>36941+23-6000-2000</f>
        <v>28964</v>
      </c>
      <c r="F25" s="32">
        <f>36941+23-7000</f>
        <v>29964</v>
      </c>
      <c r="G25" s="32">
        <f>36941-7000</f>
        <v>29941</v>
      </c>
      <c r="H25" s="32">
        <f>36941-3029-6000</f>
        <v>27912</v>
      </c>
      <c r="I25" s="32">
        <f>36941-3000-8000</f>
        <v>25941</v>
      </c>
      <c r="J25" s="32">
        <f>36941-8000</f>
        <v>28941</v>
      </c>
      <c r="K25" s="32">
        <f>36941-8000</f>
        <v>28941</v>
      </c>
      <c r="L25" s="32">
        <f>36941-8000</f>
        <v>28941</v>
      </c>
      <c r="M25" s="32">
        <f>36941-19000+21000-8000</f>
        <v>30941</v>
      </c>
      <c r="N25" s="32">
        <f>36941-19000+20682-8000</f>
        <v>30623</v>
      </c>
      <c r="O25" s="109">
        <f>36941-5-21064+8744+13575+2095-8000</f>
        <v>32286</v>
      </c>
      <c r="P25" s="19">
        <f t="shared" si="1"/>
        <v>350176.3333333333</v>
      </c>
      <c r="Q25" s="150"/>
      <c r="R25" s="114">
        <f t="shared" si="2"/>
        <v>-0.3333333333139308</v>
      </c>
      <c r="S25" s="133"/>
      <c r="T25" s="132"/>
    </row>
    <row r="26" spans="1:20" ht="12.75" customHeight="1">
      <c r="A26" s="107"/>
      <c r="B26" s="128" t="s">
        <v>88</v>
      </c>
      <c r="C26" s="182">
        <v>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109"/>
      <c r="P26" s="19">
        <f t="shared" si="1"/>
        <v>0</v>
      </c>
      <c r="Q26" s="150"/>
      <c r="R26" s="114"/>
      <c r="S26" s="133"/>
      <c r="T26" s="132"/>
    </row>
    <row r="27" spans="1:20" ht="12.75" customHeight="1">
      <c r="A27" s="107"/>
      <c r="B27" s="128" t="s">
        <v>72</v>
      </c>
      <c r="C27" s="182">
        <v>631951</v>
      </c>
      <c r="D27" s="32">
        <f>40093-5000-10000</f>
        <v>25093</v>
      </c>
      <c r="E27" s="32">
        <f>40093-5000-10000</f>
        <v>25093</v>
      </c>
      <c r="F27" s="32">
        <f>40093-20000</f>
        <v>20093</v>
      </c>
      <c r="G27" s="32">
        <f>40093-20000</f>
        <v>20093</v>
      </c>
      <c r="H27" s="32">
        <f>40093+3400-20000</f>
        <v>23493</v>
      </c>
      <c r="I27" s="32">
        <f>40093+45236-20000+20000</f>
        <v>85329</v>
      </c>
      <c r="J27" s="32">
        <f>40093+35621-20000+20000</f>
        <v>75714</v>
      </c>
      <c r="K27" s="32">
        <f>40093+14796+25631-20000+20000</f>
        <v>80520</v>
      </c>
      <c r="L27" s="32">
        <f>40093+10000+21321-20000+20000</f>
        <v>71414</v>
      </c>
      <c r="M27" s="32">
        <f>40093-3395+10000+24123+20682-20000-2717+7519</f>
        <v>76305</v>
      </c>
      <c r="N27" s="32">
        <f>40093+10000+21652+20000-20000-10000</f>
        <v>61745</v>
      </c>
      <c r="O27" s="32">
        <f>40093+10000+29977+6989-20000</f>
        <v>67059</v>
      </c>
      <c r="P27" s="19">
        <f t="shared" si="1"/>
        <v>631951</v>
      </c>
      <c r="Q27" s="150"/>
      <c r="R27" s="114">
        <f t="shared" si="2"/>
        <v>0</v>
      </c>
      <c r="S27" s="133"/>
      <c r="T27" s="132"/>
    </row>
    <row r="28" spans="1:20" ht="12.75" customHeight="1">
      <c r="A28" s="107"/>
      <c r="B28" s="128" t="s">
        <v>73</v>
      </c>
      <c r="C28" s="182">
        <v>100000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09">
        <v>100000</v>
      </c>
      <c r="P28" s="19">
        <f t="shared" si="1"/>
        <v>100000</v>
      </c>
      <c r="Q28" s="150"/>
      <c r="R28" s="114">
        <f t="shared" si="2"/>
        <v>0</v>
      </c>
      <c r="S28" s="133"/>
      <c r="T28" s="132"/>
    </row>
    <row r="29" spans="1:20" ht="12.75" customHeight="1">
      <c r="A29" s="107"/>
      <c r="B29" s="128" t="s">
        <v>74</v>
      </c>
      <c r="C29" s="182">
        <v>657003</v>
      </c>
      <c r="D29" s="32"/>
      <c r="E29" s="32">
        <f>34539-22345+50000-20123</f>
        <v>42071</v>
      </c>
      <c r="F29" s="32">
        <f>34539+20000-48564+50000+10000-21531</f>
        <v>44444</v>
      </c>
      <c r="G29" s="32">
        <f>34539+15000-47658+50000+10000-22186</f>
        <v>39695</v>
      </c>
      <c r="H29" s="32">
        <f>34539-24598+50000+10000</f>
        <v>69941</v>
      </c>
      <c r="I29" s="32">
        <f>50000+34539+10000-50356-42564+50000+10000</f>
        <v>61619</v>
      </c>
      <c r="J29" s="32">
        <f>34539-28654+50000+10000</f>
        <v>65885</v>
      </c>
      <c r="K29" s="32">
        <f>34539-27954+50000+10000</f>
        <v>66585</v>
      </c>
      <c r="L29" s="32">
        <f>34539-22126+50000+10000</f>
        <v>72413</v>
      </c>
      <c r="M29" s="32">
        <f>34539+100000-100000-23481+50000+10000-1984</f>
        <v>69074</v>
      </c>
      <c r="N29" s="32">
        <f>34539+100500-100500-20000+50000</f>
        <v>64539</v>
      </c>
      <c r="O29" s="109">
        <f>297060-125571-140000-26744+50000+5992</f>
        <v>60737</v>
      </c>
      <c r="P29" s="19">
        <f t="shared" si="1"/>
        <v>657003</v>
      </c>
      <c r="Q29" s="150"/>
      <c r="R29" s="114">
        <f t="shared" si="2"/>
        <v>0</v>
      </c>
      <c r="S29" s="133"/>
      <c r="T29" s="132"/>
    </row>
    <row r="30" spans="1:20" ht="15" customHeight="1">
      <c r="A30" s="33" t="s">
        <v>17</v>
      </c>
      <c r="B30" s="34" t="s">
        <v>79</v>
      </c>
      <c r="C30" s="19">
        <f aca="true" t="shared" si="4" ref="C30:O30">SUM(C31:C33)</f>
        <v>7016494</v>
      </c>
      <c r="D30" s="19">
        <f>SUM(D31:D33)</f>
        <v>102281.25</v>
      </c>
      <c r="E30" s="19">
        <f t="shared" si="4"/>
        <v>148497.25</v>
      </c>
      <c r="F30" s="19">
        <f t="shared" si="4"/>
        <v>176494.25</v>
      </c>
      <c r="G30" s="19">
        <f t="shared" si="4"/>
        <v>183604.25</v>
      </c>
      <c r="H30" s="19">
        <f t="shared" si="4"/>
        <v>160670</v>
      </c>
      <c r="I30" s="19">
        <f t="shared" si="4"/>
        <v>291873</v>
      </c>
      <c r="J30" s="19">
        <f t="shared" si="4"/>
        <v>607541</v>
      </c>
      <c r="K30" s="19">
        <f t="shared" si="4"/>
        <v>420138</v>
      </c>
      <c r="L30" s="19">
        <f t="shared" si="4"/>
        <v>480508</v>
      </c>
      <c r="M30" s="19">
        <f t="shared" si="4"/>
        <v>332734</v>
      </c>
      <c r="N30" s="19">
        <f t="shared" si="4"/>
        <v>231473</v>
      </c>
      <c r="O30" s="19">
        <f t="shared" si="4"/>
        <v>3880680</v>
      </c>
      <c r="P30" s="19">
        <f>SUM(D30:O30)</f>
        <v>7016494</v>
      </c>
      <c r="R30" s="114">
        <f t="shared" si="2"/>
        <v>0</v>
      </c>
      <c r="S30" s="133"/>
      <c r="T30" s="132"/>
    </row>
    <row r="31" spans="1:20" ht="15" customHeight="1">
      <c r="A31" s="29"/>
      <c r="B31" s="45" t="s">
        <v>69</v>
      </c>
      <c r="C31" s="142">
        <v>1915811</v>
      </c>
      <c r="D31" s="142">
        <f>314961/4+1092+120000+1000-100000-4000</f>
        <v>96832.25</v>
      </c>
      <c r="E31" s="142">
        <f>314961/4+1092+11276+1000-10000</f>
        <v>82108.25</v>
      </c>
      <c r="F31" s="142">
        <f>314961/4+1092+11000+1000-10000</f>
        <v>81832.25</v>
      </c>
      <c r="G31" s="142">
        <f>314961/4+1092+12000+1000-10000</f>
        <v>82832.25</v>
      </c>
      <c r="H31" s="142">
        <f>1092+12000+1000</f>
        <v>14092</v>
      </c>
      <c r="I31" s="142">
        <f>1092+1000+3000+75121+56423</f>
        <v>136636</v>
      </c>
      <c r="J31" s="142">
        <f>1092+1000+2000+25256+300000-80000-6641+35621+180000</f>
        <v>458328</v>
      </c>
      <c r="K31" s="142">
        <f>1092+1000+5000+15032+200000+39342</f>
        <v>261466</v>
      </c>
      <c r="L31" s="142">
        <f>1092+1000+3000+124+214300+150000-80000</f>
        <v>289516</v>
      </c>
      <c r="M31" s="142">
        <f>1092+1000+7000+147+50000+136500</f>
        <v>195739</v>
      </c>
      <c r="N31" s="142">
        <f>1092+1000+1000+1896+37650+3520+120000-60000</f>
        <v>106158</v>
      </c>
      <c r="O31" s="142">
        <f>1092+1000+15092+50000+10015+103072-70000</f>
        <v>110271</v>
      </c>
      <c r="P31" s="19">
        <f t="shared" si="1"/>
        <v>1915811</v>
      </c>
      <c r="R31" s="114">
        <f>SUM(C31-P31)</f>
        <v>0</v>
      </c>
      <c r="S31" s="133"/>
      <c r="T31" s="132"/>
    </row>
    <row r="32" spans="1:20" ht="15" customHeight="1">
      <c r="A32" s="29"/>
      <c r="B32" s="45" t="s">
        <v>70</v>
      </c>
      <c r="C32" s="142">
        <v>597015</v>
      </c>
      <c r="D32" s="142">
        <f>3782+1667</f>
        <v>5449</v>
      </c>
      <c r="E32" s="142">
        <f>3497+8000+1667</f>
        <v>13164</v>
      </c>
      <c r="F32" s="142">
        <f>3495+1667</f>
        <v>5162</v>
      </c>
      <c r="G32" s="142">
        <f>3473+1667+25632</f>
        <v>30772</v>
      </c>
      <c r="H32" s="142">
        <f>3459+1667+40000+21452</f>
        <v>66578</v>
      </c>
      <c r="I32" s="142">
        <f>3438+1667+40000+25632</f>
        <v>70737</v>
      </c>
      <c r="J32" s="142">
        <f>3423+1667+40000+24123</f>
        <v>69213</v>
      </c>
      <c r="K32" s="142">
        <f>3405+1667+40000+21321</f>
        <v>66393</v>
      </c>
      <c r="L32" s="142">
        <f>3387+1667-1+40000+86000+90000-150000+20377</f>
        <v>91430</v>
      </c>
      <c r="M32" s="142">
        <f>3086+1667-1+43644+91235+23005-100000</f>
        <v>62636</v>
      </c>
      <c r="N32" s="142">
        <f>1666+62142+70090+23542-100000</f>
        <v>57440</v>
      </c>
      <c r="O32" s="142">
        <f>1666+56836+86000+22560-109021</f>
        <v>58041</v>
      </c>
      <c r="P32" s="19">
        <f t="shared" si="1"/>
        <v>597015</v>
      </c>
      <c r="R32" s="114">
        <f t="shared" si="2"/>
        <v>0</v>
      </c>
      <c r="S32" s="133"/>
      <c r="T32" s="132"/>
    </row>
    <row r="33" spans="1:20" ht="15" customHeight="1">
      <c r="A33" s="29"/>
      <c r="B33" s="45" t="s">
        <v>53</v>
      </c>
      <c r="C33" s="142">
        <f>4683668-180000</f>
        <v>4503668</v>
      </c>
      <c r="D33" s="142">
        <f aca="true" t="shared" si="5" ref="D33:N33">SUM(D34:D37)</f>
        <v>0</v>
      </c>
      <c r="E33" s="142">
        <f t="shared" si="5"/>
        <v>53225</v>
      </c>
      <c r="F33" s="142">
        <f t="shared" si="5"/>
        <v>89500</v>
      </c>
      <c r="G33" s="142">
        <f t="shared" si="5"/>
        <v>70000</v>
      </c>
      <c r="H33" s="142">
        <f t="shared" si="5"/>
        <v>80000</v>
      </c>
      <c r="I33" s="142">
        <f t="shared" si="5"/>
        <v>84500</v>
      </c>
      <c r="J33" s="142">
        <f t="shared" si="5"/>
        <v>80000</v>
      </c>
      <c r="K33" s="142">
        <f t="shared" si="5"/>
        <v>92279</v>
      </c>
      <c r="L33" s="142">
        <f t="shared" si="5"/>
        <v>99562</v>
      </c>
      <c r="M33" s="142">
        <f t="shared" si="5"/>
        <v>74359</v>
      </c>
      <c r="N33" s="142">
        <f t="shared" si="5"/>
        <v>67875</v>
      </c>
      <c r="O33" s="142">
        <f>SUM(O34:O37)</f>
        <v>3712368</v>
      </c>
      <c r="P33" s="19">
        <f t="shared" si="1"/>
        <v>4503668</v>
      </c>
      <c r="R33" s="114">
        <f t="shared" si="2"/>
        <v>0</v>
      </c>
      <c r="S33" s="133"/>
      <c r="T33" s="132"/>
    </row>
    <row r="34" spans="1:20" ht="15" customHeight="1">
      <c r="A34" s="33"/>
      <c r="B34" s="141" t="s">
        <v>75</v>
      </c>
      <c r="C34" s="142">
        <v>19250</v>
      </c>
      <c r="D34" s="142"/>
      <c r="E34" s="142">
        <v>1250</v>
      </c>
      <c r="F34" s="142">
        <v>4500</v>
      </c>
      <c r="G34" s="142"/>
      <c r="H34" s="142"/>
      <c r="I34" s="142">
        <v>4500</v>
      </c>
      <c r="J34" s="142"/>
      <c r="K34" s="142"/>
      <c r="L34" s="142">
        <f>3000+1250</f>
        <v>4250</v>
      </c>
      <c r="M34" s="142"/>
      <c r="N34" s="142">
        <v>4750</v>
      </c>
      <c r="O34" s="142"/>
      <c r="P34" s="19">
        <f t="shared" si="1"/>
        <v>19250</v>
      </c>
      <c r="Q34" s="150"/>
      <c r="R34" s="114">
        <f t="shared" si="2"/>
        <v>0</v>
      </c>
      <c r="S34" s="133"/>
      <c r="T34" s="132"/>
    </row>
    <row r="35" spans="1:20" ht="15" customHeight="1">
      <c r="A35" s="29"/>
      <c r="B35" s="45" t="s">
        <v>76</v>
      </c>
      <c r="C35" s="142">
        <v>853277</v>
      </c>
      <c r="D35" s="142"/>
      <c r="E35" s="142">
        <f>15000+36975</f>
        <v>51975</v>
      </c>
      <c r="F35" s="142">
        <f>20000+29750-4750+40000</f>
        <v>85000</v>
      </c>
      <c r="G35" s="142">
        <f>30000+40000</f>
        <v>70000</v>
      </c>
      <c r="H35" s="142">
        <f>40000+40000</f>
        <v>80000</v>
      </c>
      <c r="I35" s="142">
        <f>40000+40000</f>
        <v>80000</v>
      </c>
      <c r="J35" s="142">
        <f>40000+40000</f>
        <v>80000</v>
      </c>
      <c r="K35" s="142">
        <f>30000+40000+21234+1045</f>
        <v>92279</v>
      </c>
      <c r="L35" s="142">
        <f>30000+40000+25312</f>
        <v>95312</v>
      </c>
      <c r="M35" s="142">
        <f>30000+40000+21325-16966</f>
        <v>74359</v>
      </c>
      <c r="N35" s="142">
        <f>20000+40000+12356-10000+769</f>
        <v>63125</v>
      </c>
      <c r="O35" s="142">
        <f>24750-3000+40000+20181-10000-356+9652</f>
        <v>81227</v>
      </c>
      <c r="P35" s="19">
        <f t="shared" si="1"/>
        <v>853277</v>
      </c>
      <c r="Q35" s="150"/>
      <c r="R35" s="114">
        <f t="shared" si="2"/>
        <v>0</v>
      </c>
      <c r="S35" s="133"/>
      <c r="T35" s="132"/>
    </row>
    <row r="36" spans="1:20" ht="15" customHeight="1">
      <c r="A36" s="29"/>
      <c r="B36" s="45" t="s">
        <v>89</v>
      </c>
      <c r="C36" s="142">
        <v>0</v>
      </c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9">
        <f t="shared" si="1"/>
        <v>0</v>
      </c>
      <c r="Q36" s="150"/>
      <c r="R36" s="114">
        <f t="shared" si="2"/>
        <v>0</v>
      </c>
      <c r="S36" s="133"/>
      <c r="T36" s="132"/>
    </row>
    <row r="37" spans="1:20" ht="15" customHeight="1">
      <c r="A37" s="29"/>
      <c r="B37" s="45" t="s">
        <v>77</v>
      </c>
      <c r="C37" s="142">
        <v>3631141</v>
      </c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>
        <f>3811141-180000</f>
        <v>3631141</v>
      </c>
      <c r="P37" s="19">
        <f>SUM(D37:O37)</f>
        <v>3631141</v>
      </c>
      <c r="Q37" s="150"/>
      <c r="R37" s="114">
        <f t="shared" si="2"/>
        <v>0</v>
      </c>
      <c r="S37" s="133"/>
      <c r="T37" s="132"/>
    </row>
    <row r="38" spans="1:20" ht="15" customHeight="1">
      <c r="A38" s="107"/>
      <c r="B38" s="108" t="s">
        <v>80</v>
      </c>
      <c r="C38" s="31">
        <f>SUM(C17,C30)</f>
        <v>22997329</v>
      </c>
      <c r="D38" s="31">
        <f>SUM(D17,D30)</f>
        <v>1283396.0433333332</v>
      </c>
      <c r="E38" s="31">
        <f aca="true" t="shared" si="6" ref="E38:N38">SUM(E17,E30)</f>
        <v>1417068.5</v>
      </c>
      <c r="F38" s="31">
        <f t="shared" si="6"/>
        <v>1446448.06</v>
      </c>
      <c r="G38" s="31">
        <f t="shared" si="6"/>
        <v>1459531.13</v>
      </c>
      <c r="H38" s="31">
        <f t="shared" si="6"/>
        <v>1416865.43</v>
      </c>
      <c r="I38" s="31">
        <f t="shared" si="6"/>
        <v>1590848.22</v>
      </c>
      <c r="J38" s="31">
        <f t="shared" si="6"/>
        <v>1979054.31</v>
      </c>
      <c r="K38" s="31">
        <f t="shared" si="6"/>
        <v>1793770.08</v>
      </c>
      <c r="L38" s="31">
        <f t="shared" si="6"/>
        <v>1839581.81</v>
      </c>
      <c r="M38" s="31">
        <f t="shared" si="6"/>
        <v>1717379.37</v>
      </c>
      <c r="N38" s="31">
        <f t="shared" si="6"/>
        <v>1636965.87</v>
      </c>
      <c r="O38" s="31">
        <f>SUM(O17,O30)-2</f>
        <v>5416419.84</v>
      </c>
      <c r="P38" s="19">
        <f>SUM(D38:O38)</f>
        <v>22997328.663333334</v>
      </c>
      <c r="R38" s="114">
        <f t="shared" si="2"/>
        <v>0.33666666597127914</v>
      </c>
      <c r="S38" s="133"/>
      <c r="T38" s="132"/>
    </row>
    <row r="39" spans="1:20" ht="15" customHeight="1">
      <c r="A39" s="33"/>
      <c r="B39" s="141" t="s">
        <v>81</v>
      </c>
      <c r="C39" s="142">
        <v>4814027</v>
      </c>
      <c r="D39" s="97">
        <f>381628-15000</f>
        <v>366628</v>
      </c>
      <c r="E39" s="97">
        <v>383470</v>
      </c>
      <c r="F39" s="97">
        <v>381628</v>
      </c>
      <c r="G39" s="97">
        <f>381628-15000</f>
        <v>366628</v>
      </c>
      <c r="H39" s="97">
        <f>381628+4000+15032</f>
        <v>400660</v>
      </c>
      <c r="I39" s="97">
        <f>381628+4000+1000+2133+16456</f>
        <v>405217</v>
      </c>
      <c r="J39" s="97">
        <f>381628+4000+12553-10000+22951+15474</f>
        <v>426606</v>
      </c>
      <c r="K39" s="97">
        <f>381628-15000+12000+4249+5000+24000+15348</f>
        <v>427225</v>
      </c>
      <c r="L39" s="97">
        <f>381628+5000+25000+10147</f>
        <v>421775</v>
      </c>
      <c r="M39" s="97">
        <f>381628+5856+23546</f>
        <v>411030</v>
      </c>
      <c r="N39" s="97">
        <f>381628+5000+15389+9563</f>
        <v>411580</v>
      </c>
      <c r="O39" s="97">
        <v>411580</v>
      </c>
      <c r="P39" s="19">
        <f t="shared" si="1"/>
        <v>4814027</v>
      </c>
      <c r="R39" s="114">
        <f t="shared" si="2"/>
        <v>0</v>
      </c>
      <c r="S39" s="133"/>
      <c r="T39" s="132"/>
    </row>
    <row r="40" spans="1:20" ht="15" customHeight="1">
      <c r="A40" s="33"/>
      <c r="B40" s="141" t="s">
        <v>96</v>
      </c>
      <c r="C40" s="142">
        <v>93157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>
        <v>93157</v>
      </c>
      <c r="P40" s="19">
        <f t="shared" si="1"/>
        <v>93157</v>
      </c>
      <c r="R40" s="114">
        <f t="shared" si="2"/>
        <v>0</v>
      </c>
      <c r="S40" s="133"/>
      <c r="T40" s="132"/>
    </row>
    <row r="41" spans="1:23" ht="15" customHeight="1">
      <c r="A41" s="33" t="s">
        <v>18</v>
      </c>
      <c r="B41" s="34" t="s">
        <v>82</v>
      </c>
      <c r="C41" s="19">
        <f>SUM(C39)+C40</f>
        <v>4907184</v>
      </c>
      <c r="D41" s="19">
        <f>SUM(D39)+D40</f>
        <v>366628</v>
      </c>
      <c r="E41" s="19">
        <f aca="true" t="shared" si="7" ref="E41:O41">SUM(E39)+E40</f>
        <v>383470</v>
      </c>
      <c r="F41" s="19">
        <f t="shared" si="7"/>
        <v>381628</v>
      </c>
      <c r="G41" s="19">
        <f t="shared" si="7"/>
        <v>366628</v>
      </c>
      <c r="H41" s="19">
        <f t="shared" si="7"/>
        <v>400660</v>
      </c>
      <c r="I41" s="19">
        <f t="shared" si="7"/>
        <v>405217</v>
      </c>
      <c r="J41" s="19">
        <f t="shared" si="7"/>
        <v>426606</v>
      </c>
      <c r="K41" s="19">
        <f t="shared" si="7"/>
        <v>427225</v>
      </c>
      <c r="L41" s="19">
        <f t="shared" si="7"/>
        <v>421775</v>
      </c>
      <c r="M41" s="19">
        <f t="shared" si="7"/>
        <v>411030</v>
      </c>
      <c r="N41" s="19">
        <f t="shared" si="7"/>
        <v>411580</v>
      </c>
      <c r="O41" s="19">
        <f t="shared" si="7"/>
        <v>504737</v>
      </c>
      <c r="P41" s="19">
        <f>SUM(P39)+P40</f>
        <v>4907184</v>
      </c>
      <c r="R41" s="114">
        <f t="shared" si="2"/>
        <v>0</v>
      </c>
      <c r="S41" s="133"/>
      <c r="T41" s="132"/>
      <c r="W41" s="132"/>
    </row>
    <row r="42" spans="1:20" ht="15" customHeight="1">
      <c r="A42" s="33"/>
      <c r="B42" s="141" t="s">
        <v>83</v>
      </c>
      <c r="C42" s="19">
        <v>0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9">
        <f t="shared" si="1"/>
        <v>0</v>
      </c>
      <c r="R42" s="114">
        <f t="shared" si="2"/>
        <v>0</v>
      </c>
      <c r="S42" s="133"/>
      <c r="T42" s="132"/>
    </row>
    <row r="43" spans="1:20" ht="15" customHeight="1">
      <c r="A43" s="36"/>
      <c r="B43" s="149" t="s">
        <v>84</v>
      </c>
      <c r="C43" s="182">
        <v>147925</v>
      </c>
      <c r="D43" s="104"/>
      <c r="E43" s="104"/>
      <c r="F43" s="104"/>
      <c r="G43" s="104">
        <v>15000</v>
      </c>
      <c r="H43" s="104">
        <f>9288+16456</f>
        <v>25744</v>
      </c>
      <c r="I43" s="104">
        <f>15000+474+11195</f>
        <v>26669</v>
      </c>
      <c r="J43" s="104"/>
      <c r="K43" s="104">
        <f>20000+11710</f>
        <v>31710</v>
      </c>
      <c r="L43" s="104">
        <v>6900</v>
      </c>
      <c r="M43" s="104">
        <v>20000</v>
      </c>
      <c r="N43" s="104">
        <f>12201+121</f>
        <v>12322</v>
      </c>
      <c r="O43" s="104">
        <f>19080+445-9945</f>
        <v>9580</v>
      </c>
      <c r="P43" s="19">
        <f t="shared" si="1"/>
        <v>147925</v>
      </c>
      <c r="R43" s="114">
        <f t="shared" si="2"/>
        <v>0</v>
      </c>
      <c r="S43" s="133"/>
      <c r="T43" s="132"/>
    </row>
    <row r="44" spans="1:20" ht="15" customHeight="1">
      <c r="A44" s="36" t="s">
        <v>19</v>
      </c>
      <c r="B44" s="41" t="s">
        <v>85</v>
      </c>
      <c r="C44" s="31">
        <f>SUM(C42:C43)</f>
        <v>147925</v>
      </c>
      <c r="D44" s="31">
        <f>SUM(D42:D43)</f>
        <v>0</v>
      </c>
      <c r="E44" s="31">
        <f aca="true" t="shared" si="8" ref="E44:O44">SUM(E42:E43)</f>
        <v>0</v>
      </c>
      <c r="F44" s="31">
        <f t="shared" si="8"/>
        <v>0</v>
      </c>
      <c r="G44" s="31">
        <f t="shared" si="8"/>
        <v>15000</v>
      </c>
      <c r="H44" s="31">
        <f t="shared" si="8"/>
        <v>25744</v>
      </c>
      <c r="I44" s="31">
        <f t="shared" si="8"/>
        <v>26669</v>
      </c>
      <c r="J44" s="31">
        <f t="shared" si="8"/>
        <v>0</v>
      </c>
      <c r="K44" s="31">
        <f t="shared" si="8"/>
        <v>31710</v>
      </c>
      <c r="L44" s="31">
        <f t="shared" si="8"/>
        <v>6900</v>
      </c>
      <c r="M44" s="31">
        <f t="shared" si="8"/>
        <v>20000</v>
      </c>
      <c r="N44" s="31">
        <f t="shared" si="8"/>
        <v>12322</v>
      </c>
      <c r="O44" s="31">
        <f t="shared" si="8"/>
        <v>9580</v>
      </c>
      <c r="P44" s="19">
        <f>SUM(D44:O44)</f>
        <v>147925</v>
      </c>
      <c r="R44" s="114">
        <f>SUM(C44-P44)</f>
        <v>0</v>
      </c>
      <c r="S44" s="133"/>
      <c r="T44" s="132"/>
    </row>
    <row r="45" spans="1:21" s="145" customFormat="1" ht="15" customHeight="1">
      <c r="A45" s="140"/>
      <c r="B45" s="141" t="s">
        <v>92</v>
      </c>
      <c r="C45" s="148">
        <v>0</v>
      </c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9">
        <f>SUM(D45:O45)</f>
        <v>0</v>
      </c>
      <c r="Q45" s="147"/>
      <c r="R45" s="114">
        <f>SUM(C45-P45)</f>
        <v>0</v>
      </c>
      <c r="S45" s="133"/>
      <c r="T45" s="143"/>
      <c r="U45" s="144"/>
    </row>
    <row r="46" spans="1:20" ht="15" customHeight="1" thickBot="1">
      <c r="A46" s="46" t="s">
        <v>90</v>
      </c>
      <c r="B46" s="53" t="s">
        <v>91</v>
      </c>
      <c r="C46" s="47">
        <f>+C41+C44+C45</f>
        <v>5055109</v>
      </c>
      <c r="D46" s="47">
        <f>+D41+D43+D45</f>
        <v>366628</v>
      </c>
      <c r="E46" s="47">
        <f aca="true" t="shared" si="9" ref="E46:O46">+E41+E43+E45</f>
        <v>383470</v>
      </c>
      <c r="F46" s="47">
        <f t="shared" si="9"/>
        <v>381628</v>
      </c>
      <c r="G46" s="47">
        <f t="shared" si="9"/>
        <v>381628</v>
      </c>
      <c r="H46" s="47">
        <f t="shared" si="9"/>
        <v>426404</v>
      </c>
      <c r="I46" s="47">
        <f t="shared" si="9"/>
        <v>431886</v>
      </c>
      <c r="J46" s="47">
        <f t="shared" si="9"/>
        <v>426606</v>
      </c>
      <c r="K46" s="47">
        <f t="shared" si="9"/>
        <v>458935</v>
      </c>
      <c r="L46" s="47">
        <f t="shared" si="9"/>
        <v>428675</v>
      </c>
      <c r="M46" s="47">
        <f t="shared" si="9"/>
        <v>431030</v>
      </c>
      <c r="N46" s="47">
        <f t="shared" si="9"/>
        <v>423902</v>
      </c>
      <c r="O46" s="47">
        <f t="shared" si="9"/>
        <v>514317</v>
      </c>
      <c r="P46" s="47">
        <f>SUM(D46:O46)</f>
        <v>5055109</v>
      </c>
      <c r="R46" s="114">
        <f>SUM(C46-P46)</f>
        <v>0</v>
      </c>
      <c r="S46" s="133"/>
      <c r="T46" s="132"/>
    </row>
    <row r="47" spans="1:20" ht="15" customHeight="1" thickBot="1">
      <c r="A47" s="200" t="s">
        <v>20</v>
      </c>
      <c r="B47" s="201"/>
      <c r="C47" s="35">
        <f>SUM(C38,C41,C44)+C45</f>
        <v>28052438</v>
      </c>
      <c r="D47" s="35">
        <f>SUM(D38,D41,D44)+1+D45</f>
        <v>1650025.0433333332</v>
      </c>
      <c r="E47" s="35">
        <f aca="true" t="shared" si="10" ref="E47:N47">SUM(E38,E41,E44)+1+E45</f>
        <v>1800539.5</v>
      </c>
      <c r="F47" s="35">
        <f t="shared" si="10"/>
        <v>1828077.06</v>
      </c>
      <c r="G47" s="35">
        <f t="shared" si="10"/>
        <v>1841160.13</v>
      </c>
      <c r="H47" s="35">
        <f t="shared" si="10"/>
        <v>1843270.43</v>
      </c>
      <c r="I47" s="35">
        <f t="shared" si="10"/>
        <v>2022735.22</v>
      </c>
      <c r="J47" s="35">
        <f t="shared" si="10"/>
        <v>2405661.31</v>
      </c>
      <c r="K47" s="35">
        <f t="shared" si="10"/>
        <v>2252706.08</v>
      </c>
      <c r="L47" s="35">
        <f t="shared" si="10"/>
        <v>2268257.81</v>
      </c>
      <c r="M47" s="35">
        <f t="shared" si="10"/>
        <v>2148410.37</v>
      </c>
      <c r="N47" s="35">
        <f t="shared" si="10"/>
        <v>2060868.87</v>
      </c>
      <c r="O47" s="35">
        <f>SUM(O38,O41,O44)+O45</f>
        <v>5930736.84</v>
      </c>
      <c r="P47" s="35">
        <f>SUM(P38,P41,P44)+P45</f>
        <v>28052437.663333334</v>
      </c>
      <c r="R47" s="114">
        <f>SUM(C47-P47)</f>
        <v>0.33666666597127914</v>
      </c>
      <c r="S47" s="133"/>
      <c r="T47" s="132"/>
    </row>
    <row r="48" spans="1:21" s="16" customFormat="1" ht="15" customHeight="1">
      <c r="A48" s="77"/>
      <c r="B48" s="129" t="s">
        <v>50</v>
      </c>
      <c r="C48" s="55">
        <f>-C39</f>
        <v>-4814027</v>
      </c>
      <c r="D48" s="19">
        <f>-D39</f>
        <v>-366628</v>
      </c>
      <c r="E48" s="19">
        <f aca="true" t="shared" si="11" ref="E48:O48">-E39</f>
        <v>-383470</v>
      </c>
      <c r="F48" s="19">
        <f t="shared" si="11"/>
        <v>-381628</v>
      </c>
      <c r="G48" s="19">
        <f t="shared" si="11"/>
        <v>-366628</v>
      </c>
      <c r="H48" s="19">
        <f t="shared" si="11"/>
        <v>-400660</v>
      </c>
      <c r="I48" s="19">
        <f t="shared" si="11"/>
        <v>-405217</v>
      </c>
      <c r="J48" s="19">
        <f t="shared" si="11"/>
        <v>-426606</v>
      </c>
      <c r="K48" s="19">
        <f t="shared" si="11"/>
        <v>-427225</v>
      </c>
      <c r="L48" s="19">
        <f t="shared" si="11"/>
        <v>-421775</v>
      </c>
      <c r="M48" s="19">
        <f t="shared" si="11"/>
        <v>-411030</v>
      </c>
      <c r="N48" s="19">
        <f t="shared" si="11"/>
        <v>-411580</v>
      </c>
      <c r="O48" s="19">
        <f t="shared" si="11"/>
        <v>-411580</v>
      </c>
      <c r="P48" s="111">
        <f t="shared" si="1"/>
        <v>-4814027</v>
      </c>
      <c r="Q48" s="133"/>
      <c r="R48" s="114">
        <f>SUM(C48-P48)</f>
        <v>0</v>
      </c>
      <c r="S48" s="133"/>
      <c r="T48" s="132"/>
      <c r="U48" s="58"/>
    </row>
    <row r="49" spans="1:21" s="16" customFormat="1" ht="15" customHeight="1">
      <c r="A49" s="78"/>
      <c r="B49" s="130" t="s">
        <v>51</v>
      </c>
      <c r="C49" s="56">
        <f>-C43</f>
        <v>-147925</v>
      </c>
      <c r="D49" s="56">
        <f aca="true" t="shared" si="12" ref="D49:O49">-SUM(D43)</f>
        <v>0</v>
      </c>
      <c r="E49" s="56">
        <f t="shared" si="12"/>
        <v>0</v>
      </c>
      <c r="F49" s="56">
        <f t="shared" si="12"/>
        <v>0</v>
      </c>
      <c r="G49" s="56">
        <f t="shared" si="12"/>
        <v>-15000</v>
      </c>
      <c r="H49" s="56">
        <f t="shared" si="12"/>
        <v>-25744</v>
      </c>
      <c r="I49" s="56">
        <f t="shared" si="12"/>
        <v>-26669</v>
      </c>
      <c r="J49" s="56">
        <f t="shared" si="12"/>
        <v>0</v>
      </c>
      <c r="K49" s="56">
        <f t="shared" si="12"/>
        <v>-31710</v>
      </c>
      <c r="L49" s="56">
        <f t="shared" si="12"/>
        <v>-6900</v>
      </c>
      <c r="M49" s="56">
        <f t="shared" si="12"/>
        <v>-20000</v>
      </c>
      <c r="N49" s="56">
        <f>-SUM(N43)</f>
        <v>-12322</v>
      </c>
      <c r="O49" s="56">
        <f t="shared" si="12"/>
        <v>-9580</v>
      </c>
      <c r="P49" s="113">
        <f t="shared" si="1"/>
        <v>-147925</v>
      </c>
      <c r="Q49" s="133"/>
      <c r="R49" s="114">
        <f t="shared" si="2"/>
        <v>0</v>
      </c>
      <c r="S49" s="133"/>
      <c r="T49" s="132"/>
      <c r="U49" s="58"/>
    </row>
    <row r="50" spans="1:21" s="16" customFormat="1" ht="15" customHeight="1" thickBot="1">
      <c r="A50" s="54"/>
      <c r="B50" s="131" t="s">
        <v>54</v>
      </c>
      <c r="C50" s="57">
        <v>-379000</v>
      </c>
      <c r="D50" s="157">
        <f>$C$50/12</f>
        <v>-31583.333333333332</v>
      </c>
      <c r="E50" s="157">
        <f aca="true" t="shared" si="13" ref="E50:O50">$C$50/12</f>
        <v>-31583.333333333332</v>
      </c>
      <c r="F50" s="157">
        <f t="shared" si="13"/>
        <v>-31583.333333333332</v>
      </c>
      <c r="G50" s="157">
        <f t="shared" si="13"/>
        <v>-31583.333333333332</v>
      </c>
      <c r="H50" s="157">
        <f t="shared" si="13"/>
        <v>-31583.333333333332</v>
      </c>
      <c r="I50" s="157">
        <f t="shared" si="13"/>
        <v>-31583.333333333332</v>
      </c>
      <c r="J50" s="157">
        <f t="shared" si="13"/>
        <v>-31583.333333333332</v>
      </c>
      <c r="K50" s="157">
        <f t="shared" si="13"/>
        <v>-31583.333333333332</v>
      </c>
      <c r="L50" s="157">
        <f t="shared" si="13"/>
        <v>-31583.333333333332</v>
      </c>
      <c r="M50" s="157">
        <f t="shared" si="13"/>
        <v>-31583.333333333332</v>
      </c>
      <c r="N50" s="157">
        <f t="shared" si="13"/>
        <v>-31583.333333333332</v>
      </c>
      <c r="O50" s="157">
        <f t="shared" si="13"/>
        <v>-31583.333333333332</v>
      </c>
      <c r="P50" s="112">
        <f>SUM(D50:O50)</f>
        <v>-378999.99999999994</v>
      </c>
      <c r="Q50" s="133"/>
      <c r="R50" s="114">
        <f t="shared" si="2"/>
        <v>-5.820766091346741E-11</v>
      </c>
      <c r="S50" s="133"/>
      <c r="T50" s="132"/>
      <c r="U50" s="58"/>
    </row>
    <row r="51" spans="1:20" ht="15" customHeight="1" thickBot="1">
      <c r="A51" s="195" t="s">
        <v>21</v>
      </c>
      <c r="B51" s="196"/>
      <c r="C51" s="35">
        <f>SUM(C47:C50)</f>
        <v>22711486</v>
      </c>
      <c r="D51" s="35">
        <f aca="true" t="shared" si="14" ref="D51:N51">SUM(D47:D50)-1</f>
        <v>1251812.71</v>
      </c>
      <c r="E51" s="35">
        <f t="shared" si="14"/>
        <v>1385485.1666666667</v>
      </c>
      <c r="F51" s="35">
        <f t="shared" si="14"/>
        <v>1414864.7266666668</v>
      </c>
      <c r="G51" s="35">
        <f t="shared" si="14"/>
        <v>1427947.7966666666</v>
      </c>
      <c r="H51" s="35">
        <f t="shared" si="14"/>
        <v>1385282.0966666667</v>
      </c>
      <c r="I51" s="35">
        <f t="shared" si="14"/>
        <v>1559264.8866666667</v>
      </c>
      <c r="J51" s="35">
        <f t="shared" si="14"/>
        <v>1947470.9766666668</v>
      </c>
      <c r="K51" s="35">
        <f t="shared" si="14"/>
        <v>1762186.7466666668</v>
      </c>
      <c r="L51" s="35">
        <f t="shared" si="14"/>
        <v>1807998.4766666668</v>
      </c>
      <c r="M51" s="35">
        <f t="shared" si="14"/>
        <v>1685796.0366666669</v>
      </c>
      <c r="N51" s="35">
        <f t="shared" si="14"/>
        <v>1605382.5366666669</v>
      </c>
      <c r="O51" s="35">
        <f>SUM(O47:O50)</f>
        <v>5477993.506666667</v>
      </c>
      <c r="P51" s="35">
        <f>SUM(D51:O51)</f>
        <v>22711485.663333334</v>
      </c>
      <c r="R51" s="114">
        <f>SUM(C51-P51)</f>
        <v>0.33666666597127914</v>
      </c>
      <c r="S51" s="133"/>
      <c r="T51" s="132"/>
    </row>
    <row r="52" spans="3:12" ht="15">
      <c r="C52" s="190"/>
      <c r="L52" s="28"/>
    </row>
    <row r="54" spans="3:15" ht="12.75">
      <c r="C54" s="28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</row>
    <row r="55" ht="12.75">
      <c r="C55" s="134"/>
    </row>
    <row r="56" ht="12.75">
      <c r="C56" s="132"/>
    </row>
    <row r="57" spans="3:5" ht="12.75">
      <c r="C57" s="134"/>
      <c r="E57" s="160"/>
    </row>
    <row r="58" ht="12.75">
      <c r="C58" s="132"/>
    </row>
    <row r="59" ht="12.75">
      <c r="C59" s="134"/>
    </row>
  </sheetData>
  <sheetProtection/>
  <mergeCells count="21">
    <mergeCell ref="D14:D15"/>
    <mergeCell ref="O2:P2"/>
    <mergeCell ref="H14:H15"/>
    <mergeCell ref="M14:M15"/>
    <mergeCell ref="O14:O15"/>
    <mergeCell ref="P14:P15"/>
    <mergeCell ref="K14:K15"/>
    <mergeCell ref="L14:L15"/>
    <mergeCell ref="A8:P8"/>
    <mergeCell ref="A14:B15"/>
    <mergeCell ref="C14:C15"/>
    <mergeCell ref="A51:B51"/>
    <mergeCell ref="O7:P7"/>
    <mergeCell ref="E14:E15"/>
    <mergeCell ref="J14:J15"/>
    <mergeCell ref="F14:F15"/>
    <mergeCell ref="A47:B47"/>
    <mergeCell ref="N14:N15"/>
    <mergeCell ref="A16:B16"/>
    <mergeCell ref="I14:I15"/>
    <mergeCell ref="G14:G15"/>
  </mergeCells>
  <printOptions horizontalCentered="1"/>
  <pageMargins left="0.2" right="0.1968503937007874" top="0.67" bottom="0.1968503937007874" header="1.09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S33" sqref="S33"/>
    </sheetView>
  </sheetViews>
  <sheetFormatPr defaultColWidth="9.00390625" defaultRowHeight="12.75"/>
  <cols>
    <col min="1" max="1" width="2.875" style="3" customWidth="1"/>
    <col min="2" max="2" width="30.00390625" style="4" customWidth="1"/>
    <col min="3" max="3" width="8.75390625" style="5" customWidth="1"/>
    <col min="4" max="5" width="7.875" style="6" customWidth="1"/>
    <col min="6" max="6" width="8.25390625" style="6" customWidth="1"/>
    <col min="7" max="7" width="8.375" style="6" customWidth="1"/>
    <col min="8" max="8" width="8.125" style="6" customWidth="1"/>
    <col min="9" max="9" width="8.625" style="6" customWidth="1"/>
    <col min="10" max="10" width="7.75390625" style="6" customWidth="1"/>
    <col min="11" max="11" width="8.00390625" style="6" customWidth="1"/>
    <col min="12" max="15" width="7.875" style="6" customWidth="1"/>
    <col min="16" max="16" width="8.75390625" style="6" customWidth="1"/>
    <col min="17" max="17" width="9.125" style="183" customWidth="1"/>
    <col min="18" max="19" width="9.125" style="135" customWidth="1"/>
    <col min="20" max="16384" width="9.125" style="2" customWidth="1"/>
  </cols>
  <sheetData>
    <row r="1" spans="1:16" ht="14.25" customHeight="1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20" t="s">
        <v>95</v>
      </c>
      <c r="O2" s="220"/>
      <c r="P2" s="220"/>
    </row>
    <row r="3" spans="14:16" ht="12.75" customHeight="1" thickBot="1">
      <c r="N3" s="221" t="s">
        <v>22</v>
      </c>
      <c r="O3" s="221"/>
      <c r="P3" s="221"/>
    </row>
    <row r="4" spans="2:16" ht="10.5" customHeight="1" thickBot="1">
      <c r="B4" s="2"/>
      <c r="D4" s="222" t="s">
        <v>23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7"/>
    </row>
    <row r="5" spans="1:19" s="8" customFormat="1" ht="8.25" customHeight="1" thickBot="1">
      <c r="A5" s="223" t="s">
        <v>1</v>
      </c>
      <c r="B5" s="224"/>
      <c r="C5" s="93" t="s">
        <v>101</v>
      </c>
      <c r="D5" s="227" t="s">
        <v>24</v>
      </c>
      <c r="E5" s="215" t="s">
        <v>25</v>
      </c>
      <c r="F5" s="215" t="s">
        <v>26</v>
      </c>
      <c r="G5" s="215" t="s">
        <v>27</v>
      </c>
      <c r="H5" s="215" t="s">
        <v>28</v>
      </c>
      <c r="I5" s="215" t="s">
        <v>29</v>
      </c>
      <c r="J5" s="215" t="s">
        <v>30</v>
      </c>
      <c r="K5" s="215" t="s">
        <v>67</v>
      </c>
      <c r="L5" s="215" t="s">
        <v>31</v>
      </c>
      <c r="M5" s="215" t="s">
        <v>32</v>
      </c>
      <c r="N5" s="215" t="s">
        <v>33</v>
      </c>
      <c r="O5" s="209" t="s">
        <v>34</v>
      </c>
      <c r="P5" s="211" t="s">
        <v>35</v>
      </c>
      <c r="Q5" s="184"/>
      <c r="R5" s="136"/>
      <c r="S5" s="136"/>
    </row>
    <row r="6" spans="1:19" s="8" customFormat="1" ht="8.25" customHeight="1">
      <c r="A6" s="225"/>
      <c r="B6" s="226"/>
      <c r="C6" s="94" t="s">
        <v>102</v>
      </c>
      <c r="D6" s="228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0"/>
      <c r="P6" s="212"/>
      <c r="Q6" s="184"/>
      <c r="R6" s="136"/>
      <c r="S6" s="136"/>
    </row>
    <row r="7" spans="1:19" s="12" customFormat="1" ht="13.5" thickBot="1">
      <c r="A7" s="213">
        <v>1</v>
      </c>
      <c r="B7" s="214"/>
      <c r="C7" s="95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26">
        <v>15</v>
      </c>
      <c r="Q7" s="185"/>
      <c r="R7" s="137"/>
      <c r="S7" s="137"/>
    </row>
    <row r="8" spans="1:19" s="14" customFormat="1" ht="12.75" customHeight="1">
      <c r="A8" s="64" t="s">
        <v>15</v>
      </c>
      <c r="B8" s="79" t="s">
        <v>43</v>
      </c>
      <c r="C8" s="97">
        <v>2467721</v>
      </c>
      <c r="D8" s="38">
        <f>185048+20000</f>
        <v>205048</v>
      </c>
      <c r="E8" s="38">
        <f>185048+20000</f>
        <v>205048</v>
      </c>
      <c r="F8" s="38">
        <f>185048+20000</f>
        <v>205048</v>
      </c>
      <c r="G8" s="38">
        <f>185048+20000+16231</f>
        <v>221279</v>
      </c>
      <c r="H8" s="38">
        <f>185048+10000+13791</f>
        <v>208839</v>
      </c>
      <c r="I8" s="38">
        <f>185048+6785+10000</f>
        <v>201833</v>
      </c>
      <c r="J8" s="38">
        <f>185048+6785+10000</f>
        <v>201833</v>
      </c>
      <c r="K8" s="38">
        <f>185048+6784+10000</f>
        <v>201832</v>
      </c>
      <c r="L8" s="38">
        <f>185048+1000+6784+10000</f>
        <v>202832</v>
      </c>
      <c r="M8" s="38">
        <f>185048+3000+6784+10000</f>
        <v>204832</v>
      </c>
      <c r="N8" s="38">
        <f>185048+3000+6784+14041+10000-11050</f>
        <v>207823</v>
      </c>
      <c r="O8" s="118">
        <f>185043+3690+6786-14045+20000</f>
        <v>201474</v>
      </c>
      <c r="P8" s="96">
        <f>SUM(D8:O8)</f>
        <v>2467721</v>
      </c>
      <c r="Q8" s="186">
        <f>SUM(C8-P8)</f>
        <v>0</v>
      </c>
      <c r="R8" s="139"/>
      <c r="S8" s="139"/>
    </row>
    <row r="9" spans="1:19" s="39" customFormat="1" ht="12.75" customHeight="1">
      <c r="A9" s="65" t="s">
        <v>17</v>
      </c>
      <c r="B9" s="80" t="s">
        <v>44</v>
      </c>
      <c r="C9" s="97">
        <v>1305258</v>
      </c>
      <c r="D9" s="38">
        <f>116578-6000-2000</f>
        <v>108578</v>
      </c>
      <c r="E9" s="38">
        <f>116578-6000-2000</f>
        <v>108578</v>
      </c>
      <c r="F9" s="38">
        <f>116578-6000-2000</f>
        <v>108578</v>
      </c>
      <c r="G9" s="38">
        <f>116578-6000-2000</f>
        <v>108578</v>
      </c>
      <c r="H9" s="38">
        <f>116578-6000-2000+132</f>
        <v>108710</v>
      </c>
      <c r="I9" s="38">
        <f>116578+2172-6000-2000-2000</f>
        <v>108750</v>
      </c>
      <c r="J9" s="38">
        <f>116578+1500-6000-2000-2000</f>
        <v>108078</v>
      </c>
      <c r="K9" s="38">
        <f>116578+1500-6000-2000-2000</f>
        <v>108078</v>
      </c>
      <c r="L9" s="38">
        <f>116578+10-6000-2000</f>
        <v>108588</v>
      </c>
      <c r="M9" s="38">
        <f>116578+10-6000-2000</f>
        <v>108588</v>
      </c>
      <c r="N9" s="38">
        <f>116578+11+18730-20000-2000-3000-753</f>
        <v>109566</v>
      </c>
      <c r="O9" s="38">
        <f>116581+32007-20000-10000-5000-3000</f>
        <v>110588</v>
      </c>
      <c r="P9" s="97">
        <f>SUM(D9:O9)</f>
        <v>1305258</v>
      </c>
      <c r="Q9" s="186">
        <f aca="true" t="shared" si="0" ref="Q9:Q39">SUM(C9-P9)</f>
        <v>0</v>
      </c>
      <c r="R9" s="58"/>
      <c r="S9" s="58"/>
    </row>
    <row r="10" spans="1:19" s="39" customFormat="1" ht="12.75" customHeight="1">
      <c r="A10" s="66" t="s">
        <v>24</v>
      </c>
      <c r="B10" s="81" t="s">
        <v>55</v>
      </c>
      <c r="C10" s="98">
        <f>SUM(C8:C9)</f>
        <v>3772979</v>
      </c>
      <c r="D10" s="61">
        <f aca="true" t="shared" si="1" ref="D10:P10">SUM(D8:D9)</f>
        <v>313626</v>
      </c>
      <c r="E10" s="61">
        <f t="shared" si="1"/>
        <v>313626</v>
      </c>
      <c r="F10" s="61">
        <f t="shared" si="1"/>
        <v>313626</v>
      </c>
      <c r="G10" s="61">
        <f t="shared" si="1"/>
        <v>329857</v>
      </c>
      <c r="H10" s="61">
        <f t="shared" si="1"/>
        <v>317549</v>
      </c>
      <c r="I10" s="61">
        <f t="shared" si="1"/>
        <v>310583</v>
      </c>
      <c r="J10" s="61">
        <f t="shared" si="1"/>
        <v>309911</v>
      </c>
      <c r="K10" s="61">
        <f t="shared" si="1"/>
        <v>309910</v>
      </c>
      <c r="L10" s="61">
        <f t="shared" si="1"/>
        <v>311420</v>
      </c>
      <c r="M10" s="61">
        <f t="shared" si="1"/>
        <v>313420</v>
      </c>
      <c r="N10" s="61">
        <f t="shared" si="1"/>
        <v>317389</v>
      </c>
      <c r="O10" s="119">
        <f t="shared" si="1"/>
        <v>312062</v>
      </c>
      <c r="P10" s="98">
        <f t="shared" si="1"/>
        <v>3772979</v>
      </c>
      <c r="Q10" s="186">
        <f t="shared" si="0"/>
        <v>0</v>
      </c>
      <c r="R10" s="58"/>
      <c r="S10" s="58"/>
    </row>
    <row r="11" spans="1:19" s="16" customFormat="1" ht="12.75" customHeight="1">
      <c r="A11" s="65" t="s">
        <v>15</v>
      </c>
      <c r="B11" s="80" t="s">
        <v>36</v>
      </c>
      <c r="C11" s="97">
        <v>5177721</v>
      </c>
      <c r="D11" s="92">
        <v>18676</v>
      </c>
      <c r="E11" s="15">
        <v>192134</v>
      </c>
      <c r="F11" s="15">
        <f>990100+70000</f>
        <v>1060100</v>
      </c>
      <c r="G11" s="15">
        <v>673500</v>
      </c>
      <c r="H11" s="15">
        <v>222485</v>
      </c>
      <c r="I11" s="15">
        <v>221240</v>
      </c>
      <c r="J11" s="15">
        <v>176884</v>
      </c>
      <c r="K11" s="15">
        <v>210375</v>
      </c>
      <c r="L11" s="15">
        <f>1025799+69873</f>
        <v>1095672</v>
      </c>
      <c r="M11" s="15">
        <v>788654</v>
      </c>
      <c r="N11" s="15">
        <v>229399</v>
      </c>
      <c r="O11" s="120">
        <v>288602</v>
      </c>
      <c r="P11" s="99">
        <f>SUM(D11:O11)</f>
        <v>5177721</v>
      </c>
      <c r="Q11" s="186">
        <f t="shared" si="0"/>
        <v>0</v>
      </c>
      <c r="R11" s="58"/>
      <c r="S11" s="58"/>
    </row>
    <row r="12" spans="1:19" s="16" customFormat="1" ht="12.75" customHeight="1">
      <c r="A12" s="65" t="s">
        <v>17</v>
      </c>
      <c r="B12" s="80" t="s">
        <v>56</v>
      </c>
      <c r="C12" s="97">
        <v>291100</v>
      </c>
      <c r="D12" s="92">
        <f>12917+1250</f>
        <v>14167</v>
      </c>
      <c r="E12" s="15">
        <f>12917+1250+500</f>
        <v>14667</v>
      </c>
      <c r="F12" s="15">
        <f>12917+1250+5496</f>
        <v>19663</v>
      </c>
      <c r="G12" s="15">
        <f>12917+1250+13725</f>
        <v>27892</v>
      </c>
      <c r="H12" s="15">
        <f>12917+1250+300+13725</f>
        <v>28192</v>
      </c>
      <c r="I12" s="15">
        <f>12917+12250+500</f>
        <v>25667</v>
      </c>
      <c r="J12" s="15">
        <f>12917+11250+500+500</f>
        <v>25167</v>
      </c>
      <c r="K12" s="15">
        <f>12917+11250+500+500</f>
        <v>25167</v>
      </c>
      <c r="L12" s="15">
        <f>12917+1250+13725</f>
        <v>27892</v>
      </c>
      <c r="M12" s="15">
        <f>12917+1250+13725</f>
        <v>27892</v>
      </c>
      <c r="N12" s="15">
        <f>12917+1250+4500+5000+4000</f>
        <v>27667</v>
      </c>
      <c r="O12" s="120">
        <f>12917+1250+6900+6000</f>
        <v>27067</v>
      </c>
      <c r="P12" s="99">
        <f>SUM(D12:O12)</f>
        <v>291100</v>
      </c>
      <c r="Q12" s="186">
        <f t="shared" si="0"/>
        <v>0</v>
      </c>
      <c r="R12" s="58"/>
      <c r="S12" s="58"/>
    </row>
    <row r="13" spans="1:19" s="16" customFormat="1" ht="12.75" customHeight="1">
      <c r="A13" s="67" t="s">
        <v>25</v>
      </c>
      <c r="B13" s="81" t="s">
        <v>42</v>
      </c>
      <c r="C13" s="99">
        <f>SUM(C11:C12)</f>
        <v>5468821</v>
      </c>
      <c r="D13" s="13">
        <f>SUM(D11:D12)</f>
        <v>32843</v>
      </c>
      <c r="E13" s="13">
        <f aca="true" t="shared" si="2" ref="E13:P13">SUM(E11:E12)</f>
        <v>206801</v>
      </c>
      <c r="F13" s="13">
        <f t="shared" si="2"/>
        <v>1079763</v>
      </c>
      <c r="G13" s="13">
        <f t="shared" si="2"/>
        <v>701392</v>
      </c>
      <c r="H13" s="13">
        <f t="shared" si="2"/>
        <v>250677</v>
      </c>
      <c r="I13" s="13">
        <f t="shared" si="2"/>
        <v>246907</v>
      </c>
      <c r="J13" s="13">
        <f t="shared" si="2"/>
        <v>202051</v>
      </c>
      <c r="K13" s="13">
        <f t="shared" si="2"/>
        <v>235542</v>
      </c>
      <c r="L13" s="13">
        <f t="shared" si="2"/>
        <v>1123564</v>
      </c>
      <c r="M13" s="13">
        <f t="shared" si="2"/>
        <v>816546</v>
      </c>
      <c r="N13" s="13">
        <f t="shared" si="2"/>
        <v>257066</v>
      </c>
      <c r="O13" s="121">
        <f t="shared" si="2"/>
        <v>315669</v>
      </c>
      <c r="P13" s="99">
        <f t="shared" si="2"/>
        <v>5468821</v>
      </c>
      <c r="Q13" s="186">
        <f t="shared" si="0"/>
        <v>0</v>
      </c>
      <c r="R13" s="58"/>
      <c r="S13" s="58"/>
    </row>
    <row r="14" spans="1:19" s="14" customFormat="1" ht="12.75" customHeight="1">
      <c r="A14" s="68" t="s">
        <v>26</v>
      </c>
      <c r="B14" s="82" t="s">
        <v>57</v>
      </c>
      <c r="C14" s="99">
        <v>5836469</v>
      </c>
      <c r="D14" s="38">
        <v>481987</v>
      </c>
      <c r="E14" s="38">
        <v>481987</v>
      </c>
      <c r="F14" s="38">
        <v>481987</v>
      </c>
      <c r="G14" s="38">
        <v>481987</v>
      </c>
      <c r="H14" s="38">
        <f>481987+1000+25123</f>
        <v>508110</v>
      </c>
      <c r="I14" s="38">
        <f>481987+3000+32142</f>
        <v>517129</v>
      </c>
      <c r="J14" s="38">
        <f>481987+3000+23564</f>
        <v>508551</v>
      </c>
      <c r="K14" s="38">
        <f>481987+3000+22032</f>
        <v>507019</v>
      </c>
      <c r="L14" s="38">
        <f>481987+3000+33950</f>
        <v>518937</v>
      </c>
      <c r="M14" s="38">
        <f>481987+10000+3000</f>
        <v>494987</v>
      </c>
      <c r="N14" s="38">
        <f>481987+10000+3000+130209-150000</f>
        <v>475196</v>
      </c>
      <c r="O14" s="38">
        <f>481986+12026+3000+21126-139546</f>
        <v>378592</v>
      </c>
      <c r="P14" s="99">
        <f>SUM(D14:O14)</f>
        <v>5836469</v>
      </c>
      <c r="Q14" s="186">
        <f t="shared" si="0"/>
        <v>0</v>
      </c>
      <c r="R14" s="139"/>
      <c r="S14" s="139"/>
    </row>
    <row r="15" spans="1:19" s="16" customFormat="1" ht="12.75" customHeight="1" thickBot="1">
      <c r="A15" s="67" t="s">
        <v>27</v>
      </c>
      <c r="B15" s="81" t="s">
        <v>45</v>
      </c>
      <c r="C15" s="99">
        <v>360</v>
      </c>
      <c r="D15" s="92"/>
      <c r="E15" s="15"/>
      <c r="F15" s="15"/>
      <c r="G15" s="15"/>
      <c r="H15" s="15"/>
      <c r="I15" s="15">
        <v>360</v>
      </c>
      <c r="J15" s="15"/>
      <c r="K15" s="15"/>
      <c r="L15" s="15"/>
      <c r="M15" s="15"/>
      <c r="N15" s="15"/>
      <c r="O15" s="120"/>
      <c r="P15" s="99">
        <f>SUM(D15:O15)</f>
        <v>360</v>
      </c>
      <c r="Q15" s="186">
        <f t="shared" si="0"/>
        <v>0</v>
      </c>
      <c r="R15" s="58"/>
      <c r="S15" s="58"/>
    </row>
    <row r="16" spans="1:19" s="16" customFormat="1" ht="12.75" customHeight="1" thickBot="1">
      <c r="A16" s="69"/>
      <c r="B16" s="83" t="s">
        <v>48</v>
      </c>
      <c r="C16" s="100">
        <f>SUM(C10+C13+C14+C15)</f>
        <v>15078629</v>
      </c>
      <c r="D16" s="100">
        <f aca="true" t="shared" si="3" ref="D16:P16">SUM(D10+D13+D14+D15)</f>
        <v>828456</v>
      </c>
      <c r="E16" s="100">
        <f t="shared" si="3"/>
        <v>1002414</v>
      </c>
      <c r="F16" s="100">
        <f t="shared" si="3"/>
        <v>1875376</v>
      </c>
      <c r="G16" s="100">
        <f t="shared" si="3"/>
        <v>1513236</v>
      </c>
      <c r="H16" s="100">
        <f t="shared" si="3"/>
        <v>1076336</v>
      </c>
      <c r="I16" s="100">
        <f t="shared" si="3"/>
        <v>1074979</v>
      </c>
      <c r="J16" s="100">
        <f t="shared" si="3"/>
        <v>1020513</v>
      </c>
      <c r="K16" s="100">
        <f t="shared" si="3"/>
        <v>1052471</v>
      </c>
      <c r="L16" s="100">
        <f t="shared" si="3"/>
        <v>1953921</v>
      </c>
      <c r="M16" s="100">
        <f t="shared" si="3"/>
        <v>1624953</v>
      </c>
      <c r="N16" s="100">
        <f t="shared" si="3"/>
        <v>1049651</v>
      </c>
      <c r="O16" s="100">
        <f t="shared" si="3"/>
        <v>1006323</v>
      </c>
      <c r="P16" s="100">
        <f t="shared" si="3"/>
        <v>15078629</v>
      </c>
      <c r="Q16" s="186">
        <f t="shared" si="0"/>
        <v>0</v>
      </c>
      <c r="R16" s="58"/>
      <c r="S16" s="133"/>
    </row>
    <row r="17" spans="1:19" s="16" customFormat="1" ht="12.75" customHeight="1">
      <c r="A17" s="70" t="s">
        <v>28</v>
      </c>
      <c r="B17" s="84" t="s">
        <v>58</v>
      </c>
      <c r="C17" s="101">
        <v>80046</v>
      </c>
      <c r="D17" s="180"/>
      <c r="E17" s="180"/>
      <c r="F17" s="180"/>
      <c r="G17" s="180">
        <f>23577+1906</f>
        <v>25483</v>
      </c>
      <c r="H17" s="180"/>
      <c r="I17" s="180"/>
      <c r="J17" s="180"/>
      <c r="K17" s="180"/>
      <c r="L17" s="63"/>
      <c r="M17" s="180">
        <f>73365+14993+560-34355</f>
        <v>54563</v>
      </c>
      <c r="N17" s="180"/>
      <c r="O17" s="181"/>
      <c r="P17" s="99">
        <f>SUM(D17:O17)</f>
        <v>80046</v>
      </c>
      <c r="Q17" s="186">
        <f t="shared" si="0"/>
        <v>0</v>
      </c>
      <c r="R17" s="58"/>
      <c r="S17" s="58"/>
    </row>
    <row r="18" spans="1:19" s="16" customFormat="1" ht="12.75" customHeight="1">
      <c r="A18" s="67" t="s">
        <v>29</v>
      </c>
      <c r="B18" s="81" t="s">
        <v>41</v>
      </c>
      <c r="C18" s="99">
        <v>1943099</v>
      </c>
      <c r="D18" s="61">
        <f>12500+275103</f>
        <v>287603</v>
      </c>
      <c r="E18" s="63">
        <v>12500</v>
      </c>
      <c r="F18" s="63">
        <v>12500</v>
      </c>
      <c r="G18" s="63">
        <f>12500+400000</f>
        <v>412500</v>
      </c>
      <c r="H18" s="63">
        <v>12500</v>
      </c>
      <c r="I18" s="63">
        <f>12500+50000</f>
        <v>62500</v>
      </c>
      <c r="J18" s="63">
        <v>12500</v>
      </c>
      <c r="K18" s="63">
        <f>12500+11050</f>
        <v>23550</v>
      </c>
      <c r="L18" s="63">
        <f>12500+700000-333184+300000</f>
        <v>679316</v>
      </c>
      <c r="M18" s="63">
        <f>12500+130</f>
        <v>12630</v>
      </c>
      <c r="N18" s="63">
        <f>12500+200000-110000</f>
        <v>102500</v>
      </c>
      <c r="O18" s="125">
        <f>12500+300000</f>
        <v>312500</v>
      </c>
      <c r="P18" s="99">
        <f>SUM(D18:O18)</f>
        <v>1943099</v>
      </c>
      <c r="Q18" s="186">
        <f t="shared" si="0"/>
        <v>0</v>
      </c>
      <c r="R18" s="58"/>
      <c r="S18" s="58"/>
    </row>
    <row r="19" spans="1:19" s="16" customFormat="1" ht="12.75" customHeight="1">
      <c r="A19" s="65" t="s">
        <v>15</v>
      </c>
      <c r="B19" s="80" t="s">
        <v>46</v>
      </c>
      <c r="C19" s="97">
        <v>24450</v>
      </c>
      <c r="D19" s="92">
        <v>2014</v>
      </c>
      <c r="E19" s="15">
        <v>2014</v>
      </c>
      <c r="F19" s="15">
        <v>2013</v>
      </c>
      <c r="G19" s="92">
        <v>2014</v>
      </c>
      <c r="H19" s="15">
        <v>2014</v>
      </c>
      <c r="I19" s="15">
        <v>2013</v>
      </c>
      <c r="J19" s="92">
        <v>2014</v>
      </c>
      <c r="K19" s="15">
        <v>2014</v>
      </c>
      <c r="L19" s="16">
        <v>2013</v>
      </c>
      <c r="M19" s="92">
        <v>2014</v>
      </c>
      <c r="N19" s="15">
        <v>2014</v>
      </c>
      <c r="O19" s="15">
        <f>2013+286</f>
        <v>2299</v>
      </c>
      <c r="P19" s="99">
        <f>SUM(D19:O19)</f>
        <v>24450</v>
      </c>
      <c r="Q19" s="186">
        <f t="shared" si="0"/>
        <v>0</v>
      </c>
      <c r="R19" s="58"/>
      <c r="S19" s="58"/>
    </row>
    <row r="20" spans="1:19" s="14" customFormat="1" ht="12.75" customHeight="1">
      <c r="A20" s="65" t="s">
        <v>17</v>
      </c>
      <c r="B20" s="85" t="s">
        <v>47</v>
      </c>
      <c r="C20" s="97"/>
      <c r="D20" s="13"/>
      <c r="E20" s="17"/>
      <c r="F20" s="42"/>
      <c r="G20" s="42"/>
      <c r="H20" s="42"/>
      <c r="I20" s="17"/>
      <c r="J20" s="17"/>
      <c r="K20" s="17"/>
      <c r="L20" s="17"/>
      <c r="M20" s="17"/>
      <c r="N20" s="17"/>
      <c r="O20" s="123"/>
      <c r="P20" s="99">
        <f>SUM(D20:O20)</f>
        <v>0</v>
      </c>
      <c r="Q20" s="186">
        <f t="shared" si="0"/>
        <v>0</v>
      </c>
      <c r="R20" s="139"/>
      <c r="S20" s="139"/>
    </row>
    <row r="21" spans="1:19" s="16" customFormat="1" ht="12.75" customHeight="1" thickBot="1">
      <c r="A21" s="66" t="s">
        <v>30</v>
      </c>
      <c r="B21" s="81" t="s">
        <v>59</v>
      </c>
      <c r="C21" s="99">
        <f>SUM(C19:C20)</f>
        <v>24450</v>
      </c>
      <c r="D21" s="13">
        <f aca="true" t="shared" si="4" ref="D21:O21">SUM(D19:D20)</f>
        <v>2014</v>
      </c>
      <c r="E21" s="13">
        <f t="shared" si="4"/>
        <v>2014</v>
      </c>
      <c r="F21" s="13">
        <f t="shared" si="4"/>
        <v>2013</v>
      </c>
      <c r="G21" s="13">
        <f t="shared" si="4"/>
        <v>2014</v>
      </c>
      <c r="H21" s="13">
        <f t="shared" si="4"/>
        <v>2014</v>
      </c>
      <c r="I21" s="13">
        <f t="shared" si="4"/>
        <v>2013</v>
      </c>
      <c r="J21" s="13">
        <f t="shared" si="4"/>
        <v>2014</v>
      </c>
      <c r="K21" s="13">
        <f t="shared" si="4"/>
        <v>2014</v>
      </c>
      <c r="L21" s="13">
        <f t="shared" si="4"/>
        <v>2013</v>
      </c>
      <c r="M21" s="13">
        <f t="shared" si="4"/>
        <v>2014</v>
      </c>
      <c r="N21" s="13">
        <f t="shared" si="4"/>
        <v>2014</v>
      </c>
      <c r="O21" s="121">
        <f t="shared" si="4"/>
        <v>2299</v>
      </c>
      <c r="P21" s="99">
        <f>SUM(P19:P20)</f>
        <v>24450</v>
      </c>
      <c r="Q21" s="186">
        <f t="shared" si="0"/>
        <v>0</v>
      </c>
      <c r="R21" s="58"/>
      <c r="S21" s="58"/>
    </row>
    <row r="22" spans="1:19" s="16" customFormat="1" ht="12.75" customHeight="1" thickBot="1">
      <c r="A22" s="71"/>
      <c r="B22" s="83" t="s">
        <v>49</v>
      </c>
      <c r="C22" s="100">
        <f>SUM(C17+C18+C21)</f>
        <v>2047595</v>
      </c>
      <c r="D22" s="50">
        <f aca="true" t="shared" si="5" ref="D22:O22">SUM(D17+D18+D21)</f>
        <v>289617</v>
      </c>
      <c r="E22" s="50">
        <f t="shared" si="5"/>
        <v>14514</v>
      </c>
      <c r="F22" s="50">
        <f t="shared" si="5"/>
        <v>14513</v>
      </c>
      <c r="G22" s="50">
        <f t="shared" si="5"/>
        <v>439997</v>
      </c>
      <c r="H22" s="50">
        <f t="shared" si="5"/>
        <v>14514</v>
      </c>
      <c r="I22" s="50">
        <f t="shared" si="5"/>
        <v>64513</v>
      </c>
      <c r="J22" s="50">
        <f t="shared" si="5"/>
        <v>14514</v>
      </c>
      <c r="K22" s="50">
        <f t="shared" si="5"/>
        <v>25564</v>
      </c>
      <c r="L22" s="50">
        <f>SUM(L18+L21)</f>
        <v>681329</v>
      </c>
      <c r="M22" s="50">
        <f t="shared" si="5"/>
        <v>69207</v>
      </c>
      <c r="N22" s="50">
        <f t="shared" si="5"/>
        <v>104514</v>
      </c>
      <c r="O22" s="122">
        <f t="shared" si="5"/>
        <v>314799</v>
      </c>
      <c r="P22" s="100">
        <f>SUM(P17+P18+P21)</f>
        <v>2047595</v>
      </c>
      <c r="Q22" s="186">
        <f t="shared" si="0"/>
        <v>0</v>
      </c>
      <c r="R22" s="58"/>
      <c r="S22" s="133"/>
    </row>
    <row r="23" spans="1:19" s="40" customFormat="1" ht="12.75" customHeight="1" thickBot="1">
      <c r="A23" s="72"/>
      <c r="B23" s="83" t="s">
        <v>60</v>
      </c>
      <c r="C23" s="102">
        <f>SUM(C16,C22)</f>
        <v>17126224</v>
      </c>
      <c r="D23" s="51">
        <f aca="true" t="shared" si="6" ref="D23:P23">SUM(D16,D22)</f>
        <v>1118073</v>
      </c>
      <c r="E23" s="51">
        <f t="shared" si="6"/>
        <v>1016928</v>
      </c>
      <c r="F23" s="51">
        <f t="shared" si="6"/>
        <v>1889889</v>
      </c>
      <c r="G23" s="51">
        <f t="shared" si="6"/>
        <v>1953233</v>
      </c>
      <c r="H23" s="51">
        <f t="shared" si="6"/>
        <v>1090850</v>
      </c>
      <c r="I23" s="51">
        <f t="shared" si="6"/>
        <v>1139492</v>
      </c>
      <c r="J23" s="51">
        <f t="shared" si="6"/>
        <v>1035027</v>
      </c>
      <c r="K23" s="51">
        <f t="shared" si="6"/>
        <v>1078035</v>
      </c>
      <c r="L23" s="51">
        <f t="shared" si="6"/>
        <v>2635250</v>
      </c>
      <c r="M23" s="51">
        <f t="shared" si="6"/>
        <v>1694160</v>
      </c>
      <c r="N23" s="51">
        <f t="shared" si="6"/>
        <v>1154165</v>
      </c>
      <c r="O23" s="124">
        <f t="shared" si="6"/>
        <v>1321122</v>
      </c>
      <c r="P23" s="102">
        <f t="shared" si="6"/>
        <v>17126224</v>
      </c>
      <c r="Q23" s="186">
        <f t="shared" si="0"/>
        <v>0</v>
      </c>
      <c r="R23" s="139"/>
      <c r="S23" s="139"/>
    </row>
    <row r="24" spans="1:19" s="40" customFormat="1" ht="12.75" customHeight="1">
      <c r="A24" s="73" t="s">
        <v>15</v>
      </c>
      <c r="B24" s="86" t="s">
        <v>61</v>
      </c>
      <c r="C24" s="103">
        <v>561643</v>
      </c>
      <c r="D24" s="178">
        <f>50000+109814</f>
        <v>159814</v>
      </c>
      <c r="E24" s="179">
        <f>25000+124231</f>
        <v>149231</v>
      </c>
      <c r="F24" s="179">
        <f>5761+123411</f>
        <v>129172</v>
      </c>
      <c r="G24" s="179">
        <v>123426</v>
      </c>
      <c r="H24" s="179"/>
      <c r="I24" s="179"/>
      <c r="J24" s="179"/>
      <c r="K24" s="179"/>
      <c r="L24" s="179"/>
      <c r="M24" s="179"/>
      <c r="N24" s="179"/>
      <c r="O24" s="118"/>
      <c r="P24" s="187">
        <f>SUM(D24:O24)</f>
        <v>561643</v>
      </c>
      <c r="Q24" s="186">
        <f t="shared" si="0"/>
        <v>0</v>
      </c>
      <c r="R24" s="139"/>
      <c r="S24" s="139"/>
    </row>
    <row r="25" spans="1:19" s="40" customFormat="1" ht="12.75" customHeight="1">
      <c r="A25" s="75" t="s">
        <v>17</v>
      </c>
      <c r="B25" s="85" t="s">
        <v>62</v>
      </c>
      <c r="C25" s="97">
        <v>4814027</v>
      </c>
      <c r="D25" s="161">
        <f>381628-15000+20000+10000</f>
        <v>396628</v>
      </c>
      <c r="E25" s="162">
        <f>383470+20000</f>
        <v>403470</v>
      </c>
      <c r="F25" s="162">
        <f>381628+15000+15156</f>
        <v>411784</v>
      </c>
      <c r="G25" s="162">
        <f>381628-15000+20000+15342</f>
        <v>401970</v>
      </c>
      <c r="H25" s="162">
        <f>381628+4000+19563</f>
        <v>405191</v>
      </c>
      <c r="I25" s="162">
        <f>381628+4000+2132+10235</f>
        <v>397995</v>
      </c>
      <c r="J25" s="162">
        <f>381628+4000+12553+1952-12049+12161</f>
        <v>400245</v>
      </c>
      <c r="K25" s="162">
        <f>381628-15000+12000+4249+2145</f>
        <v>385022</v>
      </c>
      <c r="L25" s="162">
        <f>381628+2032</f>
        <v>383660</v>
      </c>
      <c r="M25" s="162">
        <f>381628+1000+2145+15389</f>
        <v>400162</v>
      </c>
      <c r="N25" s="162">
        <f>381628+1000+2536+17000</f>
        <v>402164</v>
      </c>
      <c r="O25" s="163">
        <f>381630+1522+2914+39670</f>
        <v>425736</v>
      </c>
      <c r="P25" s="188">
        <f>SUM(D25:O25)</f>
        <v>4814027</v>
      </c>
      <c r="Q25" s="186">
        <f t="shared" si="0"/>
        <v>0</v>
      </c>
      <c r="R25" s="139"/>
      <c r="S25" s="139"/>
    </row>
    <row r="26" spans="1:19" s="40" customFormat="1" ht="12.75" customHeight="1">
      <c r="A26" s="75" t="s">
        <v>18</v>
      </c>
      <c r="B26" s="85" t="s">
        <v>97</v>
      </c>
      <c r="C26" s="97"/>
      <c r="D26" s="161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3"/>
      <c r="P26" s="189">
        <f>SUM(D26:O26)</f>
        <v>0</v>
      </c>
      <c r="Q26" s="186">
        <f t="shared" si="0"/>
        <v>0</v>
      </c>
      <c r="R26" s="139"/>
      <c r="S26" s="139"/>
    </row>
    <row r="27" spans="1:19" s="40" customFormat="1" ht="12.75" customHeight="1">
      <c r="A27" s="74"/>
      <c r="B27" s="81" t="s">
        <v>63</v>
      </c>
      <c r="C27" s="98">
        <f>SUM(C24:C26)</f>
        <v>5375670</v>
      </c>
      <c r="D27" s="166">
        <f aca="true" t="shared" si="7" ref="D27:N27">SUM(D24:D26)</f>
        <v>556442</v>
      </c>
      <c r="E27" s="166">
        <f t="shared" si="7"/>
        <v>552701</v>
      </c>
      <c r="F27" s="166">
        <f t="shared" si="7"/>
        <v>540956</v>
      </c>
      <c r="G27" s="166">
        <f t="shared" si="7"/>
        <v>525396</v>
      </c>
      <c r="H27" s="166">
        <f t="shared" si="7"/>
        <v>405191</v>
      </c>
      <c r="I27" s="166">
        <f t="shared" si="7"/>
        <v>397995</v>
      </c>
      <c r="J27" s="166">
        <f t="shared" si="7"/>
        <v>400245</v>
      </c>
      <c r="K27" s="166">
        <f t="shared" si="7"/>
        <v>385022</v>
      </c>
      <c r="L27" s="166">
        <f t="shared" si="7"/>
        <v>383660</v>
      </c>
      <c r="M27" s="166">
        <f t="shared" si="7"/>
        <v>400162</v>
      </c>
      <c r="N27" s="166">
        <f t="shared" si="7"/>
        <v>402164</v>
      </c>
      <c r="O27" s="166">
        <f>SUM(O24:O26)</f>
        <v>425736</v>
      </c>
      <c r="P27" s="98">
        <f>SUM(P24:P26)</f>
        <v>5375670</v>
      </c>
      <c r="Q27" s="186">
        <f t="shared" si="0"/>
        <v>0</v>
      </c>
      <c r="R27" s="139"/>
      <c r="S27" s="139"/>
    </row>
    <row r="28" spans="1:19" s="40" customFormat="1" ht="12.75" customHeight="1">
      <c r="A28" s="75" t="s">
        <v>15</v>
      </c>
      <c r="B28" s="85" t="s">
        <v>64</v>
      </c>
      <c r="C28" s="98">
        <v>1690498</v>
      </c>
      <c r="D28" s="164"/>
      <c r="E28" s="165"/>
      <c r="F28" s="165">
        <f>20000+195545</f>
        <v>215545</v>
      </c>
      <c r="G28" s="165">
        <v>17529</v>
      </c>
      <c r="H28" s="165">
        <v>214211</v>
      </c>
      <c r="I28" s="165">
        <v>1243213</v>
      </c>
      <c r="J28" s="165"/>
      <c r="K28" s="165"/>
      <c r="L28" s="165"/>
      <c r="M28" s="165"/>
      <c r="N28" s="165"/>
      <c r="O28" s="166"/>
      <c r="P28" s="98">
        <f>SUM(D28:O28)</f>
        <v>1690498</v>
      </c>
      <c r="Q28" s="186">
        <f t="shared" si="0"/>
        <v>0</v>
      </c>
      <c r="R28" s="139"/>
      <c r="S28" s="138"/>
    </row>
    <row r="29" spans="1:19" s="40" customFormat="1" ht="12.75" customHeight="1">
      <c r="A29" s="74" t="s">
        <v>17</v>
      </c>
      <c r="B29" s="87" t="s">
        <v>65</v>
      </c>
      <c r="C29" s="104">
        <v>147925</v>
      </c>
      <c r="D29" s="167"/>
      <c r="E29" s="176"/>
      <c r="F29" s="176"/>
      <c r="G29" s="176">
        <v>30000</v>
      </c>
      <c r="H29" s="176">
        <v>6532</v>
      </c>
      <c r="I29" s="176">
        <v>6119</v>
      </c>
      <c r="J29" s="176">
        <v>20000</v>
      </c>
      <c r="K29" s="176">
        <f>15000+14546-9945</f>
        <v>19601</v>
      </c>
      <c r="L29" s="176">
        <f>6900+14000+11710</f>
        <v>32610</v>
      </c>
      <c r="M29" s="176">
        <v>20000</v>
      </c>
      <c r="N29" s="176"/>
      <c r="O29" s="177">
        <f>31281-18784+445+121</f>
        <v>13063</v>
      </c>
      <c r="P29" s="98">
        <f>SUM(D29:O29)</f>
        <v>147925</v>
      </c>
      <c r="Q29" s="186">
        <f t="shared" si="0"/>
        <v>0</v>
      </c>
      <c r="R29" s="139"/>
      <c r="S29" s="139"/>
    </row>
    <row r="30" spans="1:19" s="40" customFormat="1" ht="12.75" customHeight="1">
      <c r="A30" s="76"/>
      <c r="B30" s="153" t="s">
        <v>66</v>
      </c>
      <c r="C30" s="154">
        <f>SUM(C28:C29)</f>
        <v>1838423</v>
      </c>
      <c r="D30" s="156">
        <f aca="true" t="shared" si="8" ref="D30:O30">SUM(D28:D29)</f>
        <v>0</v>
      </c>
      <c r="E30" s="155">
        <f t="shared" si="8"/>
        <v>0</v>
      </c>
      <c r="F30" s="155">
        <f t="shared" si="8"/>
        <v>215545</v>
      </c>
      <c r="G30" s="155">
        <f t="shared" si="8"/>
        <v>47529</v>
      </c>
      <c r="H30" s="155">
        <f t="shared" si="8"/>
        <v>220743</v>
      </c>
      <c r="I30" s="155">
        <f t="shared" si="8"/>
        <v>1249332</v>
      </c>
      <c r="J30" s="155">
        <f t="shared" si="8"/>
        <v>20000</v>
      </c>
      <c r="K30" s="155">
        <f t="shared" si="8"/>
        <v>19601</v>
      </c>
      <c r="L30" s="155">
        <f t="shared" si="8"/>
        <v>32610</v>
      </c>
      <c r="M30" s="155">
        <f t="shared" si="8"/>
        <v>20000</v>
      </c>
      <c r="N30" s="155">
        <f t="shared" si="8"/>
        <v>0</v>
      </c>
      <c r="O30" s="170">
        <f t="shared" si="8"/>
        <v>13063</v>
      </c>
      <c r="P30" s="154">
        <f>SUM(P28:P29)</f>
        <v>1838423</v>
      </c>
      <c r="Q30" s="186">
        <f t="shared" si="0"/>
        <v>0</v>
      </c>
      <c r="R30" s="139"/>
      <c r="S30" s="139"/>
    </row>
    <row r="31" spans="1:19" s="40" customFormat="1" ht="12.75" customHeight="1">
      <c r="A31" s="76">
        <v>1</v>
      </c>
      <c r="B31" s="193" t="s">
        <v>104</v>
      </c>
      <c r="C31" s="188">
        <v>3276531</v>
      </c>
      <c r="D31" s="194">
        <f>$C$31/12</f>
        <v>273044.25</v>
      </c>
      <c r="E31" s="194">
        <f aca="true" t="shared" si="9" ref="E31:O31">$C$31/12</f>
        <v>273044.25</v>
      </c>
      <c r="F31" s="194">
        <f t="shared" si="9"/>
        <v>273044.25</v>
      </c>
      <c r="G31" s="194">
        <f t="shared" si="9"/>
        <v>273044.25</v>
      </c>
      <c r="H31" s="194">
        <f t="shared" si="9"/>
        <v>273044.25</v>
      </c>
      <c r="I31" s="194">
        <f t="shared" si="9"/>
        <v>273044.25</v>
      </c>
      <c r="J31" s="194">
        <f t="shared" si="9"/>
        <v>273044.25</v>
      </c>
      <c r="K31" s="194">
        <f t="shared" si="9"/>
        <v>273044.25</v>
      </c>
      <c r="L31" s="194">
        <f t="shared" si="9"/>
        <v>273044.25</v>
      </c>
      <c r="M31" s="194">
        <f t="shared" si="9"/>
        <v>273044.25</v>
      </c>
      <c r="N31" s="194">
        <f t="shared" si="9"/>
        <v>273044.25</v>
      </c>
      <c r="O31" s="194">
        <f t="shared" si="9"/>
        <v>273044.25</v>
      </c>
      <c r="P31" s="188">
        <f>SUM(D31:O31)</f>
        <v>3276531</v>
      </c>
      <c r="Q31" s="186">
        <f t="shared" si="0"/>
        <v>0</v>
      </c>
      <c r="R31" s="139"/>
      <c r="S31" s="139"/>
    </row>
    <row r="32" spans="1:19" s="40" customFormat="1" ht="12.75" customHeight="1" thickBot="1">
      <c r="A32" s="76">
        <v>2</v>
      </c>
      <c r="B32" s="191" t="s">
        <v>103</v>
      </c>
      <c r="C32" s="152">
        <v>435590</v>
      </c>
      <c r="D32" s="192">
        <f>$C$32/12</f>
        <v>36299.166666666664</v>
      </c>
      <c r="E32" s="192">
        <f aca="true" t="shared" si="10" ref="E32:O32">$C$32/12</f>
        <v>36299.166666666664</v>
      </c>
      <c r="F32" s="192">
        <f t="shared" si="10"/>
        <v>36299.166666666664</v>
      </c>
      <c r="G32" s="192">
        <f t="shared" si="10"/>
        <v>36299.166666666664</v>
      </c>
      <c r="H32" s="192">
        <f t="shared" si="10"/>
        <v>36299.166666666664</v>
      </c>
      <c r="I32" s="192">
        <f t="shared" si="10"/>
        <v>36299.166666666664</v>
      </c>
      <c r="J32" s="192">
        <f t="shared" si="10"/>
        <v>36299.166666666664</v>
      </c>
      <c r="K32" s="192">
        <f t="shared" si="10"/>
        <v>36299.166666666664</v>
      </c>
      <c r="L32" s="192">
        <f t="shared" si="10"/>
        <v>36299.166666666664</v>
      </c>
      <c r="M32" s="192">
        <f t="shared" si="10"/>
        <v>36299.166666666664</v>
      </c>
      <c r="N32" s="192">
        <f t="shared" si="10"/>
        <v>36299.166666666664</v>
      </c>
      <c r="O32" s="192">
        <f t="shared" si="10"/>
        <v>36299.166666666664</v>
      </c>
      <c r="P32" s="188">
        <f>SUM(D32:O32)</f>
        <v>435590.00000000006</v>
      </c>
      <c r="Q32" s="186">
        <f t="shared" si="0"/>
        <v>-5.820766091346741E-11</v>
      </c>
      <c r="R32" s="139"/>
      <c r="S32" s="139"/>
    </row>
    <row r="33" spans="1:19" s="40" customFormat="1" ht="12.75" customHeight="1" thickBot="1">
      <c r="A33" s="158"/>
      <c r="B33" s="151" t="s">
        <v>93</v>
      </c>
      <c r="C33" s="152">
        <f>+C27+C30+C31+C32</f>
        <v>10926214</v>
      </c>
      <c r="D33" s="152">
        <f aca="true" t="shared" si="11" ref="D33:O33">+D27+D30+D31+D32</f>
        <v>865785.4166666666</v>
      </c>
      <c r="E33" s="152">
        <f t="shared" si="11"/>
        <v>862044.4166666666</v>
      </c>
      <c r="F33" s="152">
        <f t="shared" si="11"/>
        <v>1065844.4166666667</v>
      </c>
      <c r="G33" s="152">
        <f t="shared" si="11"/>
        <v>882268.4166666666</v>
      </c>
      <c r="H33" s="152">
        <f t="shared" si="11"/>
        <v>935277.4166666666</v>
      </c>
      <c r="I33" s="152">
        <f t="shared" si="11"/>
        <v>1956670.4166666667</v>
      </c>
      <c r="J33" s="152">
        <f t="shared" si="11"/>
        <v>729588.4166666666</v>
      </c>
      <c r="K33" s="152">
        <f t="shared" si="11"/>
        <v>713966.4166666666</v>
      </c>
      <c r="L33" s="152">
        <f t="shared" si="11"/>
        <v>725613.4166666666</v>
      </c>
      <c r="M33" s="152">
        <f t="shared" si="11"/>
        <v>729505.4166666666</v>
      </c>
      <c r="N33" s="152">
        <f t="shared" si="11"/>
        <v>711507.4166666666</v>
      </c>
      <c r="O33" s="152">
        <f t="shared" si="11"/>
        <v>748142.4166666666</v>
      </c>
      <c r="P33" s="152">
        <f>+P27+P30+P31+P32</f>
        <v>10926214</v>
      </c>
      <c r="Q33" s="186">
        <f>SUM(C33-P33)</f>
        <v>0</v>
      </c>
      <c r="R33" s="139"/>
      <c r="S33" s="139"/>
    </row>
    <row r="34" spans="1:19" s="40" customFormat="1" ht="12.75" customHeight="1" thickBot="1">
      <c r="A34" s="62"/>
      <c r="B34" s="88" t="s">
        <v>37</v>
      </c>
      <c r="C34" s="105">
        <f>SUM(C23,C27,C30)+C31+C32</f>
        <v>28052438</v>
      </c>
      <c r="D34" s="105">
        <f aca="true" t="shared" si="12" ref="D34:P34">SUM(D23,D27,D30)+D31+D32</f>
        <v>1983858.4166666667</v>
      </c>
      <c r="E34" s="105">
        <f t="shared" si="12"/>
        <v>1878972.4166666667</v>
      </c>
      <c r="F34" s="105">
        <f t="shared" si="12"/>
        <v>2955733.4166666665</v>
      </c>
      <c r="G34" s="105">
        <f t="shared" si="12"/>
        <v>2835501.4166666665</v>
      </c>
      <c r="H34" s="105">
        <f t="shared" si="12"/>
        <v>2026127.4166666667</v>
      </c>
      <c r="I34" s="105">
        <f t="shared" si="12"/>
        <v>3096162.4166666665</v>
      </c>
      <c r="J34" s="105">
        <f t="shared" si="12"/>
        <v>1764615.4166666667</v>
      </c>
      <c r="K34" s="105">
        <f t="shared" si="12"/>
        <v>1792001.4166666667</v>
      </c>
      <c r="L34" s="105">
        <f t="shared" si="12"/>
        <v>3360863.4166666665</v>
      </c>
      <c r="M34" s="105">
        <f t="shared" si="12"/>
        <v>2423665.4166666665</v>
      </c>
      <c r="N34" s="105">
        <f t="shared" si="12"/>
        <v>1865672.4166666667</v>
      </c>
      <c r="O34" s="105">
        <f t="shared" si="12"/>
        <v>2069264.4166666667</v>
      </c>
      <c r="P34" s="105">
        <f t="shared" si="12"/>
        <v>28052438</v>
      </c>
      <c r="Q34" s="186">
        <f t="shared" si="0"/>
        <v>0</v>
      </c>
      <c r="R34" s="139"/>
      <c r="S34" s="139"/>
    </row>
    <row r="35" spans="1:19" s="16" customFormat="1" ht="11.25" customHeight="1">
      <c r="A35" s="77"/>
      <c r="B35" s="89" t="s">
        <v>50</v>
      </c>
      <c r="C35" s="171">
        <f>-C25</f>
        <v>-4814027</v>
      </c>
      <c r="D35" s="172">
        <f aca="true" t="shared" si="13" ref="D35:O35">-SUM(D25)</f>
        <v>-396628</v>
      </c>
      <c r="E35" s="173">
        <f t="shared" si="13"/>
        <v>-403470</v>
      </c>
      <c r="F35" s="173">
        <f t="shared" si="13"/>
        <v>-411784</v>
      </c>
      <c r="G35" s="173">
        <f t="shared" si="13"/>
        <v>-401970</v>
      </c>
      <c r="H35" s="173">
        <f t="shared" si="13"/>
        <v>-405191</v>
      </c>
      <c r="I35" s="173">
        <f t="shared" si="13"/>
        <v>-397995</v>
      </c>
      <c r="J35" s="173">
        <f t="shared" si="13"/>
        <v>-400245</v>
      </c>
      <c r="K35" s="173">
        <f t="shared" si="13"/>
        <v>-385022</v>
      </c>
      <c r="L35" s="173">
        <f t="shared" si="13"/>
        <v>-383660</v>
      </c>
      <c r="M35" s="173">
        <f t="shared" si="13"/>
        <v>-400162</v>
      </c>
      <c r="N35" s="173">
        <f t="shared" si="13"/>
        <v>-402164</v>
      </c>
      <c r="O35" s="174">
        <f t="shared" si="13"/>
        <v>-425736</v>
      </c>
      <c r="P35" s="112">
        <f>SUM(D35:O35)</f>
        <v>-4814027</v>
      </c>
      <c r="Q35" s="186">
        <f t="shared" si="0"/>
        <v>0</v>
      </c>
      <c r="R35" s="58"/>
      <c r="S35" s="58"/>
    </row>
    <row r="36" spans="1:19" s="16" customFormat="1" ht="12.75" customHeight="1">
      <c r="A36" s="78"/>
      <c r="B36" s="90" t="s">
        <v>51</v>
      </c>
      <c r="C36" s="175">
        <f>-C29</f>
        <v>-147925</v>
      </c>
      <c r="D36" s="167">
        <f aca="true" t="shared" si="14" ref="D36:O36">-SUM(D29)</f>
        <v>0</v>
      </c>
      <c r="E36" s="168">
        <f t="shared" si="14"/>
        <v>0</v>
      </c>
      <c r="F36" s="168">
        <f t="shared" si="14"/>
        <v>0</v>
      </c>
      <c r="G36" s="168">
        <f>-SUM(G29)</f>
        <v>-30000</v>
      </c>
      <c r="H36" s="168">
        <f t="shared" si="14"/>
        <v>-6532</v>
      </c>
      <c r="I36" s="168">
        <f t="shared" si="14"/>
        <v>-6119</v>
      </c>
      <c r="J36" s="168">
        <f t="shared" si="14"/>
        <v>-20000</v>
      </c>
      <c r="K36" s="168">
        <f t="shared" si="14"/>
        <v>-19601</v>
      </c>
      <c r="L36" s="168">
        <f t="shared" si="14"/>
        <v>-32610</v>
      </c>
      <c r="M36" s="168">
        <f t="shared" si="14"/>
        <v>-20000</v>
      </c>
      <c r="N36" s="168">
        <f>-SUM(N29)</f>
        <v>0</v>
      </c>
      <c r="O36" s="169">
        <f t="shared" si="14"/>
        <v>-13063</v>
      </c>
      <c r="P36" s="56">
        <f>SUM(D36:O36)</f>
        <v>-147925</v>
      </c>
      <c r="Q36" s="186">
        <f t="shared" si="0"/>
        <v>0</v>
      </c>
      <c r="R36" s="58"/>
      <c r="S36" s="58"/>
    </row>
    <row r="37" spans="1:19" s="16" customFormat="1" ht="15" customHeight="1" thickBot="1">
      <c r="A37" s="59"/>
      <c r="B37" s="91" t="s">
        <v>54</v>
      </c>
      <c r="C37" s="154">
        <v>-379000</v>
      </c>
      <c r="D37" s="157">
        <f>$C$37/12</f>
        <v>-31583.333333333332</v>
      </c>
      <c r="E37" s="157">
        <f aca="true" t="shared" si="15" ref="E37:O37">$C$37/12</f>
        <v>-31583.333333333332</v>
      </c>
      <c r="F37" s="157">
        <f t="shared" si="15"/>
        <v>-31583.333333333332</v>
      </c>
      <c r="G37" s="157">
        <f t="shared" si="15"/>
        <v>-31583.333333333332</v>
      </c>
      <c r="H37" s="157">
        <f t="shared" si="15"/>
        <v>-31583.333333333332</v>
      </c>
      <c r="I37" s="157">
        <f t="shared" si="15"/>
        <v>-31583.333333333332</v>
      </c>
      <c r="J37" s="157">
        <f t="shared" si="15"/>
        <v>-31583.333333333332</v>
      </c>
      <c r="K37" s="157">
        <f t="shared" si="15"/>
        <v>-31583.333333333332</v>
      </c>
      <c r="L37" s="157">
        <f t="shared" si="15"/>
        <v>-31583.333333333332</v>
      </c>
      <c r="M37" s="157">
        <f t="shared" si="15"/>
        <v>-31583.333333333332</v>
      </c>
      <c r="N37" s="157">
        <f t="shared" si="15"/>
        <v>-31583.333333333332</v>
      </c>
      <c r="O37" s="157">
        <f t="shared" si="15"/>
        <v>-31583.333333333332</v>
      </c>
      <c r="P37" s="56">
        <f>SUM(D37:O37)</f>
        <v>-378999.99999999994</v>
      </c>
      <c r="Q37" s="186">
        <f t="shared" si="0"/>
        <v>-5.820766091346741E-11</v>
      </c>
      <c r="R37" s="58"/>
      <c r="S37" s="58"/>
    </row>
    <row r="38" spans="1:19" s="16" customFormat="1" ht="10.5" customHeight="1" thickBot="1">
      <c r="A38" s="217" t="s">
        <v>37</v>
      </c>
      <c r="B38" s="218"/>
      <c r="C38" s="106">
        <f>SUM(C34:C37)</f>
        <v>22711486</v>
      </c>
      <c r="D38" s="60">
        <f>SUM(D34:D37)</f>
        <v>1555647.0833333335</v>
      </c>
      <c r="E38" s="60">
        <f aca="true" t="shared" si="16" ref="E38:O38">SUM(E34:E37)</f>
        <v>1443919.0833333335</v>
      </c>
      <c r="F38" s="60">
        <f t="shared" si="16"/>
        <v>2512366.083333333</v>
      </c>
      <c r="G38" s="60">
        <f t="shared" si="16"/>
        <v>2371948.083333333</v>
      </c>
      <c r="H38" s="60">
        <f t="shared" si="16"/>
        <v>1582821.0833333335</v>
      </c>
      <c r="I38" s="60">
        <f t="shared" si="16"/>
        <v>2660465.083333333</v>
      </c>
      <c r="J38" s="60">
        <f t="shared" si="16"/>
        <v>1312787.0833333335</v>
      </c>
      <c r="K38" s="60">
        <f t="shared" si="16"/>
        <v>1355795.0833333335</v>
      </c>
      <c r="L38" s="60">
        <f t="shared" si="16"/>
        <v>2913010.083333333</v>
      </c>
      <c r="M38" s="60">
        <f t="shared" si="16"/>
        <v>1971920.0833333333</v>
      </c>
      <c r="N38" s="60">
        <f t="shared" si="16"/>
        <v>1431925.0833333335</v>
      </c>
      <c r="O38" s="60">
        <f t="shared" si="16"/>
        <v>1598882.0833333335</v>
      </c>
      <c r="P38" s="106">
        <f>SUM(P34:P37)</f>
        <v>22711486</v>
      </c>
      <c r="Q38" s="186">
        <f t="shared" si="0"/>
        <v>0</v>
      </c>
      <c r="R38" s="58"/>
      <c r="S38" s="58"/>
    </row>
    <row r="39" ht="12.75">
      <c r="Q39" s="186">
        <f t="shared" si="0"/>
        <v>0</v>
      </c>
    </row>
    <row r="41" spans="2:16" ht="12.75">
      <c r="B41" s="4" t="s">
        <v>87</v>
      </c>
      <c r="D41" s="116">
        <v>2405734</v>
      </c>
      <c r="E41" s="117">
        <f>SUM(D44)</f>
        <v>2709568.3733333335</v>
      </c>
      <c r="F41" s="117">
        <f aca="true" t="shared" si="17" ref="F41:O41">SUM(E44)</f>
        <v>2768002.29</v>
      </c>
      <c r="G41" s="117">
        <f t="shared" si="17"/>
        <v>3865503.6466666665</v>
      </c>
      <c r="H41" s="117">
        <f t="shared" si="17"/>
        <v>4809503.933333333</v>
      </c>
      <c r="I41" s="117">
        <f t="shared" si="17"/>
        <v>5007042.919999999</v>
      </c>
      <c r="J41" s="117">
        <f t="shared" si="17"/>
        <v>6108243.116666665</v>
      </c>
      <c r="K41" s="117">
        <f t="shared" si="17"/>
        <v>5473559.223333333</v>
      </c>
      <c r="L41" s="117">
        <f t="shared" si="17"/>
        <v>5067167.56</v>
      </c>
      <c r="M41" s="117">
        <f t="shared" si="17"/>
        <v>6172179.166666666</v>
      </c>
      <c r="N41" s="117">
        <f t="shared" si="17"/>
        <v>6458303.213333332</v>
      </c>
      <c r="O41" s="117">
        <f t="shared" si="17"/>
        <v>6284845.759999998</v>
      </c>
      <c r="P41" s="117"/>
    </row>
    <row r="42" spans="4:16" ht="12.75">
      <c r="D42" s="117">
        <f>SUM(D38)</f>
        <v>1555647.0833333335</v>
      </c>
      <c r="E42" s="117">
        <f aca="true" t="shared" si="18" ref="E42:O42">SUM(E38)</f>
        <v>1443919.0833333335</v>
      </c>
      <c r="F42" s="117">
        <f t="shared" si="18"/>
        <v>2512366.083333333</v>
      </c>
      <c r="G42" s="117">
        <f t="shared" si="18"/>
        <v>2371948.083333333</v>
      </c>
      <c r="H42" s="117">
        <f t="shared" si="18"/>
        <v>1582821.0833333335</v>
      </c>
      <c r="I42" s="117">
        <f t="shared" si="18"/>
        <v>2660465.083333333</v>
      </c>
      <c r="J42" s="117">
        <f t="shared" si="18"/>
        <v>1312787.0833333335</v>
      </c>
      <c r="K42" s="117">
        <f t="shared" si="18"/>
        <v>1355795.0833333335</v>
      </c>
      <c r="L42" s="117">
        <f t="shared" si="18"/>
        <v>2913010.083333333</v>
      </c>
      <c r="M42" s="117">
        <f t="shared" si="18"/>
        <v>1971920.0833333333</v>
      </c>
      <c r="N42" s="117">
        <f t="shared" si="18"/>
        <v>1431925.0833333335</v>
      </c>
      <c r="O42" s="117">
        <f t="shared" si="18"/>
        <v>1598882.0833333335</v>
      </c>
      <c r="P42" s="117">
        <f>SUM(D42:O42)</f>
        <v>22711485.999999996</v>
      </c>
    </row>
    <row r="43" spans="4:16" ht="12.75">
      <c r="D43" s="117">
        <f>-SUM(kiadás!D51)</f>
        <v>-1251812.71</v>
      </c>
      <c r="E43" s="117">
        <f>-SUM(kiadás!E51)</f>
        <v>-1385485.1666666667</v>
      </c>
      <c r="F43" s="117">
        <f>-SUM(kiadás!F51)</f>
        <v>-1414864.7266666668</v>
      </c>
      <c r="G43" s="117">
        <f>-SUM(kiadás!G51)</f>
        <v>-1427947.7966666666</v>
      </c>
      <c r="H43" s="117">
        <f>-SUM(kiadás!H51)</f>
        <v>-1385282.0966666667</v>
      </c>
      <c r="I43" s="117">
        <f>-SUM(kiadás!I51)</f>
        <v>-1559264.8866666667</v>
      </c>
      <c r="J43" s="117">
        <f>-SUM(kiadás!J51)</f>
        <v>-1947470.9766666668</v>
      </c>
      <c r="K43" s="117">
        <f>-SUM(kiadás!K51)</f>
        <v>-1762186.7466666668</v>
      </c>
      <c r="L43" s="117">
        <f>-SUM(kiadás!L51)</f>
        <v>-1807998.4766666668</v>
      </c>
      <c r="M43" s="117">
        <f>-SUM(kiadás!M51)</f>
        <v>-1685796.0366666669</v>
      </c>
      <c r="N43" s="117">
        <f>-SUM(kiadás!N51)</f>
        <v>-1605382.5366666669</v>
      </c>
      <c r="O43" s="117">
        <f>-SUM(kiadás!O51)</f>
        <v>-5477993.506666667</v>
      </c>
      <c r="P43" s="117">
        <f>SUM(D43:O43)</f>
        <v>-22711485.663333334</v>
      </c>
    </row>
    <row r="44" spans="4:16" ht="12.75">
      <c r="D44" s="117">
        <f>SUM(D41:D43)</f>
        <v>2709568.3733333335</v>
      </c>
      <c r="E44" s="117">
        <f aca="true" t="shared" si="19" ref="E44:O44">SUM(E41:E43)</f>
        <v>2768002.29</v>
      </c>
      <c r="F44" s="117">
        <f t="shared" si="19"/>
        <v>3865503.6466666665</v>
      </c>
      <c r="G44" s="117">
        <f t="shared" si="19"/>
        <v>4809503.933333333</v>
      </c>
      <c r="H44" s="117">
        <f t="shared" si="19"/>
        <v>5007042.919999999</v>
      </c>
      <c r="I44" s="117">
        <f t="shared" si="19"/>
        <v>6108243.116666665</v>
      </c>
      <c r="J44" s="117">
        <f t="shared" si="19"/>
        <v>5473559.223333333</v>
      </c>
      <c r="K44" s="117">
        <f t="shared" si="19"/>
        <v>5067167.56</v>
      </c>
      <c r="L44" s="117">
        <f t="shared" si="19"/>
        <v>6172179.166666666</v>
      </c>
      <c r="M44" s="117">
        <f t="shared" si="19"/>
        <v>6458303.213333332</v>
      </c>
      <c r="N44" s="117">
        <f t="shared" si="19"/>
        <v>6284845.759999998</v>
      </c>
      <c r="O44" s="117">
        <f t="shared" si="19"/>
        <v>2405734.336666665</v>
      </c>
      <c r="P44" s="117"/>
    </row>
    <row r="45" spans="4:16" ht="12.75"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>
        <f>SUM(P42:P43)</f>
        <v>0.33666666224598885</v>
      </c>
    </row>
    <row r="50" ht="12.75">
      <c r="P50" s="6">
        <f>+P38-kiadás!P51</f>
        <v>0.33666666597127914</v>
      </c>
    </row>
  </sheetData>
  <sheetProtection/>
  <mergeCells count="20">
    <mergeCell ref="A38:B38"/>
    <mergeCell ref="A1:P1"/>
    <mergeCell ref="N2:P2"/>
    <mergeCell ref="N3:P3"/>
    <mergeCell ref="D4:O4"/>
    <mergeCell ref="J5:J6"/>
    <mergeCell ref="A5:B6"/>
    <mergeCell ref="D5:D6"/>
    <mergeCell ref="E5:E6"/>
    <mergeCell ref="F5:F6"/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</mergeCells>
  <printOptions horizontalCentered="1" verticalCentered="1"/>
  <pageMargins left="0.2" right="0.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novaki_g</dc:creator>
  <cp:keywords/>
  <dc:description/>
  <cp:lastModifiedBy>Morvai Éva</cp:lastModifiedBy>
  <cp:lastPrinted>2016-06-15T12:28:45Z</cp:lastPrinted>
  <dcterms:created xsi:type="dcterms:W3CDTF">2009-02-16T12:26:31Z</dcterms:created>
  <dcterms:modified xsi:type="dcterms:W3CDTF">2016-06-15T14:02:31Z</dcterms:modified>
  <cp:category/>
  <cp:version/>
  <cp:contentType/>
  <cp:contentStatus/>
</cp:coreProperties>
</file>