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405" yWindow="330" windowWidth="15480" windowHeight="8115" tabRatio="671"/>
  </bookViews>
  <sheets>
    <sheet name="bevételek" sheetId="2" r:id="rId1"/>
    <sheet name="kiadások" sheetId="3" r:id="rId2"/>
    <sheet name="3_melléklet" sheetId="4" r:id="rId3"/>
    <sheet name="4_ melléklet" sheetId="6" r:id="rId4"/>
    <sheet name="5_melléklet" sheetId="7" r:id="rId5"/>
    <sheet name="6_melléklet" sheetId="19" r:id="rId6"/>
    <sheet name="7_melléklet" sheetId="20" r:id="rId7"/>
    <sheet name="8_melléklet" sheetId="21" r:id="rId8"/>
    <sheet name="9_melléklet" sheetId="17" r:id="rId9"/>
    <sheet name="10_melléklet" sheetId="23" r:id="rId10"/>
    <sheet name="11_melléklet" sheetId="22" r:id="rId11"/>
    <sheet name="12_melléklet " sheetId="30" r:id="rId12"/>
    <sheet name="13_melléklet" sheetId="24" r:id="rId13"/>
    <sheet name="14_melléklet" sheetId="31" r:id="rId14"/>
    <sheet name="15_melléklet " sheetId="29" r:id="rId15"/>
  </sheets>
  <definedNames>
    <definedName name="Excel_BuiltIn_Print_Titles_9" localSheetId="11">#REF!</definedName>
    <definedName name="Excel_BuiltIn_Print_Titles_9" localSheetId="13">#REF!</definedName>
    <definedName name="Excel_BuiltIn_Print_Titles_9" localSheetId="14">#REF!</definedName>
    <definedName name="Excel_BuiltIn_Print_Titles_9">#REF!</definedName>
    <definedName name="melléklet">#REF!</definedName>
    <definedName name="Mérleg" localSheetId="11">#REF!</definedName>
    <definedName name="Mérleg" localSheetId="13">#REF!</definedName>
    <definedName name="Mérleg" localSheetId="14">#REF!</definedName>
    <definedName name="Mérleg">#REF!</definedName>
    <definedName name="név">#REF!</definedName>
    <definedName name="név1">#REF!</definedName>
    <definedName name="név2">#REF!</definedName>
  </definedNames>
  <calcPr calcId="124519"/>
</workbook>
</file>

<file path=xl/calcChain.xml><?xml version="1.0" encoding="utf-8"?>
<calcChain xmlns="http://schemas.openxmlformats.org/spreadsheetml/2006/main">
  <c r="E102" i="3"/>
  <c r="B41" i="29"/>
  <c r="I32"/>
  <c r="H18"/>
  <c r="H17"/>
  <c r="H16"/>
  <c r="B19"/>
  <c r="I13"/>
  <c r="D102" i="3"/>
  <c r="C25" i="31"/>
  <c r="C18"/>
  <c r="C32"/>
  <c r="C38"/>
  <c r="D13"/>
  <c r="D18" s="1"/>
  <c r="D39" s="1"/>
  <c r="E13"/>
  <c r="F13"/>
  <c r="E17"/>
  <c r="F17"/>
  <c r="F18"/>
  <c r="D25"/>
  <c r="E25"/>
  <c r="F25"/>
  <c r="A30"/>
  <c r="A31" s="1"/>
  <c r="A32" s="1"/>
  <c r="A33" s="1"/>
  <c r="A34" s="1"/>
  <c r="A35" s="1"/>
  <c r="A36" s="1"/>
  <c r="A37" s="1"/>
  <c r="A38" s="1"/>
  <c r="A39" s="1"/>
  <c r="A40" s="1"/>
  <c r="D32"/>
  <c r="E32"/>
  <c r="F32"/>
  <c r="D38"/>
  <c r="D40" s="1"/>
  <c r="E38"/>
  <c r="F38"/>
  <c r="F39"/>
  <c r="F40"/>
  <c r="F14" i="30"/>
  <c r="G14"/>
  <c r="F16"/>
  <c r="G16"/>
  <c r="B26"/>
  <c r="C26"/>
  <c r="D26"/>
  <c r="E26"/>
  <c r="F26"/>
  <c r="G26"/>
  <c r="D29"/>
  <c r="E29"/>
  <c r="F29"/>
  <c r="G29"/>
  <c r="B36"/>
  <c r="B38"/>
  <c r="B40"/>
  <c r="B41"/>
  <c r="B45" s="1"/>
  <c r="B42"/>
  <c r="B43"/>
  <c r="C40" i="31"/>
  <c r="C39"/>
  <c r="E40"/>
  <c r="E18"/>
  <c r="E39"/>
  <c r="B13" i="29"/>
  <c r="C13"/>
  <c r="D13"/>
  <c r="E13"/>
  <c r="F13"/>
  <c r="G13"/>
  <c r="H13"/>
  <c r="C19"/>
  <c r="D19"/>
  <c r="E19"/>
  <c r="F19"/>
  <c r="G19"/>
  <c r="B32"/>
  <c r="C32"/>
  <c r="D32"/>
  <c r="E32"/>
  <c r="F32"/>
  <c r="G32"/>
  <c r="H32"/>
  <c r="C41"/>
  <c r="D41"/>
  <c r="E41"/>
  <c r="F41"/>
  <c r="G41"/>
  <c r="E23" i="24"/>
  <c r="E15"/>
  <c r="K22" i="23"/>
  <c r="J22"/>
  <c r="E22"/>
  <c r="D22"/>
  <c r="B22"/>
  <c r="C19"/>
  <c r="C18"/>
  <c r="C17"/>
  <c r="C16"/>
  <c r="C15"/>
  <c r="C13"/>
  <c r="C10"/>
  <c r="C22" s="1"/>
  <c r="B92" i="22"/>
  <c r="B80"/>
  <c r="B69"/>
  <c r="B59"/>
  <c r="B89"/>
  <c r="B52"/>
  <c r="C47"/>
  <c r="B47"/>
  <c r="C45"/>
  <c r="B45"/>
  <c r="C41"/>
  <c r="B41"/>
  <c r="C39"/>
  <c r="B39"/>
  <c r="C38"/>
  <c r="B38"/>
  <c r="C37"/>
  <c r="B37"/>
  <c r="C36"/>
  <c r="B36"/>
  <c r="C35"/>
  <c r="B35"/>
  <c r="C33"/>
  <c r="B33"/>
  <c r="C32"/>
  <c r="B32"/>
  <c r="C29"/>
  <c r="B29"/>
  <c r="C28"/>
  <c r="B28"/>
  <c r="C27"/>
  <c r="C23" s="1"/>
  <c r="B27"/>
  <c r="B23" s="1"/>
  <c r="C22"/>
  <c r="C18" s="1"/>
  <c r="B18"/>
  <c r="C17"/>
  <c r="C13"/>
  <c r="C12" s="1"/>
  <c r="B17"/>
  <c r="B13" s="1"/>
  <c r="C11"/>
  <c r="C9"/>
  <c r="B9"/>
  <c r="C8"/>
  <c r="C7" s="1"/>
  <c r="B8"/>
  <c r="B7" s="1"/>
  <c r="B96"/>
  <c r="C45" i="20"/>
  <c r="C47" s="1"/>
  <c r="C41"/>
  <c r="C23"/>
  <c r="C18"/>
  <c r="C30" s="1"/>
  <c r="C11"/>
  <c r="B12" i="21"/>
  <c r="B16" s="1"/>
  <c r="B24" s="1"/>
  <c r="B26" s="1"/>
  <c r="B15"/>
  <c r="E11" i="20"/>
  <c r="E30" s="1"/>
  <c r="E18"/>
  <c r="E23"/>
  <c r="E27"/>
  <c r="E35"/>
  <c r="E40"/>
  <c r="E41" s="1"/>
  <c r="E45"/>
  <c r="E47" s="1"/>
  <c r="E12" i="19"/>
  <c r="E30" s="1"/>
  <c r="E99" s="1"/>
  <c r="E18"/>
  <c r="E26"/>
  <c r="E51"/>
  <c r="E65"/>
  <c r="E79"/>
  <c r="E93" s="1"/>
  <c r="E92"/>
  <c r="C108"/>
  <c r="E108"/>
  <c r="E128"/>
  <c r="E148"/>
  <c r="E157"/>
  <c r="E158"/>
  <c r="E165" s="1"/>
  <c r="E164"/>
  <c r="D165"/>
  <c r="D25" i="2"/>
  <c r="D24"/>
  <c r="E24" s="1"/>
  <c r="D86"/>
  <c r="D85" s="1"/>
  <c r="C86"/>
  <c r="D54" i="3"/>
  <c r="D126" i="2"/>
  <c r="D127" i="3" s="1"/>
  <c r="C43"/>
  <c r="D43"/>
  <c r="C42"/>
  <c r="D42"/>
  <c r="B43"/>
  <c r="B42"/>
  <c r="D40" i="4"/>
  <c r="C40"/>
  <c r="E40"/>
  <c r="C126" i="2"/>
  <c r="C127" i="3"/>
  <c r="D124" i="2"/>
  <c r="D123"/>
  <c r="C124"/>
  <c r="C134"/>
  <c r="C52"/>
  <c r="C35"/>
  <c r="C34" s="1"/>
  <c r="D35"/>
  <c r="D34"/>
  <c r="E127"/>
  <c r="E128"/>
  <c r="E129"/>
  <c r="E130"/>
  <c r="B126"/>
  <c r="B124"/>
  <c r="B123" s="1"/>
  <c r="C113"/>
  <c r="D113"/>
  <c r="B113"/>
  <c r="C104"/>
  <c r="C103"/>
  <c r="D104"/>
  <c r="D103"/>
  <c r="B104"/>
  <c r="B103"/>
  <c r="E93"/>
  <c r="E92"/>
  <c r="E91"/>
  <c r="C100"/>
  <c r="C99" s="1"/>
  <c r="D100"/>
  <c r="D99" s="1"/>
  <c r="C96"/>
  <c r="C95" s="1"/>
  <c r="D96"/>
  <c r="D95" s="1"/>
  <c r="C85"/>
  <c r="C78"/>
  <c r="D78"/>
  <c r="E72"/>
  <c r="E73"/>
  <c r="E74"/>
  <c r="E75"/>
  <c r="E76"/>
  <c r="E77"/>
  <c r="C70"/>
  <c r="D70"/>
  <c r="D68" s="1"/>
  <c r="E68" s="1"/>
  <c r="E53"/>
  <c r="D52"/>
  <c r="E50"/>
  <c r="C33"/>
  <c r="D33"/>
  <c r="C45"/>
  <c r="C42" s="1"/>
  <c r="E42" s="1"/>
  <c r="D45"/>
  <c r="E41"/>
  <c r="B33"/>
  <c r="B31" s="1"/>
  <c r="B96" i="3"/>
  <c r="E98"/>
  <c r="E97"/>
  <c r="C96"/>
  <c r="D96"/>
  <c r="D128" s="1"/>
  <c r="B13"/>
  <c r="B20"/>
  <c r="B29"/>
  <c r="C89"/>
  <c r="C54"/>
  <c r="D79"/>
  <c r="C79"/>
  <c r="C78" s="1"/>
  <c r="B79"/>
  <c r="B78" s="1"/>
  <c r="B51" s="1"/>
  <c r="B120" s="1"/>
  <c r="B85"/>
  <c r="B84" s="1"/>
  <c r="C85"/>
  <c r="C84" s="1"/>
  <c r="D85"/>
  <c r="D84" s="1"/>
  <c r="E82"/>
  <c r="D74"/>
  <c r="C74"/>
  <c r="C71"/>
  <c r="D71"/>
  <c r="E73"/>
  <c r="E65"/>
  <c r="E64"/>
  <c r="E63"/>
  <c r="E62"/>
  <c r="E61"/>
  <c r="E60"/>
  <c r="B834" i="7"/>
  <c r="B800"/>
  <c r="B743"/>
  <c r="B688"/>
  <c r="B94"/>
  <c r="B91"/>
  <c r="B89"/>
  <c r="B86"/>
  <c r="B103"/>
  <c r="B108"/>
  <c r="B208"/>
  <c r="B206"/>
  <c r="B204"/>
  <c r="B202"/>
  <c r="B653"/>
  <c r="B647"/>
  <c r="B643"/>
  <c r="C45" i="6"/>
  <c r="C45" i="3" s="1"/>
  <c r="C44" s="1"/>
  <c r="D45" i="6"/>
  <c r="D44"/>
  <c r="C10"/>
  <c r="C9"/>
  <c r="C14"/>
  <c r="C21"/>
  <c r="C23"/>
  <c r="C35"/>
  <c r="C34" s="1"/>
  <c r="D35"/>
  <c r="D34"/>
  <c r="D23"/>
  <c r="D10"/>
  <c r="D9" s="1"/>
  <c r="D14"/>
  <c r="D39" i="3"/>
  <c r="E38" i="6"/>
  <c r="E48"/>
  <c r="E47"/>
  <c r="E46"/>
  <c r="E37"/>
  <c r="E36"/>
  <c r="E27"/>
  <c r="E26"/>
  <c r="E25"/>
  <c r="E13"/>
  <c r="E12"/>
  <c r="E11"/>
  <c r="E24"/>
  <c r="E22"/>
  <c r="E16"/>
  <c r="E17"/>
  <c r="E18"/>
  <c r="E19"/>
  <c r="E20"/>
  <c r="E15"/>
  <c r="D135" i="4"/>
  <c r="D133"/>
  <c r="D114"/>
  <c r="D112"/>
  <c r="D126"/>
  <c r="C115"/>
  <c r="D115"/>
  <c r="B115"/>
  <c r="D98"/>
  <c r="D93"/>
  <c r="D88"/>
  <c r="D85"/>
  <c r="D73"/>
  <c r="D62"/>
  <c r="D69"/>
  <c r="D66"/>
  <c r="B77"/>
  <c r="B73"/>
  <c r="C77"/>
  <c r="C73"/>
  <c r="D18"/>
  <c r="D16"/>
  <c r="E46"/>
  <c r="E42"/>
  <c r="E49"/>
  <c r="B40"/>
  <c r="C54"/>
  <c r="D54"/>
  <c r="B54"/>
  <c r="D34"/>
  <c r="D31"/>
  <c r="E831" i="7"/>
  <c r="E833"/>
  <c r="E836"/>
  <c r="E837"/>
  <c r="E838"/>
  <c r="E841"/>
  <c r="E842"/>
  <c r="E844"/>
  <c r="E845"/>
  <c r="E847"/>
  <c r="E849"/>
  <c r="E851"/>
  <c r="E852"/>
  <c r="E853"/>
  <c r="E855"/>
  <c r="E856"/>
  <c r="E857"/>
  <c r="E859"/>
  <c r="E861"/>
  <c r="E829"/>
  <c r="E781"/>
  <c r="E782"/>
  <c r="E783"/>
  <c r="E785"/>
  <c r="E786"/>
  <c r="E789"/>
  <c r="E790"/>
  <c r="E791"/>
  <c r="E792"/>
  <c r="E795"/>
  <c r="E796"/>
  <c r="E797"/>
  <c r="E798"/>
  <c r="E799"/>
  <c r="E801"/>
  <c r="E802"/>
  <c r="E803"/>
  <c r="E805"/>
  <c r="E806"/>
  <c r="E808"/>
  <c r="E809"/>
  <c r="E810"/>
  <c r="E812"/>
  <c r="E813"/>
  <c r="E814"/>
  <c r="E815"/>
  <c r="E816"/>
  <c r="E819"/>
  <c r="E821"/>
  <c r="E822"/>
  <c r="E779"/>
  <c r="E723"/>
  <c r="E724"/>
  <c r="E726"/>
  <c r="E727"/>
  <c r="E730"/>
  <c r="E731"/>
  <c r="E732"/>
  <c r="E733"/>
  <c r="E736"/>
  <c r="E737"/>
  <c r="E738"/>
  <c r="E739"/>
  <c r="E740"/>
  <c r="E741"/>
  <c r="E742"/>
  <c r="E745"/>
  <c r="E746"/>
  <c r="E751"/>
  <c r="E722"/>
  <c r="E696"/>
  <c r="E682"/>
  <c r="E683"/>
  <c r="E684"/>
  <c r="E685"/>
  <c r="E686"/>
  <c r="E687"/>
  <c r="E690"/>
  <c r="E691"/>
  <c r="E693"/>
  <c r="E697"/>
  <c r="E698"/>
  <c r="E699"/>
  <c r="E702"/>
  <c r="E703"/>
  <c r="E705"/>
  <c r="E706"/>
  <c r="E707"/>
  <c r="E709"/>
  <c r="E710"/>
  <c r="E712"/>
  <c r="E713"/>
  <c r="E681"/>
  <c r="E671"/>
  <c r="E672"/>
  <c r="E670"/>
  <c r="E642"/>
  <c r="E645"/>
  <c r="E646"/>
  <c r="E649"/>
  <c r="E651"/>
  <c r="E641"/>
  <c r="E633"/>
  <c r="E631"/>
  <c r="E589"/>
  <c r="E590"/>
  <c r="E591"/>
  <c r="E592"/>
  <c r="E593"/>
  <c r="E596"/>
  <c r="E597"/>
  <c r="E598"/>
  <c r="E599"/>
  <c r="E602"/>
  <c r="E607"/>
  <c r="E608"/>
  <c r="E609"/>
  <c r="E611"/>
  <c r="E612"/>
  <c r="E614"/>
  <c r="E615"/>
  <c r="E616"/>
  <c r="E618"/>
  <c r="E619"/>
  <c r="E620"/>
  <c r="E622"/>
  <c r="E588"/>
  <c r="E562"/>
  <c r="E563"/>
  <c r="E564"/>
  <c r="E567"/>
  <c r="E568"/>
  <c r="E569"/>
  <c r="E570"/>
  <c r="E573"/>
  <c r="E574"/>
  <c r="E575"/>
  <c r="E576"/>
  <c r="E577"/>
  <c r="E578"/>
  <c r="E561"/>
  <c r="E520"/>
  <c r="E521"/>
  <c r="E522"/>
  <c r="E524"/>
  <c r="E527"/>
  <c r="E528"/>
  <c r="E529"/>
  <c r="E530"/>
  <c r="E535"/>
  <c r="E536"/>
  <c r="E537"/>
  <c r="E539"/>
  <c r="E540"/>
  <c r="E542"/>
  <c r="E543"/>
  <c r="E544"/>
  <c r="E546"/>
  <c r="E547"/>
  <c r="E549"/>
  <c r="E551"/>
  <c r="E519"/>
  <c r="E481"/>
  <c r="E482"/>
  <c r="E483"/>
  <c r="E484"/>
  <c r="E487"/>
  <c r="E488"/>
  <c r="E489"/>
  <c r="E490"/>
  <c r="E493"/>
  <c r="E496"/>
  <c r="E497"/>
  <c r="E498"/>
  <c r="E499"/>
  <c r="E501"/>
  <c r="E502"/>
  <c r="E504"/>
  <c r="E505"/>
  <c r="E506"/>
  <c r="E508"/>
  <c r="E509"/>
  <c r="E511"/>
  <c r="E480"/>
  <c r="E436"/>
  <c r="E437"/>
  <c r="E438"/>
  <c r="E439"/>
  <c r="E440"/>
  <c r="E441"/>
  <c r="E444"/>
  <c r="E445"/>
  <c r="E446"/>
  <c r="E447"/>
  <c r="E450"/>
  <c r="E451"/>
  <c r="E454"/>
  <c r="E455"/>
  <c r="E456"/>
  <c r="E457"/>
  <c r="E459"/>
  <c r="E460"/>
  <c r="E462"/>
  <c r="E463"/>
  <c r="E464"/>
  <c r="E466"/>
  <c r="E467"/>
  <c r="E468"/>
  <c r="E470"/>
  <c r="E472"/>
  <c r="E435"/>
  <c r="E415"/>
  <c r="E416"/>
  <c r="E417"/>
  <c r="E420"/>
  <c r="E421"/>
  <c r="E422"/>
  <c r="E423"/>
  <c r="E427"/>
  <c r="E414"/>
  <c r="E368"/>
  <c r="E369"/>
  <c r="E370"/>
  <c r="E371"/>
  <c r="E374"/>
  <c r="E375"/>
  <c r="E376"/>
  <c r="E377"/>
  <c r="E380"/>
  <c r="E384"/>
  <c r="E386"/>
  <c r="E387"/>
  <c r="E389"/>
  <c r="E390"/>
  <c r="E392"/>
  <c r="E393"/>
  <c r="E394"/>
  <c r="E397"/>
  <c r="E398"/>
  <c r="E399"/>
  <c r="E403"/>
  <c r="E404"/>
  <c r="E367"/>
  <c r="E302"/>
  <c r="E303"/>
  <c r="E304"/>
  <c r="E305"/>
  <c r="E306"/>
  <c r="E307"/>
  <c r="E308"/>
  <c r="E309"/>
  <c r="E310"/>
  <c r="E311"/>
  <c r="E314"/>
  <c r="E315"/>
  <c r="E316"/>
  <c r="E319"/>
  <c r="E320"/>
  <c r="E322"/>
  <c r="E324"/>
  <c r="E325"/>
  <c r="E327"/>
  <c r="E328"/>
  <c r="E330"/>
  <c r="E331"/>
  <c r="E332"/>
  <c r="E334"/>
  <c r="E335"/>
  <c r="E336"/>
  <c r="E337"/>
  <c r="E338"/>
  <c r="E340"/>
  <c r="E343"/>
  <c r="E344"/>
  <c r="E345"/>
  <c r="E301"/>
  <c r="E266"/>
  <c r="E267"/>
  <c r="E268"/>
  <c r="E269"/>
  <c r="E272"/>
  <c r="E273"/>
  <c r="E277"/>
  <c r="E278"/>
  <c r="E280"/>
  <c r="E281"/>
  <c r="E282"/>
  <c r="E284"/>
  <c r="E285"/>
  <c r="E286"/>
  <c r="E288"/>
  <c r="E289"/>
  <c r="E265"/>
  <c r="E229"/>
  <c r="E230"/>
  <c r="E231"/>
  <c r="E234"/>
  <c r="E235"/>
  <c r="E236"/>
  <c r="E237"/>
  <c r="E241"/>
  <c r="E242"/>
  <c r="E243"/>
  <c r="E244"/>
  <c r="E246"/>
  <c r="E247"/>
  <c r="E248"/>
  <c r="E250"/>
  <c r="E251"/>
  <c r="E253"/>
  <c r="E254"/>
  <c r="E255"/>
  <c r="E228"/>
  <c r="E201"/>
  <c r="E203"/>
  <c r="E205"/>
  <c r="E207"/>
  <c r="E200"/>
  <c r="E166"/>
  <c r="E167"/>
  <c r="E168"/>
  <c r="E149"/>
  <c r="E150"/>
  <c r="E151"/>
  <c r="E154"/>
  <c r="E155"/>
  <c r="E156"/>
  <c r="E159"/>
  <c r="E160"/>
  <c r="E161"/>
  <c r="E162"/>
  <c r="E164"/>
  <c r="E165"/>
  <c r="E148"/>
  <c r="E119"/>
  <c r="E120"/>
  <c r="E121"/>
  <c r="E122"/>
  <c r="E125"/>
  <c r="E126"/>
  <c r="E127"/>
  <c r="E130"/>
  <c r="E131"/>
  <c r="E133"/>
  <c r="E134"/>
  <c r="E136"/>
  <c r="E137"/>
  <c r="E117"/>
  <c r="E102"/>
  <c r="E105"/>
  <c r="E106"/>
  <c r="E107"/>
  <c r="E101"/>
  <c r="E80"/>
  <c r="E83"/>
  <c r="E84"/>
  <c r="E85"/>
  <c r="E88"/>
  <c r="E90"/>
  <c r="E92"/>
  <c r="E93"/>
  <c r="E79"/>
  <c r="E64"/>
  <c r="E65"/>
  <c r="E67"/>
  <c r="E70"/>
  <c r="E63"/>
  <c r="E37"/>
  <c r="E40"/>
  <c r="E41"/>
  <c r="E42"/>
  <c r="E43"/>
  <c r="E45"/>
  <c r="E47"/>
  <c r="E48"/>
  <c r="E49"/>
  <c r="E51"/>
  <c r="E52"/>
  <c r="E53"/>
  <c r="E55"/>
  <c r="E56"/>
  <c r="E34"/>
  <c r="E25"/>
  <c r="E24"/>
  <c r="E15"/>
  <c r="E14"/>
  <c r="B673"/>
  <c r="C81"/>
  <c r="B44"/>
  <c r="D208"/>
  <c r="D206"/>
  <c r="D204"/>
  <c r="D202"/>
  <c r="D157"/>
  <c r="D169"/>
  <c r="D163"/>
  <c r="D152"/>
  <c r="D123"/>
  <c r="D138"/>
  <c r="D135"/>
  <c r="D132"/>
  <c r="D128"/>
  <c r="D108"/>
  <c r="D103"/>
  <c r="D94"/>
  <c r="D91"/>
  <c r="D89"/>
  <c r="D86"/>
  <c r="D81"/>
  <c r="D71"/>
  <c r="D69"/>
  <c r="D66"/>
  <c r="D57"/>
  <c r="D54"/>
  <c r="D50"/>
  <c r="D46"/>
  <c r="D44"/>
  <c r="D38"/>
  <c r="D35"/>
  <c r="D862"/>
  <c r="C862"/>
  <c r="D860"/>
  <c r="C860"/>
  <c r="D858"/>
  <c r="C858"/>
  <c r="D854"/>
  <c r="C854"/>
  <c r="D850"/>
  <c r="C850"/>
  <c r="D848"/>
  <c r="C848"/>
  <c r="D843"/>
  <c r="C843"/>
  <c r="D839"/>
  <c r="C839"/>
  <c r="D834"/>
  <c r="C834"/>
  <c r="D823"/>
  <c r="C823"/>
  <c r="D820"/>
  <c r="C820"/>
  <c r="D818"/>
  <c r="C818"/>
  <c r="D811"/>
  <c r="C811"/>
  <c r="D807"/>
  <c r="C807"/>
  <c r="D804"/>
  <c r="C804"/>
  <c r="D800"/>
  <c r="C800"/>
  <c r="D793"/>
  <c r="C793"/>
  <c r="C870" s="1"/>
  <c r="D787"/>
  <c r="C787"/>
  <c r="C869"/>
  <c r="B787"/>
  <c r="D752"/>
  <c r="C752"/>
  <c r="D750"/>
  <c r="C750"/>
  <c r="D747"/>
  <c r="C747"/>
  <c r="D743"/>
  <c r="C743"/>
  <c r="C734"/>
  <c r="D734"/>
  <c r="D728"/>
  <c r="C728"/>
  <c r="D700"/>
  <c r="D714"/>
  <c r="C714"/>
  <c r="D711"/>
  <c r="C711"/>
  <c r="D708"/>
  <c r="C708"/>
  <c r="D704"/>
  <c r="C704"/>
  <c r="C700"/>
  <c r="D694"/>
  <c r="D759" s="1"/>
  <c r="C694"/>
  <c r="D688"/>
  <c r="C688"/>
  <c r="D673"/>
  <c r="D675"/>
  <c r="C673"/>
  <c r="C675"/>
  <c r="D652"/>
  <c r="B652"/>
  <c r="D650"/>
  <c r="C650"/>
  <c r="D647"/>
  <c r="C647"/>
  <c r="D643"/>
  <c r="C643"/>
  <c r="D634"/>
  <c r="C634"/>
  <c r="D632"/>
  <c r="C632"/>
  <c r="D623"/>
  <c r="C623"/>
  <c r="D621"/>
  <c r="C621"/>
  <c r="D617"/>
  <c r="C617"/>
  <c r="D613"/>
  <c r="C613"/>
  <c r="D610"/>
  <c r="C610"/>
  <c r="D606"/>
  <c r="C606"/>
  <c r="D600"/>
  <c r="C600"/>
  <c r="D594"/>
  <c r="C594"/>
  <c r="D579"/>
  <c r="C579"/>
  <c r="C580" s="1"/>
  <c r="D571"/>
  <c r="C571"/>
  <c r="D565"/>
  <c r="C565"/>
  <c r="D552"/>
  <c r="C552"/>
  <c r="D550"/>
  <c r="C550"/>
  <c r="D548"/>
  <c r="C548"/>
  <c r="D545"/>
  <c r="C545"/>
  <c r="D541"/>
  <c r="C541"/>
  <c r="D538"/>
  <c r="C538"/>
  <c r="C554"/>
  <c r="D534"/>
  <c r="C534"/>
  <c r="D531"/>
  <c r="C531"/>
  <c r="D525"/>
  <c r="C525"/>
  <c r="D512"/>
  <c r="C512"/>
  <c r="D510"/>
  <c r="C510"/>
  <c r="D507"/>
  <c r="C507"/>
  <c r="D503"/>
  <c r="C503"/>
  <c r="D500"/>
  <c r="C500"/>
  <c r="D495"/>
  <c r="C495"/>
  <c r="D491"/>
  <c r="C491"/>
  <c r="D485"/>
  <c r="C485"/>
  <c r="D473"/>
  <c r="C473"/>
  <c r="D471"/>
  <c r="C471"/>
  <c r="D469"/>
  <c r="C469"/>
  <c r="D465"/>
  <c r="C465"/>
  <c r="D461"/>
  <c r="C461"/>
  <c r="D458"/>
  <c r="C458"/>
  <c r="D453"/>
  <c r="C453"/>
  <c r="C474" s="1"/>
  <c r="D448"/>
  <c r="C448"/>
  <c r="D442"/>
  <c r="C442"/>
  <c r="C428"/>
  <c r="C429" s="1"/>
  <c r="D428"/>
  <c r="D429" s="1"/>
  <c r="D424"/>
  <c r="C424"/>
  <c r="D418"/>
  <c r="C418"/>
  <c r="B418"/>
  <c r="D405"/>
  <c r="C405"/>
  <c r="D402"/>
  <c r="C402"/>
  <c r="D400"/>
  <c r="C400"/>
  <c r="D395"/>
  <c r="C395"/>
  <c r="D391"/>
  <c r="C391"/>
  <c r="D388"/>
  <c r="C388"/>
  <c r="D383"/>
  <c r="C383"/>
  <c r="D378"/>
  <c r="C378"/>
  <c r="D372"/>
  <c r="C372"/>
  <c r="B372"/>
  <c r="C124" i="3"/>
  <c r="D134" i="2"/>
  <c r="D124" i="3"/>
  <c r="E91"/>
  <c r="E86"/>
  <c r="E87"/>
  <c r="E80"/>
  <c r="E81"/>
  <c r="E55"/>
  <c r="E56"/>
  <c r="E57"/>
  <c r="E58"/>
  <c r="E59"/>
  <c r="E68"/>
  <c r="E70"/>
  <c r="E72"/>
  <c r="E75"/>
  <c r="E90"/>
  <c r="D45"/>
  <c r="E45" s="1"/>
  <c r="C40"/>
  <c r="D21" i="6"/>
  <c r="D40" i="3"/>
  <c r="E40" s="1"/>
  <c r="E21" i="6"/>
  <c r="C39" i="3"/>
  <c r="E63" i="4"/>
  <c r="E64"/>
  <c r="E67"/>
  <c r="E68"/>
  <c r="E75"/>
  <c r="E76"/>
  <c r="E87"/>
  <c r="E92"/>
  <c r="E94"/>
  <c r="E99"/>
  <c r="E110"/>
  <c r="E113"/>
  <c r="E120"/>
  <c r="E128"/>
  <c r="E129"/>
  <c r="E131"/>
  <c r="E134"/>
  <c r="E47"/>
  <c r="E48"/>
  <c r="E14"/>
  <c r="E17"/>
  <c r="E20"/>
  <c r="E23"/>
  <c r="E26"/>
  <c r="E27"/>
  <c r="E28"/>
  <c r="E29"/>
  <c r="E33"/>
  <c r="C69"/>
  <c r="C66" s="1"/>
  <c r="E66" s="1"/>
  <c r="C65"/>
  <c r="C62" s="1"/>
  <c r="C135"/>
  <c r="C133" s="1"/>
  <c r="E133" s="1"/>
  <c r="C130"/>
  <c r="C126" s="1"/>
  <c r="C114"/>
  <c r="C112" s="1"/>
  <c r="E112" s="1"/>
  <c r="C111"/>
  <c r="C109" s="1"/>
  <c r="C105" s="1"/>
  <c r="C9" i="2" s="1"/>
  <c r="D111" i="4"/>
  <c r="D109" s="1"/>
  <c r="C101"/>
  <c r="C98" s="1"/>
  <c r="C93"/>
  <c r="C91" s="1"/>
  <c r="E91" s="1"/>
  <c r="D91"/>
  <c r="C88"/>
  <c r="C32"/>
  <c r="D32"/>
  <c r="C31"/>
  <c r="C25" s="1"/>
  <c r="E25" s="1"/>
  <c r="C24"/>
  <c r="C22" s="1"/>
  <c r="D24"/>
  <c r="D22" s="1"/>
  <c r="E22" s="1"/>
  <c r="C21"/>
  <c r="C19" s="1"/>
  <c r="D21"/>
  <c r="D19" s="1"/>
  <c r="C18"/>
  <c r="C16" s="1"/>
  <c r="C15"/>
  <c r="E15" s="1"/>
  <c r="C131" i="3"/>
  <c r="C130" s="1"/>
  <c r="D131"/>
  <c r="D130" s="1"/>
  <c r="E130" s="1"/>
  <c r="E126"/>
  <c r="D89"/>
  <c r="D78"/>
  <c r="C67"/>
  <c r="D67"/>
  <c r="C69"/>
  <c r="D69"/>
  <c r="C64" i="2"/>
  <c r="D64"/>
  <c r="C58"/>
  <c r="C57"/>
  <c r="D58"/>
  <c r="D57"/>
  <c r="E57" s="1"/>
  <c r="E15"/>
  <c r="E16"/>
  <c r="E18"/>
  <c r="E19"/>
  <c r="E21"/>
  <c r="E22"/>
  <c r="E26"/>
  <c r="E27"/>
  <c r="E32"/>
  <c r="E36"/>
  <c r="E37"/>
  <c r="E39"/>
  <c r="E40"/>
  <c r="E43"/>
  <c r="E44"/>
  <c r="E46"/>
  <c r="E47"/>
  <c r="E48"/>
  <c r="E49"/>
  <c r="E59"/>
  <c r="E60"/>
  <c r="E61"/>
  <c r="E65"/>
  <c r="E66"/>
  <c r="E67"/>
  <c r="E69"/>
  <c r="E71"/>
  <c r="E79"/>
  <c r="E87"/>
  <c r="E88"/>
  <c r="E89"/>
  <c r="E90"/>
  <c r="E97"/>
  <c r="E101"/>
  <c r="E114"/>
  <c r="E115"/>
  <c r="E125"/>
  <c r="E135"/>
  <c r="E136"/>
  <c r="E137"/>
  <c r="E138"/>
  <c r="E139"/>
  <c r="E31"/>
  <c r="C25"/>
  <c r="C24"/>
  <c r="C20"/>
  <c r="D20"/>
  <c r="C17"/>
  <c r="D17"/>
  <c r="C14"/>
  <c r="D14"/>
  <c r="D13" s="1"/>
  <c r="D290" i="7"/>
  <c r="D287"/>
  <c r="D283"/>
  <c r="D279"/>
  <c r="D275"/>
  <c r="D270"/>
  <c r="D256"/>
  <c r="D252"/>
  <c r="D249"/>
  <c r="D245"/>
  <c r="D238"/>
  <c r="D232"/>
  <c r="D346"/>
  <c r="C346"/>
  <c r="B323"/>
  <c r="D341"/>
  <c r="C341"/>
  <c r="D339"/>
  <c r="C339"/>
  <c r="D333"/>
  <c r="C333"/>
  <c r="D329"/>
  <c r="C329"/>
  <c r="D326"/>
  <c r="C326"/>
  <c r="D323"/>
  <c r="C323"/>
  <c r="D317"/>
  <c r="C317"/>
  <c r="D312"/>
  <c r="C312"/>
  <c r="C290"/>
  <c r="C287"/>
  <c r="C283"/>
  <c r="C279"/>
  <c r="C275"/>
  <c r="C270"/>
  <c r="C256"/>
  <c r="C252"/>
  <c r="C249"/>
  <c r="C245"/>
  <c r="C238"/>
  <c r="C232"/>
  <c r="C208"/>
  <c r="E208"/>
  <c r="C206"/>
  <c r="E206"/>
  <c r="C204"/>
  <c r="E204"/>
  <c r="C202"/>
  <c r="C169"/>
  <c r="E169" s="1"/>
  <c r="C163"/>
  <c r="E163" s="1"/>
  <c r="C157"/>
  <c r="E157" s="1"/>
  <c r="C152"/>
  <c r="E152" s="1"/>
  <c r="C138"/>
  <c r="E138" s="1"/>
  <c r="C135"/>
  <c r="E135" s="1"/>
  <c r="C132"/>
  <c r="C128"/>
  <c r="C123"/>
  <c r="E123" s="1"/>
  <c r="C108"/>
  <c r="C103"/>
  <c r="C94"/>
  <c r="C91"/>
  <c r="C89"/>
  <c r="E89" s="1"/>
  <c r="C86"/>
  <c r="E86" s="1"/>
  <c r="C71"/>
  <c r="E71" s="1"/>
  <c r="C69"/>
  <c r="E69" s="1"/>
  <c r="C66"/>
  <c r="E66" s="1"/>
  <c r="C57"/>
  <c r="C54"/>
  <c r="E54"/>
  <c r="C50"/>
  <c r="C46"/>
  <c r="C44"/>
  <c r="C38"/>
  <c r="C35"/>
  <c r="C26"/>
  <c r="C28" s="1"/>
  <c r="C16"/>
  <c r="C18"/>
  <c r="D26"/>
  <c r="D28"/>
  <c r="D16"/>
  <c r="E16"/>
  <c r="B135" i="2"/>
  <c r="B134"/>
  <c r="B15" i="6"/>
  <c r="B167" i="7"/>
  <c r="B25" i="2"/>
  <c r="B24"/>
  <c r="B20"/>
  <c r="B14"/>
  <c r="B17"/>
  <c r="B38"/>
  <c r="B35" s="1"/>
  <c r="B34" s="1"/>
  <c r="B41"/>
  <c r="B50"/>
  <c r="B45" s="1"/>
  <c r="B42" s="1"/>
  <c r="B51"/>
  <c r="B52"/>
  <c r="B58"/>
  <c r="B57"/>
  <c r="B64"/>
  <c r="B70"/>
  <c r="B71"/>
  <c r="B79"/>
  <c r="B78" s="1"/>
  <c r="B101"/>
  <c r="B100"/>
  <c r="B99" s="1"/>
  <c r="B164" i="7"/>
  <c r="B166"/>
  <c r="B163"/>
  <c r="B190"/>
  <c r="B191"/>
  <c r="B189"/>
  <c r="B193" s="1"/>
  <c r="B195" s="1"/>
  <c r="B187"/>
  <c r="B15"/>
  <c r="B16"/>
  <c r="B18" s="1"/>
  <c r="B20" s="1"/>
  <c r="B25"/>
  <c r="B26"/>
  <c r="B28" s="1"/>
  <c r="B30" s="1"/>
  <c r="B46"/>
  <c r="B47"/>
  <c r="B55" s="1"/>
  <c r="B57" s="1"/>
  <c r="B52"/>
  <c r="B54"/>
  <c r="B66"/>
  <c r="B69"/>
  <c r="B70"/>
  <c r="B71"/>
  <c r="B132"/>
  <c r="B136"/>
  <c r="B135"/>
  <c r="B35"/>
  <c r="B81"/>
  <c r="B97"/>
  <c r="B123"/>
  <c r="B152"/>
  <c r="B181"/>
  <c r="B232"/>
  <c r="B270"/>
  <c r="B312"/>
  <c r="B442"/>
  <c r="B485"/>
  <c r="B525"/>
  <c r="B565"/>
  <c r="B588"/>
  <c r="B594"/>
  <c r="B728"/>
  <c r="B758"/>
  <c r="B38"/>
  <c r="B128"/>
  <c r="B183"/>
  <c r="B184"/>
  <c r="B238"/>
  <c r="B275"/>
  <c r="B317"/>
  <c r="B378"/>
  <c r="B424"/>
  <c r="B448"/>
  <c r="B491"/>
  <c r="B531"/>
  <c r="B571"/>
  <c r="B596"/>
  <c r="B600" s="1"/>
  <c r="B734"/>
  <c r="B694"/>
  <c r="B793"/>
  <c r="B839"/>
  <c r="B15" i="4"/>
  <c r="B13" s="1"/>
  <c r="B18"/>
  <c r="B16" s="1"/>
  <c r="B21"/>
  <c r="B19" s="1"/>
  <c r="B24"/>
  <c r="B22" s="1"/>
  <c r="B31"/>
  <c r="B25" s="1"/>
  <c r="B65"/>
  <c r="B344" i="7" s="1"/>
  <c r="B346" s="1"/>
  <c r="B69" i="4"/>
  <c r="B66" s="1"/>
  <c r="B58" s="1"/>
  <c r="B7" i="2" s="1"/>
  <c r="B88" i="4"/>
  <c r="B85" s="1"/>
  <c r="B81" s="1"/>
  <c r="B8" i="2" s="1"/>
  <c r="B93" i="4"/>
  <c r="B91" s="1"/>
  <c r="B101"/>
  <c r="B98" s="1"/>
  <c r="B111"/>
  <c r="B109" s="1"/>
  <c r="B114"/>
  <c r="B112" s="1"/>
  <c r="B130"/>
  <c r="B126" s="1"/>
  <c r="B135"/>
  <c r="B133" s="1"/>
  <c r="B337" i="7"/>
  <c r="B339" s="1"/>
  <c r="B253"/>
  <c r="B256" s="1"/>
  <c r="B258" s="1"/>
  <c r="B288"/>
  <c r="B290" s="1"/>
  <c r="B292" s="1"/>
  <c r="B294" s="1"/>
  <c r="B809"/>
  <c r="B821" s="1"/>
  <c r="B823" s="1"/>
  <c r="B861"/>
  <c r="B862" s="1"/>
  <c r="B712"/>
  <c r="B714" s="1"/>
  <c r="B751"/>
  <c r="B752"/>
  <c r="B405"/>
  <c r="B427"/>
  <c r="B472"/>
  <c r="B473"/>
  <c r="B511"/>
  <c r="B552"/>
  <c r="B576"/>
  <c r="B579" s="1"/>
  <c r="B622"/>
  <c r="B623" s="1"/>
  <c r="B633"/>
  <c r="B634"/>
  <c r="B326"/>
  <c r="B329"/>
  <c r="B333"/>
  <c r="B341"/>
  <c r="B245"/>
  <c r="B249"/>
  <c r="B252"/>
  <c r="B279"/>
  <c r="B283"/>
  <c r="B287"/>
  <c r="B383"/>
  <c r="B388"/>
  <c r="B391"/>
  <c r="B395"/>
  <c r="B400"/>
  <c r="B402"/>
  <c r="B453"/>
  <c r="B474" s="1"/>
  <c r="B476" s="1"/>
  <c r="B458"/>
  <c r="B461"/>
  <c r="B465"/>
  <c r="B469"/>
  <c r="B471"/>
  <c r="B495"/>
  <c r="B500"/>
  <c r="B503"/>
  <c r="B507"/>
  <c r="B510"/>
  <c r="B534"/>
  <c r="B538"/>
  <c r="B541"/>
  <c r="B545"/>
  <c r="B548"/>
  <c r="B550"/>
  <c r="B606"/>
  <c r="B625" s="1"/>
  <c r="B610"/>
  <c r="B613"/>
  <c r="B617"/>
  <c r="B621"/>
  <c r="B632"/>
  <c r="B675"/>
  <c r="B676" s="1"/>
  <c r="B700"/>
  <c r="B704"/>
  <c r="B708"/>
  <c r="B711"/>
  <c r="B747"/>
  <c r="B753" s="1"/>
  <c r="B755" s="1"/>
  <c r="B750"/>
  <c r="B804"/>
  <c r="B807"/>
  <c r="B818"/>
  <c r="B820"/>
  <c r="B843"/>
  <c r="B864" s="1"/>
  <c r="B866" s="1"/>
  <c r="B848"/>
  <c r="B850"/>
  <c r="B854"/>
  <c r="B858"/>
  <c r="B860"/>
  <c r="B32" i="4"/>
  <c r="B86" i="2"/>
  <c r="B85"/>
  <c r="B96"/>
  <c r="B95" s="1"/>
  <c r="B132"/>
  <c r="B150"/>
  <c r="B144"/>
  <c r="B56" i="3"/>
  <c r="B148" i="2"/>
  <c r="B55" i="3"/>
  <c r="B54"/>
  <c r="B10" i="6"/>
  <c r="B74" i="3"/>
  <c r="B23" i="6"/>
  <c r="B19"/>
  <c r="B21"/>
  <c r="B40" i="3" s="1"/>
  <c r="B35" i="6"/>
  <c r="B34" s="1"/>
  <c r="B41" i="3" s="1"/>
  <c r="B45" i="6"/>
  <c r="B44"/>
  <c r="B40" s="1"/>
  <c r="B356" i="7" s="1"/>
  <c r="B38" i="3"/>
  <c r="B67"/>
  <c r="B69"/>
  <c r="B71"/>
  <c r="B89"/>
  <c r="B151" i="2"/>
  <c r="B126" i="3"/>
  <c r="B131"/>
  <c r="B130" s="1"/>
  <c r="B45"/>
  <c r="B44" s="1"/>
  <c r="B759" i="7"/>
  <c r="B23" i="3" s="1"/>
  <c r="B512" i="7"/>
  <c r="B138"/>
  <c r="C210"/>
  <c r="C110"/>
  <c r="B14" i="6"/>
  <c r="B9" s="1"/>
  <c r="B5" s="1"/>
  <c r="D474" i="7"/>
  <c r="D476" s="1"/>
  <c r="C758"/>
  <c r="C16" i="3" s="1"/>
  <c r="C260" i="7"/>
  <c r="C653"/>
  <c r="C212"/>
  <c r="C258"/>
  <c r="B428"/>
  <c r="B429" s="1"/>
  <c r="D657"/>
  <c r="D15" i="3" s="1"/>
  <c r="C657" i="7"/>
  <c r="C15" i="3" s="1"/>
  <c r="C292" i="7"/>
  <c r="C294" s="1"/>
  <c r="D354"/>
  <c r="D21" i="3" s="1"/>
  <c r="D353" i="7"/>
  <c r="D14" i="3" s="1"/>
  <c r="C353" i="7"/>
  <c r="C14" i="3" s="1"/>
  <c r="D580" i="7"/>
  <c r="D582" s="1"/>
  <c r="D625"/>
  <c r="D627" s="1"/>
  <c r="E627" s="1"/>
  <c r="C635"/>
  <c r="C637" s="1"/>
  <c r="D653"/>
  <c r="C715"/>
  <c r="C717"/>
  <c r="D715"/>
  <c r="D717"/>
  <c r="E717" s="1"/>
  <c r="D824"/>
  <c r="D826" s="1"/>
  <c r="E826" s="1"/>
  <c r="D864"/>
  <c r="E44"/>
  <c r="E50"/>
  <c r="E57"/>
  <c r="E279"/>
  <c r="E372"/>
  <c r="E428"/>
  <c r="E485"/>
  <c r="E538"/>
  <c r="E643"/>
  <c r="E694"/>
  <c r="E688"/>
  <c r="E787"/>
  <c r="B353"/>
  <c r="B14" i="3"/>
  <c r="B50" i="7"/>
  <c r="E26"/>
  <c r="D350"/>
  <c r="D348"/>
  <c r="E46"/>
  <c r="D110"/>
  <c r="D171"/>
  <c r="E91"/>
  <c r="E132"/>
  <c r="E202"/>
  <c r="E245"/>
  <c r="E383"/>
  <c r="E378"/>
  <c r="E418"/>
  <c r="E495"/>
  <c r="E525"/>
  <c r="E673"/>
  <c r="E793"/>
  <c r="D58"/>
  <c r="D214"/>
  <c r="E38"/>
  <c r="E35"/>
  <c r="D18"/>
  <c r="D13" i="4"/>
  <c r="E13" s="1"/>
  <c r="E14" i="6"/>
  <c r="E23"/>
  <c r="D41" i="3"/>
  <c r="E35" i="6"/>
  <c r="D38" i="3"/>
  <c r="D37" s="1"/>
  <c r="C38"/>
  <c r="B62" i="4"/>
  <c r="D81"/>
  <c r="D58"/>
  <c r="D7" i="2"/>
  <c r="E32" i="4"/>
  <c r="E77"/>
  <c r="E115"/>
  <c r="B165" i="7"/>
  <c r="B169" s="1"/>
  <c r="B171" s="1"/>
  <c r="B173" s="1"/>
  <c r="E88" i="4"/>
  <c r="E135"/>
  <c r="E31"/>
  <c r="E24"/>
  <c r="E65"/>
  <c r="E69"/>
  <c r="E111"/>
  <c r="E130"/>
  <c r="D25"/>
  <c r="E101"/>
  <c r="E93"/>
  <c r="E18"/>
  <c r="C85"/>
  <c r="E114"/>
  <c r="E21"/>
  <c r="C13"/>
  <c r="D122"/>
  <c r="D10" i="2" s="1"/>
  <c r="E85" i="4"/>
  <c r="D8" i="2"/>
  <c r="B869" i="7"/>
  <c r="B17" i="3"/>
  <c r="B110" i="7"/>
  <c r="B210"/>
  <c r="C655"/>
  <c r="C123" i="2"/>
  <c r="C68"/>
  <c r="C63" s="1"/>
  <c r="E78"/>
  <c r="E100"/>
  <c r="E96"/>
  <c r="E38"/>
  <c r="E33"/>
  <c r="E113"/>
  <c r="E52"/>
  <c r="E58"/>
  <c r="D42"/>
  <c r="E51"/>
  <c r="E45"/>
  <c r="E35"/>
  <c r="C13"/>
  <c r="C12" s="1"/>
  <c r="E131" i="3"/>
  <c r="E89"/>
  <c r="E79"/>
  <c r="E69"/>
  <c r="C53"/>
  <c r="E54"/>
  <c r="E124" i="2"/>
  <c r="D44" i="3"/>
  <c r="E44" s="1"/>
  <c r="E25" i="2"/>
  <c r="E20"/>
  <c r="E86"/>
  <c r="D132"/>
  <c r="E123"/>
  <c r="C58" i="7"/>
  <c r="B407"/>
  <c r="B409" s="1"/>
  <c r="B354"/>
  <c r="B21" i="3" s="1"/>
  <c r="C95" i="7"/>
  <c r="C97" s="1"/>
  <c r="C173"/>
  <c r="C215"/>
  <c r="C20" i="3"/>
  <c r="C59" i="7"/>
  <c r="C140"/>
  <c r="C142" s="1"/>
  <c r="B140"/>
  <c r="B142" s="1"/>
  <c r="D658"/>
  <c r="D22" i="3" s="1"/>
  <c r="C759" i="7"/>
  <c r="C23" i="3" s="1"/>
  <c r="E700" i="7"/>
  <c r="E711"/>
  <c r="E734"/>
  <c r="D869"/>
  <c r="D17" i="3"/>
  <c r="D870" i="7"/>
  <c r="D24" i="3"/>
  <c r="E800" i="7"/>
  <c r="E818"/>
  <c r="E823"/>
  <c r="E81"/>
  <c r="D210"/>
  <c r="D212"/>
  <c r="E212" s="1"/>
  <c r="E353"/>
  <c r="E391"/>
  <c r="E400"/>
  <c r="E461"/>
  <c r="E728"/>
  <c r="E747"/>
  <c r="E752"/>
  <c r="E854"/>
  <c r="E860"/>
  <c r="E862"/>
  <c r="D215"/>
  <c r="D20" i="3" s="1"/>
  <c r="D140" i="7"/>
  <c r="D142" s="1"/>
  <c r="E142" s="1"/>
  <c r="E312"/>
  <c r="E473"/>
  <c r="E491"/>
  <c r="E500"/>
  <c r="E507"/>
  <c r="E510"/>
  <c r="D554"/>
  <c r="D556"/>
  <c r="E556" s="1"/>
  <c r="E565"/>
  <c r="E606"/>
  <c r="E326"/>
  <c r="E329"/>
  <c r="E346"/>
  <c r="E395"/>
  <c r="E469"/>
  <c r="E471"/>
  <c r="D513"/>
  <c r="D515" s="1"/>
  <c r="E515" s="1"/>
  <c r="E548"/>
  <c r="E552"/>
  <c r="E579"/>
  <c r="E594"/>
  <c r="C625"/>
  <c r="E625"/>
  <c r="E613"/>
  <c r="E617"/>
  <c r="E704"/>
  <c r="E708"/>
  <c r="E807"/>
  <c r="E811"/>
  <c r="E848"/>
  <c r="E850"/>
  <c r="B212"/>
  <c r="B95"/>
  <c r="D866"/>
  <c r="D655"/>
  <c r="E655" s="1"/>
  <c r="C72"/>
  <c r="C74" s="1"/>
  <c r="C171"/>
  <c r="E171" s="1"/>
  <c r="E238"/>
  <c r="E252"/>
  <c r="E270"/>
  <c r="E287"/>
  <c r="E550"/>
  <c r="E571"/>
  <c r="E103"/>
  <c r="E128"/>
  <c r="B513"/>
  <c r="B515" s="1"/>
  <c r="E317"/>
  <c r="E323"/>
  <c r="E339"/>
  <c r="E249"/>
  <c r="E256"/>
  <c r="E275"/>
  <c r="E283"/>
  <c r="E290"/>
  <c r="C407"/>
  <c r="C409" s="1"/>
  <c r="E388"/>
  <c r="E405"/>
  <c r="E442"/>
  <c r="E465"/>
  <c r="E503"/>
  <c r="E545"/>
  <c r="E610"/>
  <c r="E623"/>
  <c r="E650"/>
  <c r="E714"/>
  <c r="C753"/>
  <c r="C755"/>
  <c r="E743"/>
  <c r="E804"/>
  <c r="E820"/>
  <c r="E839"/>
  <c r="E843"/>
  <c r="E858"/>
  <c r="E94"/>
  <c r="E108"/>
  <c r="E73" i="4"/>
  <c r="E96" i="3"/>
  <c r="C128"/>
  <c r="E39"/>
  <c r="B147" i="2"/>
  <c r="B157" s="1"/>
  <c r="D53" i="3"/>
  <c r="E67"/>
  <c r="E85"/>
  <c r="E43"/>
  <c r="B13" i="2"/>
  <c r="B12"/>
  <c r="E17"/>
  <c r="E64"/>
  <c r="E14"/>
  <c r="E134"/>
  <c r="E124" i="3" s="1"/>
  <c r="B68" i="2"/>
  <c r="B63" s="1"/>
  <c r="E126"/>
  <c r="B124" i="3"/>
  <c r="B134" s="1"/>
  <c r="B146" i="2"/>
  <c r="E42" i="3"/>
  <c r="D13"/>
  <c r="D40" i="6"/>
  <c r="D356" i="7" s="1"/>
  <c r="E356" s="1"/>
  <c r="E58"/>
  <c r="D59"/>
  <c r="E59"/>
  <c r="D173"/>
  <c r="E173"/>
  <c r="D635"/>
  <c r="D637"/>
  <c r="E637" s="1"/>
  <c r="D95"/>
  <c r="D97" s="1"/>
  <c r="C132" i="2"/>
  <c r="E132" s="1"/>
  <c r="E140" i="7"/>
  <c r="E53" i="3"/>
  <c r="E71"/>
  <c r="B53"/>
  <c r="E74"/>
  <c r="D20" i="7"/>
  <c r="E110"/>
  <c r="D431"/>
  <c r="D407"/>
  <c r="E657"/>
  <c r="E715"/>
  <c r="E512"/>
  <c r="C513"/>
  <c r="E513"/>
  <c r="E600"/>
  <c r="E634"/>
  <c r="D871"/>
  <c r="D872"/>
  <c r="B870"/>
  <c r="B24" i="3"/>
  <c r="C348" i="7"/>
  <c r="E348"/>
  <c r="E448"/>
  <c r="E531"/>
  <c r="D753"/>
  <c r="E753"/>
  <c r="B811"/>
  <c r="C658"/>
  <c r="C22" i="3" s="1"/>
  <c r="E424" i="7"/>
  <c r="E541"/>
  <c r="E632"/>
  <c r="E232"/>
  <c r="D292"/>
  <c r="E292" s="1"/>
  <c r="B554"/>
  <c r="B556" s="1"/>
  <c r="D258"/>
  <c r="D355" s="1"/>
  <c r="E458"/>
  <c r="E621"/>
  <c r="E652"/>
  <c r="D72"/>
  <c r="D74"/>
  <c r="E74" s="1"/>
  <c r="E210"/>
  <c r="E38" i="3"/>
  <c r="C126"/>
  <c r="D30" i="2"/>
  <c r="E70"/>
  <c r="D294" i="7"/>
  <c r="E294" s="1"/>
  <c r="D260"/>
  <c r="E260" s="1"/>
  <c r="D33" i="3"/>
  <c r="D10" s="1"/>
  <c r="H19" i="29"/>
  <c r="E215" i="7"/>
  <c r="C627"/>
  <c r="C214"/>
  <c r="C13" i="3"/>
  <c r="C515" i="7"/>
  <c r="E653"/>
  <c r="B72"/>
  <c r="B74" s="1"/>
  <c r="E635"/>
  <c r="C355"/>
  <c r="C30" i="3"/>
  <c r="C864" i="7"/>
  <c r="E864"/>
  <c r="E95"/>
  <c r="E453"/>
  <c r="E834"/>
  <c r="E554"/>
  <c r="C556"/>
  <c r="D409"/>
  <c r="E72"/>
  <c r="E333"/>
  <c r="E341"/>
  <c r="C350"/>
  <c r="E350"/>
  <c r="E647"/>
  <c r="C824"/>
  <c r="C826"/>
  <c r="D755"/>
  <c r="E755" s="1"/>
  <c r="C354"/>
  <c r="C357"/>
  <c r="E407"/>
  <c r="D758"/>
  <c r="D16" i="3" s="1"/>
  <c r="B635" i="7"/>
  <c r="B637"/>
  <c r="B16" i="3"/>
  <c r="C866" i="7"/>
  <c r="E866" s="1"/>
  <c r="C760"/>
  <c r="C676"/>
  <c r="B657"/>
  <c r="E214"/>
  <c r="E354"/>
  <c r="E824"/>
  <c r="C871"/>
  <c r="C21" i="3"/>
  <c r="E758" i="7"/>
  <c r="C32" i="3"/>
  <c r="C761" i="7"/>
  <c r="B15" i="3"/>
  <c r="B12" s="1"/>
  <c r="C33"/>
  <c r="E871" i="7"/>
  <c r="E18"/>
  <c r="C20"/>
  <c r="E20"/>
  <c r="C17" i="3"/>
  <c r="E869" i="7"/>
  <c r="D30"/>
  <c r="D216"/>
  <c r="D676"/>
  <c r="E676" s="1"/>
  <c r="D760"/>
  <c r="D32" i="3" s="1"/>
  <c r="E32" s="1"/>
  <c r="E675" i="7"/>
  <c r="E760"/>
  <c r="D29" i="3"/>
  <c r="E17"/>
  <c r="E21" l="1"/>
  <c r="C134"/>
  <c r="E13"/>
  <c r="D36"/>
  <c r="B59" i="7"/>
  <c r="B58"/>
  <c r="E355"/>
  <c r="D30" i="3"/>
  <c r="E30" s="1"/>
  <c r="D357" i="7"/>
  <c r="E357" s="1"/>
  <c r="B659"/>
  <c r="B31" i="3" s="1"/>
  <c r="B431" i="7"/>
  <c r="B580"/>
  <c r="B582"/>
  <c r="C582"/>
  <c r="E580"/>
  <c r="C24" i="3"/>
  <c r="C19" s="1"/>
  <c r="E870" i="7"/>
  <c r="C872"/>
  <c r="E872" s="1"/>
  <c r="E84" i="3"/>
  <c r="D51"/>
  <c r="C51"/>
  <c r="C120" s="1"/>
  <c r="E78"/>
  <c r="C30" i="2"/>
  <c r="E34"/>
  <c r="E85"/>
  <c r="D83"/>
  <c r="C9" i="3"/>
  <c r="E409" i="7"/>
  <c r="E97"/>
  <c r="E22" i="3"/>
  <c r="B715" i="7"/>
  <c r="B348"/>
  <c r="B350" s="1"/>
  <c r="B122" i="4"/>
  <c r="B10" i="2" s="1"/>
  <c r="B30"/>
  <c r="B29" s="1"/>
  <c r="E95"/>
  <c r="E42" i="20"/>
  <c r="E48" s="1"/>
  <c r="E16" i="3"/>
  <c r="D12" i="2"/>
  <c r="E12" s="1"/>
  <c r="E13"/>
  <c r="E19" i="4"/>
  <c r="D10"/>
  <c r="C58"/>
  <c r="E62"/>
  <c r="C476" i="7"/>
  <c r="E474"/>
  <c r="C83" i="2"/>
  <c r="C118" s="1"/>
  <c r="E20" i="3"/>
  <c r="D6"/>
  <c r="E14"/>
  <c r="D12"/>
  <c r="E12" s="1"/>
  <c r="E15"/>
  <c r="B51" i="6"/>
  <c r="B217" i="7"/>
  <c r="B219" s="1"/>
  <c r="C7" i="3"/>
  <c r="C12"/>
  <c r="C216" i="7"/>
  <c r="C30"/>
  <c r="E30" s="1"/>
  <c r="E28"/>
  <c r="C10" i="4"/>
  <c r="C6" i="2" s="1"/>
  <c r="E16" i="4"/>
  <c r="D105"/>
  <c r="E109"/>
  <c r="C431" i="7"/>
  <c r="E431" s="1"/>
  <c r="C659"/>
  <c r="D5" i="6"/>
  <c r="E9"/>
  <c r="C5"/>
  <c r="E34"/>
  <c r="C41" i="3"/>
  <c r="B10" i="4"/>
  <c r="B6" i="2" s="1"/>
  <c r="E476" i="7"/>
  <c r="B83" i="2"/>
  <c r="B118" s="1"/>
  <c r="B824" i="7"/>
  <c r="B105" i="4"/>
  <c r="B9" i="2" s="1"/>
  <c r="D63"/>
  <c r="E99"/>
  <c r="C48" i="22"/>
  <c r="B12"/>
  <c r="B260" i="7"/>
  <c r="B355"/>
  <c r="B627"/>
  <c r="B658"/>
  <c r="E98" i="4"/>
  <c r="C81"/>
  <c r="C122"/>
  <c r="C10" i="2" s="1"/>
  <c r="E10" s="1"/>
  <c r="E126" i="4"/>
  <c r="E122" s="1"/>
  <c r="E429" i="7"/>
  <c r="D659"/>
  <c r="D761"/>
  <c r="E761" s="1"/>
  <c r="D23" i="3"/>
  <c r="E23" s="1"/>
  <c r="E759" i="7"/>
  <c r="E582"/>
  <c r="D126" i="3"/>
  <c r="D134" s="1"/>
  <c r="E134" s="1"/>
  <c r="B48" i="22"/>
  <c r="E33" i="3"/>
  <c r="E258" i="7"/>
  <c r="E658"/>
  <c r="E45" i="6"/>
  <c r="C44"/>
  <c r="B39" i="3"/>
  <c r="B37" s="1"/>
  <c r="E10" i="6"/>
  <c r="B5" i="2" l="1"/>
  <c r="B81" s="1"/>
  <c r="B120" s="1"/>
  <c r="B141" s="1"/>
  <c r="B6" i="3"/>
  <c r="B36"/>
  <c r="B35" s="1"/>
  <c r="D660" i="7"/>
  <c r="E659"/>
  <c r="D31" i="3"/>
  <c r="B30"/>
  <c r="B357" i="7"/>
  <c r="C31" i="3"/>
  <c r="C8" s="1"/>
  <c r="C660" i="7"/>
  <c r="C219"/>
  <c r="C29" i="3"/>
  <c r="B826" i="7"/>
  <c r="B871"/>
  <c r="C37" i="3"/>
  <c r="E41"/>
  <c r="D51" i="6"/>
  <c r="D217" i="7"/>
  <c r="E5" i="6"/>
  <c r="E105" i="4"/>
  <c r="D9" i="2"/>
  <c r="E9" s="1"/>
  <c r="D19" i="3"/>
  <c r="E19" s="1"/>
  <c r="D7"/>
  <c r="E7" s="1"/>
  <c r="D9"/>
  <c r="E9" s="1"/>
  <c r="D118" i="2"/>
  <c r="E83"/>
  <c r="D35" i="3"/>
  <c r="C40" i="6"/>
  <c r="C51" s="1"/>
  <c r="E44"/>
  <c r="E40" s="1"/>
  <c r="B22" i="3"/>
  <c r="B660" i="7"/>
  <c r="E10" i="4"/>
  <c r="D6" i="2"/>
  <c r="D29"/>
  <c r="E29" s="1"/>
  <c r="E63"/>
  <c r="C119" i="3"/>
  <c r="C118" s="1"/>
  <c r="E58" i="4"/>
  <c r="C7" i="2"/>
  <c r="E7" s="1"/>
  <c r="B717" i="7"/>
  <c r="B760"/>
  <c r="E30" i="2"/>
  <c r="C29"/>
  <c r="E216" i="7"/>
  <c r="C5" i="2"/>
  <c r="C81" s="1"/>
  <c r="C115" i="3" s="1"/>
  <c r="C8" i="2"/>
  <c r="E8" s="1"/>
  <c r="E81" i="4"/>
  <c r="B119" i="3"/>
  <c r="B118" s="1"/>
  <c r="E51"/>
  <c r="E120" s="1"/>
  <c r="D120"/>
  <c r="C10"/>
  <c r="E10" s="1"/>
  <c r="E24"/>
  <c r="B115" l="1"/>
  <c r="B8"/>
  <c r="B19"/>
  <c r="C36"/>
  <c r="E37"/>
  <c r="B32"/>
  <c r="B9" s="1"/>
  <c r="B761" i="7"/>
  <c r="D5" i="2"/>
  <c r="E6"/>
  <c r="C6" i="3"/>
  <c r="C26"/>
  <c r="E29"/>
  <c r="E31"/>
  <c r="D8"/>
  <c r="E8" s="1"/>
  <c r="D26"/>
  <c r="E26" s="1"/>
  <c r="C120" i="2"/>
  <c r="C141" s="1"/>
  <c r="E118"/>
  <c r="D119" i="3"/>
  <c r="D118" s="1"/>
  <c r="E118" s="1"/>
  <c r="B7"/>
  <c r="E217" i="7"/>
  <c r="D219"/>
  <c r="E219" s="1"/>
  <c r="B33" i="3"/>
  <c r="B10" s="1"/>
  <c r="B872" i="7"/>
  <c r="E51" i="6"/>
  <c r="E660" i="7"/>
  <c r="B5" i="3" l="1"/>
  <c r="B116" s="1"/>
  <c r="B114" s="1"/>
  <c r="B122" s="1"/>
  <c r="D5"/>
  <c r="D116" s="1"/>
  <c r="B149" i="2"/>
  <c r="C5" i="3"/>
  <c r="E6"/>
  <c r="D94"/>
  <c r="E5" i="2"/>
  <c r="D81"/>
  <c r="C35" i="3"/>
  <c r="E35" s="1"/>
  <c r="E36"/>
  <c r="B26"/>
  <c r="B94" l="1"/>
  <c r="B100" s="1"/>
  <c r="D100"/>
  <c r="D109"/>
  <c r="C116"/>
  <c r="C114" s="1"/>
  <c r="C122" s="1"/>
  <c r="C94"/>
  <c r="E81" i="2"/>
  <c r="E115" i="3" s="1"/>
  <c r="D115"/>
  <c r="D114" s="1"/>
  <c r="D120" i="2"/>
  <c r="B158"/>
  <c r="B159" s="1"/>
  <c r="B152"/>
  <c r="E5" i="3"/>
  <c r="E116" s="1"/>
  <c r="B109" l="1"/>
  <c r="B142" i="2" s="1"/>
  <c r="D122" i="3"/>
  <c r="E122" s="1"/>
  <c r="E114"/>
  <c r="C100"/>
  <c r="C109"/>
  <c r="E100"/>
  <c r="D141" i="2"/>
  <c r="E120"/>
  <c r="E109" i="3"/>
  <c r="B10" i="17"/>
  <c r="E94" i="3"/>
  <c r="E141" i="2" l="1"/>
  <c r="B9" i="17"/>
  <c r="B11" s="1"/>
  <c r="B15" s="1"/>
</calcChain>
</file>

<file path=xl/sharedStrings.xml><?xml version="1.0" encoding="utf-8"?>
<sst xmlns="http://schemas.openxmlformats.org/spreadsheetml/2006/main" count="1600" uniqueCount="923">
  <si>
    <t>1.3.1. Késedelmi pótlék</t>
  </si>
  <si>
    <t>1.3.2. Mulasztási bírság</t>
  </si>
  <si>
    <t>Törvény szerinti illetmények (3 fő 2015. szeptember 1-től)</t>
  </si>
  <si>
    <t xml:space="preserve">   - Ntp. Kft. részére a közfeladatainak ellátásához biztosított támogatás </t>
  </si>
  <si>
    <t>1. Nagyszénás Nagyközség Önkormányzata</t>
  </si>
  <si>
    <t>II. Közhatalmi bevételek</t>
  </si>
  <si>
    <t>2. Polgármesteri Hivatal</t>
  </si>
  <si>
    <t>1.1. Helyi adók</t>
  </si>
  <si>
    <t>1.1.1. Helyi iparűzési adó</t>
  </si>
  <si>
    <t>1.1.2. Magánszemélyek kommunális adója</t>
  </si>
  <si>
    <t>1.2. Átengedett központi adók</t>
  </si>
  <si>
    <t>1.2.1. Gépjárműadó</t>
  </si>
  <si>
    <t>1.2.2. Földhaszonbér Szja</t>
  </si>
  <si>
    <t>1.3. Egyéb sajátos bevételek</t>
  </si>
  <si>
    <t>2.1 Egyéb sajátos bevételek</t>
  </si>
  <si>
    <t>2.2.1. Igazgatási szolgáltatások bevétele</t>
  </si>
  <si>
    <t>2.2.2. Szabálysértési bírság</t>
  </si>
  <si>
    <t>Egyéb különféle dologi kiadások (óvadék, banki kiadások)</t>
  </si>
  <si>
    <t>KORMÁNYFUNKCIÓ ÖSSZESEN:</t>
  </si>
  <si>
    <t>Felhalmozási egyenleg</t>
  </si>
  <si>
    <t>Működési egyenleg</t>
  </si>
  <si>
    <t>VII. A KÖLTSÉGVETÉSI MARADVÁNY  ÉS A FINASZÍROZÁSI MŰVELETEK EGYÜTTES EGYENLEGE (IV+V+VI)</t>
  </si>
  <si>
    <t>VIII. Költségvetési maradványok</t>
  </si>
  <si>
    <t>IV. KÖLTSÉGVETÉSI MARADVÁNY</t>
  </si>
  <si>
    <t>Törvény szerinti illetmények( 6 fő + 1 fő részmunkaidős)</t>
  </si>
  <si>
    <t>Törvény szerinti illetmények (11 fő)</t>
  </si>
  <si>
    <t>1.1.5. Szennyvízbekötés az intézményeknél</t>
  </si>
  <si>
    <t>Egyéb szolgáltatások (szállítás, szemétszállítás)</t>
  </si>
  <si>
    <t>Törvény szerinti illetmények (20 fő)</t>
  </si>
  <si>
    <t>Törvény szerinti illetmények (1 fő + 1 fő prémiuméves)</t>
  </si>
  <si>
    <t>104035 Gyermekétkezetés bölcsődében</t>
  </si>
  <si>
    <t>3.1.1. Szennyvíz BM EU önerő támogatás visszafizetése</t>
  </si>
  <si>
    <t>1.1.4. Békés Megyei Ivóvízminőség-javító programtámogatása (EU önerő alap)</t>
  </si>
  <si>
    <t xml:space="preserve">   - Polgármesteri támogatási keret</t>
  </si>
  <si>
    <t>3.1.2. Békés Megyei Ivóvízminőség-javító program önkormányzatunkra eső önerő hányada</t>
  </si>
  <si>
    <t>Törvény szerinti illetmények (3 fő mezőőr)</t>
  </si>
  <si>
    <t>Szakmai tevékenységet segítő szolgáltatások (fák gallyazása)</t>
  </si>
  <si>
    <t>Törvény szerinti illetmények</t>
  </si>
  <si>
    <t>Készenléti és túlóra díj, helyettesítés</t>
  </si>
  <si>
    <t>Egyéb személyi juttatás (betegszabadság, közlekedési ktg. térítés)</t>
  </si>
  <si>
    <t>Választott tisztségviselők juttatásai</t>
  </si>
  <si>
    <t>Megbízási díjak</t>
  </si>
  <si>
    <t>Kifizetői adó és járulék</t>
  </si>
  <si>
    <t>Prémiuméves foglalkoztatott</t>
  </si>
  <si>
    <t>Egyéb költségek (szemüveg, napi díj, számla ktg. térítés)</t>
  </si>
  <si>
    <t>Táppénz hozzájárulás</t>
  </si>
  <si>
    <t>Céljuttatás</t>
  </si>
  <si>
    <t>041233  Hosszabb időtartamú közfoglalkoztatás</t>
  </si>
  <si>
    <t>Szociális gondozói díj</t>
  </si>
  <si>
    <t>MŰVELŐDÉSI HÁZ ÉS KÖNYVTÁR ÖSSZESEN (4 fő közalk. + 3 fő részm. közalk.):</t>
  </si>
  <si>
    <t>V. Felhalmozási és tőke jellegű bevételek</t>
  </si>
  <si>
    <t xml:space="preserve">FELHALMOZÁSI CÉLÚ  BEVÉTELEK  ÖSSZESEN (IV+V.): </t>
  </si>
  <si>
    <t>1. Részvény értékesítés</t>
  </si>
  <si>
    <t>MŰKÖDÉSI ÉS FELHALMOZÁSI CÉLÚ  BEVÉTELEK  ÖSSZESEN: (I+II+III+IV+V)</t>
  </si>
  <si>
    <t>VI. Belföldi hitelműveletek</t>
  </si>
  <si>
    <t>VII. FINANSZÍROZÁSI BEVÉTELEK: (VI)</t>
  </si>
  <si>
    <t>BEVÉTELEK MINDÖSSZESEN: (I+II+III+IV+V+VII+VIII)</t>
  </si>
  <si>
    <t>Részvényértékesítés</t>
  </si>
  <si>
    <t>2.1.1. Táncsics utcai óvoda tető felújítás</t>
  </si>
  <si>
    <t>Reprezentáció</t>
  </si>
  <si>
    <t xml:space="preserve">NAGYSZÉNÁSI ÖNKORMÁNYZATI ÓVODA ÖSSZESEN: (19 fő közalk. + 1 fő részm. közalk.) </t>
  </si>
  <si>
    <t>Működési bevételek kormányzati funkciónként 2015.</t>
  </si>
  <si>
    <t>3. Önkormányzat  egyéb működési célú támogatásai államháztartáson belülről</t>
  </si>
  <si>
    <t>3.2.  Önkormányzat egyéb működési célú támogatásai</t>
  </si>
  <si>
    <t>3.3.1. Foglalkoztatási támogatások</t>
  </si>
  <si>
    <t>3.3. Gondozási Központ támogatásai</t>
  </si>
  <si>
    <t>1.5.1. Kisértékű tárgyieszköz beruházás</t>
  </si>
  <si>
    <t>Törvény szerinti illetmények (94 fő)</t>
  </si>
  <si>
    <t>Egyéb költségek (számla költségtérítés)</t>
  </si>
  <si>
    <t>Törvény szerinti illetmények (7 fő)</t>
  </si>
  <si>
    <t>Törvény szerinti illetmények (1 fő)</t>
  </si>
  <si>
    <t>Egyéb költségek ( számla költségtérítés)</t>
  </si>
  <si>
    <t>Törvény szerinti illetmények (2 fő)</t>
  </si>
  <si>
    <t>Törvény szerinti illetmények (8 fő)</t>
  </si>
  <si>
    <t>Törvény szerinti illetmények (12 fő + 1 fő részmunkaidős)</t>
  </si>
  <si>
    <t>Törvény szerinti illetmények (3 fő + 2 fő részmunkaidős)</t>
  </si>
  <si>
    <t>Pénzmaradvány</t>
  </si>
  <si>
    <t>Szennyvízberuházás egyenlege</t>
  </si>
  <si>
    <t>Termálvízberuházás egyenlege</t>
  </si>
  <si>
    <t>Működési hiány</t>
  </si>
  <si>
    <t>Egyéb beruházás</t>
  </si>
  <si>
    <t>Egyenleg</t>
  </si>
  <si>
    <t xml:space="preserve">   - Orosházi Többcélú Kistérségi Társulás tagdíj</t>
  </si>
  <si>
    <t>2. Ingatlanértékesítés</t>
  </si>
  <si>
    <t>Ingatlanértékesítés</t>
  </si>
  <si>
    <t xml:space="preserve">   - Orosházi Többcélú Kistérségi Társulás orvosi ügyelet fenntartása</t>
  </si>
  <si>
    <t>Egyéb költségek  (költségtérítés)</t>
  </si>
  <si>
    <t xml:space="preserve">Egyéb szolgáltatások </t>
  </si>
  <si>
    <t xml:space="preserve">   - közgyógyellátás (méltányossági)</t>
  </si>
  <si>
    <t>1. Hosszúlejáratú hitelek felvétele</t>
  </si>
  <si>
    <t>Kulturális, szabadidős tevékenység szolgáltatási kiadásai</t>
  </si>
  <si>
    <t>1. Beruházási kiadások</t>
  </si>
  <si>
    <t>2. Felújítási kiadások</t>
  </si>
  <si>
    <t xml:space="preserve">           Étkeztetési térítési díj bevétel</t>
  </si>
  <si>
    <t xml:space="preserve">             Bérleti díjak</t>
  </si>
  <si>
    <t>3.1. Egészségbiztosítási alaptól átvett pénzeszközök</t>
  </si>
  <si>
    <t>3.1.1. védőnői szolgálatra</t>
  </si>
  <si>
    <t>3.1.2. iskolaegészségügyi ellátásra</t>
  </si>
  <si>
    <t>3.1.3. gyermekorvosi ellátásra</t>
  </si>
  <si>
    <t>2.1.1. Rendszeres szociális segély</t>
  </si>
  <si>
    <t>2.1.2. Foglalkoztatást helyettesítő támogatás</t>
  </si>
  <si>
    <t>082042 Könyvtári állomány gyarapítása, nyilvántartása</t>
  </si>
  <si>
    <t>074032 Ifjúság-egészségügyi gondozás</t>
  </si>
  <si>
    <t>2.1.3. Lakásfenntartási támogatás</t>
  </si>
  <si>
    <t>1.2.1.4. Óvodai a nevelő munkát segítők bértámogatása (4 hóra)</t>
  </si>
  <si>
    <t>3.2.1 Mezőőri szolgálat támogatása (önként vállalt önkormányzati feladat)</t>
  </si>
  <si>
    <t xml:space="preserve">3.2.2. Prémium évek program átvett pénzeszköz </t>
  </si>
  <si>
    <t>Kötelező önkormányzati feladatok</t>
  </si>
  <si>
    <t>Államigazgatási feladatok</t>
  </si>
  <si>
    <t>Nagyszénás Nagyközség Önkormányzata összesen:</t>
  </si>
  <si>
    <t xml:space="preserve">   - Bursa ösztöndíj</t>
  </si>
  <si>
    <t xml:space="preserve">   - újszülött gyermekek egyszeri támogatás</t>
  </si>
  <si>
    <t>1. Önkormányzatok feladatalapú támogatásai</t>
  </si>
  <si>
    <t xml:space="preserve">   - Civil szervezetek támogatása</t>
  </si>
  <si>
    <t>Polgármesteri Hivatal összesen:</t>
  </si>
  <si>
    <t>NAGYSZÉNÁS NAGYKÖZSÉG ÖNKORMÁNYZATA</t>
  </si>
  <si>
    <t>1.2. Polgármesteri Hivatal</t>
  </si>
  <si>
    <t>1.3. Gondozási Központ</t>
  </si>
  <si>
    <t>Nagyszénás Nagyközség Önkormányzata</t>
  </si>
  <si>
    <t>III. ÖNKORMÁNYZATI TARTALÉKOK</t>
  </si>
  <si>
    <t>Közvetített szolgáltatások (telefon)</t>
  </si>
  <si>
    <t>3.2.3. Hosszabb időtartamú közfoglalkoztatás támogatása</t>
  </si>
  <si>
    <t>III. Működési célú költségvetési támogatások</t>
  </si>
  <si>
    <t xml:space="preserve">2. Önkormányzat központi támogatásai egyes szociális feladatokhoz </t>
  </si>
  <si>
    <t>Bevételek</t>
  </si>
  <si>
    <t>1.1. Helyi önkormányzatok általános támogatása</t>
  </si>
  <si>
    <t>1.1.1. Önkormányzati hivatal működésének támogatása</t>
  </si>
  <si>
    <t>1.1.2. Település üzemeltetéshez kapcsolódó feladatok támogatása (zöldterület-gazdálkodás,      közvilágítás, köztemető és közút fenntartás)</t>
  </si>
  <si>
    <t>1.2. Települési önkormányzatok köznevelési feladatainak támogatása</t>
  </si>
  <si>
    <t>1.3. Települési önkormányzatok szociális és gyermekjóléti feladatainak támogatása</t>
  </si>
  <si>
    <t>1.3.3 .Gyermekétkeztetés támogatása</t>
  </si>
  <si>
    <t>1.3.2.5. Bölcsődei ellátás (önként vállalt önkormányzati feladat)</t>
  </si>
  <si>
    <t>2.5.5. Lakáshoz jutás feladatai (100%-a)</t>
  </si>
  <si>
    <t>2.1. Egyes jövedelempótló támogatások kiegészítése</t>
  </si>
  <si>
    <t xml:space="preserve">                                                                   Kiadások</t>
  </si>
  <si>
    <t xml:space="preserve">1. Személyi juttatások </t>
  </si>
  <si>
    <t>2. Munkaadókat terhelő járulékok</t>
  </si>
  <si>
    <t xml:space="preserve">3. Dologi kiadások </t>
  </si>
  <si>
    <t>Szociális hozzájárulási adó</t>
  </si>
  <si>
    <t xml:space="preserve">   - foglalkozást helyettesítő támogatás</t>
  </si>
  <si>
    <t>1. Működési célú hitel felvétele pénzintézettől</t>
  </si>
  <si>
    <t>2. Működési célú  hitel visszafizetése pénzintézetnek</t>
  </si>
  <si>
    <t>1. Felhalmozási célú hitel felvétele pénzintézettől</t>
  </si>
  <si>
    <t>2. Felhalmozási célú hitel visszafizetése pénzintézetnek</t>
  </si>
  <si>
    <t>Cafetéria juttatás</t>
  </si>
  <si>
    <t xml:space="preserve">            Konyha energia továbbszámlázás</t>
  </si>
  <si>
    <t>4.1. Működési célú pénzeszköz átadás ÁHT-n kívülre</t>
  </si>
  <si>
    <t>4.1.1.1. társadalmi szervek támogatása</t>
  </si>
  <si>
    <t>4.1.1.2. egyéb szervezetek támogatása</t>
  </si>
  <si>
    <t xml:space="preserve">                                       Költségvetés egyenlegének finanszírozási módja</t>
  </si>
  <si>
    <t>1.3.2.1. Családsegítő  szolgálat támogatása</t>
  </si>
  <si>
    <t xml:space="preserve">066020 Város-, és községgazdálkodási egyéb szolgáltatások </t>
  </si>
  <si>
    <t>091110  Óvodai nevelés, ellátás szakmai feladatai</t>
  </si>
  <si>
    <t>Könyvbeszerzés (könyvtári)</t>
  </si>
  <si>
    <t>Szakmai tevékenységet segítő szolgáltatások (Nagyszénás újság)</t>
  </si>
  <si>
    <t xml:space="preserve">1. Működési célú bevételek összesen: </t>
  </si>
  <si>
    <t xml:space="preserve">1. Felhalmozási célú bevételek összesen: </t>
  </si>
  <si>
    <t>V.  MÜKÖDÉSI CÉLÚ FINANSZÍROZÁSI MŰVELETEK EGYENLEGE (1.-2.):</t>
  </si>
  <si>
    <t xml:space="preserve">   - Orosháza és Térsége Ivóvízminőség-javító Önkormányzati Társulás működési hoz.</t>
  </si>
  <si>
    <t xml:space="preserve">1. Általános tartalék </t>
  </si>
  <si>
    <t>VI.  FELHALMOZÁSI CÉLÚ FINANSZÍROZÁSI MŰVELETEK EGYENLEGE (1.-2.)</t>
  </si>
  <si>
    <t>1.2.1.1. Óvoda pedagógusok bértámogatása (8 hóra)</t>
  </si>
  <si>
    <t>1.2.1.3. Óvoda pedagógusok bértámogatása (4 hóra)</t>
  </si>
  <si>
    <t>1.2.1.2. Óvodai a nevelő munkát segítők bértámogatása (8 hóra)</t>
  </si>
  <si>
    <t>II. FELHALMOZÁSI, FELÚJÍTÁSI KIADÁSOK</t>
  </si>
  <si>
    <t>Polgármesteri Hivatal</t>
  </si>
  <si>
    <t>(Ft-ban)</t>
  </si>
  <si>
    <t>POLGÁRMESTERI HIVATAL</t>
  </si>
  <si>
    <t xml:space="preserve">             Kiszámlázott termékek Áfá-ja</t>
  </si>
  <si>
    <t>4.1.2. Polgármesteri Hivatal</t>
  </si>
  <si>
    <t xml:space="preserve">4.1.2.1. rendszeres pénzbeli ellátások </t>
  </si>
  <si>
    <t xml:space="preserve">             Alaptev.összefüggő egyéb bev.</t>
  </si>
  <si>
    <t xml:space="preserve">             Kamatbevétel, hozadék</t>
  </si>
  <si>
    <t xml:space="preserve">             Telefon térítés</t>
  </si>
  <si>
    <t xml:space="preserve">             Kiszámlázott term. és szolg. Áfá-ja</t>
  </si>
  <si>
    <t xml:space="preserve">             Orvosi rendelők közüzemi költségátalány díja</t>
  </si>
  <si>
    <t xml:space="preserve">            Közterülethasználat</t>
  </si>
  <si>
    <t xml:space="preserve">            Anyageladás</t>
  </si>
  <si>
    <t xml:space="preserve">            Kiszámlázott term. és szolg. Áfá-ja</t>
  </si>
  <si>
    <t xml:space="preserve">            Köztemetés, hagyaték</t>
  </si>
  <si>
    <t>Gondozási Központ</t>
  </si>
  <si>
    <t xml:space="preserve">            Telefon térítés</t>
  </si>
  <si>
    <t xml:space="preserve">           </t>
  </si>
  <si>
    <t xml:space="preserve">           Intézményi ellátási díjak</t>
  </si>
  <si>
    <t xml:space="preserve">           Kiszámlázott term. és szolg. Áfá-ja</t>
  </si>
  <si>
    <t xml:space="preserve">           Kiszámlázott termékek és szolg. Áfá-ja</t>
  </si>
  <si>
    <t>Társadalmi szervezetek támogatásai</t>
  </si>
  <si>
    <t xml:space="preserve">   - Sport támogatása</t>
  </si>
  <si>
    <t>Egyéb szervezetek támogatása</t>
  </si>
  <si>
    <t xml:space="preserve">            Földhasználati díjak</t>
  </si>
  <si>
    <t xml:space="preserve">Rendszeres pénzbeli ellátások </t>
  </si>
  <si>
    <t xml:space="preserve">Falunap szolgáltatási kiadásai </t>
  </si>
  <si>
    <t xml:space="preserve">   - rendszeres szociális támogatások</t>
  </si>
  <si>
    <t xml:space="preserve">   - lakásfenntartási támogatás (normatív)</t>
  </si>
  <si>
    <t>Eseti pénzbeli ellátások</t>
  </si>
  <si>
    <t xml:space="preserve">   - átmeneti segély a kötelező szemétszállítás kompenzálásához</t>
  </si>
  <si>
    <t xml:space="preserve">   - köztemetés</t>
  </si>
  <si>
    <t>Pénzeszközátadás, egyéb támogatás mindösszesen</t>
  </si>
  <si>
    <t>SZEMÉLYI JUTTATÁSOK ÖSSZESEN:</t>
  </si>
  <si>
    <t>Egészségügyi hozzájárulás</t>
  </si>
  <si>
    <t>MUNKAADÓKAT TERHELŐ JÁRULÉKOK ÖSSZESEN:</t>
  </si>
  <si>
    <t>SZAKFELADAT ÖSSZESEN:</t>
  </si>
  <si>
    <t>Könyvbeszerzés</t>
  </si>
  <si>
    <t>Folyóirat beszerzés</t>
  </si>
  <si>
    <t>Gyógyszer beszerzés</t>
  </si>
  <si>
    <t>Egyéb szakmai anyagok</t>
  </si>
  <si>
    <t>Hajtó- és kenőanyagok</t>
  </si>
  <si>
    <t xml:space="preserve">Egyéb üzemeltetési anyag </t>
  </si>
  <si>
    <t xml:space="preserve">Szakmai anyagok beszerzése összesen </t>
  </si>
  <si>
    <t xml:space="preserve">Üzemeltetési anyagok beszerzése összesen </t>
  </si>
  <si>
    <t>Kommunikációs szolgáltatások összesen</t>
  </si>
  <si>
    <t>Telefon díjak</t>
  </si>
  <si>
    <t>Informatikai szolgáltatások (internet, szoftverek költségei)</t>
  </si>
  <si>
    <t>Közüzemi díjak összesen</t>
  </si>
  <si>
    <t>Szakmai tevékenységet segítő szolgáltatások</t>
  </si>
  <si>
    <t>Kiküldetések kiadásai</t>
  </si>
  <si>
    <t>Szolgáltatási kiadások összesen</t>
  </si>
  <si>
    <t>Kiküldetések és reklám propaganda kiadások összesen</t>
  </si>
  <si>
    <t>Kamatkiadások</t>
  </si>
  <si>
    <t>Egyéb szolgáltatások (szállítás, szemétszállítás, számlavezetés)</t>
  </si>
  <si>
    <t>Egyéb dologi kiadások (különféle díjak)</t>
  </si>
  <si>
    <t>Különféle befizetések és egyéb dologi kiadások összesen</t>
  </si>
  <si>
    <t>DOLOGI  KIADÁSOK ÖSSZESEN:</t>
  </si>
  <si>
    <t>Gázenergia díjak</t>
  </si>
  <si>
    <t>Villamosenergia díjak</t>
  </si>
  <si>
    <t>Fizetendő áfa értékesítés után</t>
  </si>
  <si>
    <t>Működési célú előzetesen felszámított áfa</t>
  </si>
  <si>
    <t>Karbantartási, kisjavítási szolgáltatások</t>
  </si>
  <si>
    <t>1.1.2. Termálvíz-hasznosítási program II. ütem kiadásai</t>
  </si>
  <si>
    <t>1.1.2. Termálvíz-hasznosítási program támogatása (KEOP)</t>
  </si>
  <si>
    <t>1.1.3. Termálvíz-hasznosítási program támogatása (EU önerő alap)</t>
  </si>
  <si>
    <t>1.1. Hosszúlejáratú fejlesztési hitel felvétele (Termálvíz-hasznosítási program)</t>
  </si>
  <si>
    <t>2015. évi  működési célú pénzeszközátadás, egyéb támogatás, ellátottak pénzbeni juttatásai (Ft)</t>
  </si>
  <si>
    <t xml:space="preserve">    - önkormányzati segély</t>
  </si>
  <si>
    <t xml:space="preserve">4.1.1.3. rendszeres pénzbeli ellátások </t>
  </si>
  <si>
    <t>4.1.1.4. eseti  pénzbeli ellátások</t>
  </si>
  <si>
    <t>072111 Házi orvosi alapellátás</t>
  </si>
  <si>
    <t xml:space="preserve">   - Orosházi Hulladékgazdálkodási Kft. kompenzáció</t>
  </si>
  <si>
    <t>Jubileumi jutalom</t>
  </si>
  <si>
    <t>Bérleti és lizingdíjak</t>
  </si>
  <si>
    <t>Működési célú pénzeszközátadás</t>
  </si>
  <si>
    <t>Szakmai tevékenységet segítő szolgáltatások (úthálózat karbantartás)</t>
  </si>
  <si>
    <t>2.1. Nagyszénás Nagyközség Önkormányzata</t>
  </si>
  <si>
    <t>045160 Közutak, hidak, alagutak üzemeltetése, fenntartása</t>
  </si>
  <si>
    <t>064010 Közvilágítás</t>
  </si>
  <si>
    <t>072112 Házi orvosi alapellátás</t>
  </si>
  <si>
    <t>072311 Fogorvosi alapellátás</t>
  </si>
  <si>
    <t>066020 Város- és községgazdálkodási egyéb szolgáltatások</t>
  </si>
  <si>
    <t>011130 Önkormányzatok és  önkormányzati hivatalok jogalkotó és általános igazgatási tevékenysége</t>
  </si>
  <si>
    <t>082091 Közművelődés-közösségi és társadalmi részvétel fejlesztése</t>
  </si>
  <si>
    <t>013360 Más szerv részére végzett pénzügyi-gazdálkodási, üzemeltetési, egyéb szolgáltatások</t>
  </si>
  <si>
    <t>074031 Család és nővédelmi egészségügyi gondozás</t>
  </si>
  <si>
    <t>102030 Idősek, demens betegek nappali ellátása</t>
  </si>
  <si>
    <t>107052 Házi segítségnyújtás</t>
  </si>
  <si>
    <t>107054 Családsegítés</t>
  </si>
  <si>
    <t>107051 Szociális étkeztetés</t>
  </si>
  <si>
    <t>NAGYSZÉNÁSI ÖNKORMÁNYZATI ÓVODA</t>
  </si>
  <si>
    <t>096010 Óvodai intézményi étkeztetés</t>
  </si>
  <si>
    <t>DOLOGI KIADÁSOK ÖSSZESEN:</t>
  </si>
  <si>
    <t>091140  Óvodai nevelés, ellátás működtetési feladatai</t>
  </si>
  <si>
    <t>096020 Iskolai intézményi étkeztetés</t>
  </si>
  <si>
    <t>1.5. Czabán Samu Művelődési Ház és Könyvtár</t>
  </si>
  <si>
    <t>1.4. Nagyszénási Önkormányzati Óvoda</t>
  </si>
  <si>
    <t>1.2.1. Óvoda pedagógusok és a nevelő munkát segítők bértámogatása</t>
  </si>
  <si>
    <t>1.2.2. Óvodaműködtetési támogatás</t>
  </si>
  <si>
    <t xml:space="preserve">1.3.2. Szociális és gyermekjóléti alapszolgáltatás általános feladatai </t>
  </si>
  <si>
    <t>900090 Vállalkozói tevékenységek kiadásai és bevételei (Termálvíz-hasznosítás)</t>
  </si>
  <si>
    <t>1. Felhalmozási célú támogatásértékű bevételek ÁHT-n belülről</t>
  </si>
  <si>
    <t>I. ÖNKORMÁNYZAT KÖLTSÉGVETÉS MŰKÖDÉSI KIADÁSAI</t>
  </si>
  <si>
    <t xml:space="preserve">4. Működési célú pénzeszköz átadás, egyéb támogatás </t>
  </si>
  <si>
    <t>PÉNZESZKÖZ ÁTADÁS, EGYÉB TÁMOGATÁS:</t>
  </si>
  <si>
    <t>GONDOZÁSI KÖZPONT</t>
  </si>
  <si>
    <t>Irodaszer, nyomtatvány</t>
  </si>
  <si>
    <t>Munkaruha, védőruha</t>
  </si>
  <si>
    <t xml:space="preserve">             Lakástámogatás visszafizetése</t>
  </si>
  <si>
    <t>Vásárolt élelmezés</t>
  </si>
  <si>
    <t>1.1.1. Szennyvízberuházás II. ütem kiadásai</t>
  </si>
  <si>
    <t xml:space="preserve">            Iskolai helyiségek bérbeadása</t>
  </si>
  <si>
    <t xml:space="preserve">           Áfa visszatérülés</t>
  </si>
  <si>
    <t>MŰKÖDÉSI CÉLÚ  BEVÉTELEK  ÖSSZESEN: (I+II+III)</t>
  </si>
  <si>
    <t>IV. Felhalmozási célú véglegesen átvett pénzeszközök</t>
  </si>
  <si>
    <t xml:space="preserve">1.1. Nagyszénás Nagyközség Önkormányzata </t>
  </si>
  <si>
    <t>1.1.1. Szennyvízberuházás támogatása (KEOP)</t>
  </si>
  <si>
    <t>(közműköltség, irodaszer, nyomtatvány, foglalkozás eü, belső ell., étkeztetés költsége,</t>
  </si>
  <si>
    <t xml:space="preserve">1.2.1.5. Óvodapedagógusok kiegészítő támogatása (11 hóra) </t>
  </si>
  <si>
    <t>1.3.1. Települési önkormányzatok szociális feladatainak egyéb támogatása</t>
  </si>
  <si>
    <t>1.3.2.2. Szociális étkeztetés (55360Ft/fő x 90 fő )</t>
  </si>
  <si>
    <t>1.3.2.3. Házi segítségnyújtás  (145000Ft/fő x 82 fő )</t>
  </si>
  <si>
    <t>1.3.2.4. Időskorúak nappali intézményi ellátása  (109000 Ft/fő x 103 fő)</t>
  </si>
  <si>
    <t>1.4. Kulturális feladatok támogatása (1140 Ft/fő x 5209 fő)</t>
  </si>
  <si>
    <t>Nagyszénási Önkormányzati Óvoda</t>
  </si>
  <si>
    <t>Czabán Samu Művelődési Ház és Könyvtár</t>
  </si>
  <si>
    <t>910121 Könyvtári állomány gyarapítása, nyilvántartása</t>
  </si>
  <si>
    <t>1.1. Nagyszénás Nagyközség Önkormányzata</t>
  </si>
  <si>
    <t xml:space="preserve">4.1.1. Nagyszénás Nagyközség Önkormányzata </t>
  </si>
  <si>
    <t xml:space="preserve">            Mezőőri járulék (nem kötelező önkormányzati feladat)</t>
  </si>
  <si>
    <t>Önként vállalt önkormányzati feladatok</t>
  </si>
  <si>
    <t>Víz- és csatornadíj</t>
  </si>
  <si>
    <t>Községi rendezvények szolgáltatási kiadásai</t>
  </si>
  <si>
    <t>3. Felhalmozási célú pénzeszközátadás</t>
  </si>
  <si>
    <t>MŰKÖDÉSI ÉS FELHALMOZÁSI CÉLÚ  KIADÁSOK ÉS TARTALÉKOK  ÖSSZESEN: (I+II+III)</t>
  </si>
  <si>
    <t xml:space="preserve">            Egyéb intézményi bev. (közműdíjak megtérülése )</t>
  </si>
  <si>
    <t xml:space="preserve">            Egyéb intézményi bev. (gépjármű használat )</t>
  </si>
  <si>
    <t>3. Felhalmozási célú kiadásokkal kapcsolatos ÁFA visszatérülés</t>
  </si>
  <si>
    <t xml:space="preserve">3.1. Nagyszénás Nagyközség Önkormányzata </t>
  </si>
  <si>
    <t>3.1.1. Szennyvízberuházás ÁFA visszaigénylése</t>
  </si>
  <si>
    <t>2. Felhalmozási célú támogatásértékű bevételek ÁHT-n kívülről</t>
  </si>
  <si>
    <t xml:space="preserve">2.1.  Nagyszénás Nagyközség Önkormányzata </t>
  </si>
  <si>
    <t>2.1.1. Víziközmű Társulat hozzájárulása a szennyvízberuházáshoz</t>
  </si>
  <si>
    <t>104030 Gyermekek napközbeni ellátása (Bölcsőde)</t>
  </si>
  <si>
    <t xml:space="preserve">2. Fejlesztési céltartalék </t>
  </si>
  <si>
    <t>3.1. Nagyszénás Nagyközség Önkormányzata</t>
  </si>
  <si>
    <t xml:space="preserve">2. Működési célú kiadások és  tartalékok összesen: </t>
  </si>
  <si>
    <t xml:space="preserve">2. Felhalmozási célú kiadások  összesen: </t>
  </si>
  <si>
    <t xml:space="preserve">            Intézményi ellátási díjak</t>
  </si>
  <si>
    <t xml:space="preserve">           Helyiségek bérbeadása</t>
  </si>
  <si>
    <t xml:space="preserve">           Egyéb bevétel</t>
  </si>
  <si>
    <t xml:space="preserve">           Alaptev. körében végzett szolgáltatás</t>
  </si>
  <si>
    <t>1.2.1. Kisértékű tárgyieszköz beruházás</t>
  </si>
  <si>
    <t>1.3.1. Kisértékű tárgyieszköz beruházás</t>
  </si>
  <si>
    <t>1.4.1. Kisértékű tárgyieszköz beruházás</t>
  </si>
  <si>
    <t>szakmai készlet, szakmai szolgáltatások, különféle kiadások, befizetések, ÁFA)</t>
  </si>
  <si>
    <t>I. A KÖLTSÉGVETÉS EGYENLEGE A MÜKÖDÉSI BEVÉTELEK,  KIADÁSOK   ÉS A TARTALÉKOK ALAPJÁN(1. -2.):</t>
  </si>
  <si>
    <t>III. A KÖLTSÉGVETÉS EGYENLEGE A MÜKÖDÉSI ÉS FELMOZÁSI BEVÉTELEK ÉS KIADÁSOK  ÉS TARTALÉKOK  ALAPJÁN (I+II):</t>
  </si>
  <si>
    <t>II. A  KÖLTSÉGVETÉS EGYENLEGE A FELHALMOZÁSI BEVÉTELEK, KIADÁSOK  ALAPJÁN(1. -2.):</t>
  </si>
  <si>
    <t>Tartalékok</t>
  </si>
  <si>
    <t>1.1.3. Kisértékű tárgyieszköz beruházás</t>
  </si>
  <si>
    <t>1.1.4. Kerékpár tároló kialakítása a házisegítségnyújtás telephelyén</t>
  </si>
  <si>
    <t>Egyéb költségek ( számla ktg. térítés)</t>
  </si>
  <si>
    <t>Egyéb költségek (számla ktg. térítés)</t>
  </si>
  <si>
    <t>POLGÁRMESTERI HIVATAL ÖSSZESEN: (polgármester, 18 fő kt.,  9 fő Mt., 1 prémium éves alkalmazott)</t>
  </si>
  <si>
    <t xml:space="preserve">GONDOZÁSI KÖZPONT ÖSSZESEN: ( 30 fő közalk. + 1 fő részm. közalk. + 8 fő támogatott dolgozó) </t>
  </si>
  <si>
    <t>3. melléklet</t>
  </si>
  <si>
    <t>Irodaszer beszerzés</t>
  </si>
  <si>
    <t>Egyéb üzemeltetési anyagok</t>
  </si>
  <si>
    <t>Fizetendő Áfa</t>
  </si>
  <si>
    <t>Egyéb sajátos juttatások</t>
  </si>
  <si>
    <t>Egyéb üzemeltetési anyag</t>
  </si>
  <si>
    <t>Üzemeltetési anyagok beszerzése összesen</t>
  </si>
  <si>
    <t>Egyéb szolgáltatások (szállítás, szemétszállítás, számlavezetés</t>
  </si>
  <si>
    <t>Különféle befizetések és egydologi kiadások összesen</t>
  </si>
  <si>
    <t>041237 Közfoglalkoztatási mintaprogram</t>
  </si>
  <si>
    <t>Egyéb juttatások</t>
  </si>
  <si>
    <t xml:space="preserve">Törvény szerinti illetmények </t>
  </si>
  <si>
    <t>Egyén üzemeltetési anyag beszerzés</t>
  </si>
  <si>
    <t>Karbantartás kijavítás</t>
  </si>
  <si>
    <t>Fizetendő</t>
  </si>
  <si>
    <t>Egészségügyi hozzájurás</t>
  </si>
  <si>
    <t>Irodaszer nyomtatvány</t>
  </si>
  <si>
    <t>Egyéb dologi kiadások</t>
  </si>
  <si>
    <t>081061 Szabadidős park, fürdő és strandszolgáltatás</t>
  </si>
  <si>
    <t>Üzemeltetési anyag</t>
  </si>
  <si>
    <t>Irodaszer</t>
  </si>
  <si>
    <t>Villamos energia díjak</t>
  </si>
  <si>
    <t>Egyéb üzemeltetési szolgáltatások</t>
  </si>
  <si>
    <t>Gyógyszerbeszerzés</t>
  </si>
  <si>
    <t>Fizetendő ÁFA</t>
  </si>
  <si>
    <t>Egyéb díjak</t>
  </si>
  <si>
    <t>Közlekedési költségtérítés</t>
  </si>
  <si>
    <t>Élelmiszer beszerzés</t>
  </si>
  <si>
    <t>041232 Közfoglalkoztatás</t>
  </si>
  <si>
    <t xml:space="preserve">            Varrodai bevétel (hímzés)</t>
  </si>
  <si>
    <t xml:space="preserve">            Kiszámlázott term.és szolg.Áfá-ja</t>
  </si>
  <si>
    <t>680001-1. Lakóingatlan bérbeadás, üzemeltetése</t>
  </si>
  <si>
    <t>680002-1. Nem lakóingatlan bérbeadás, üzemeltetése</t>
  </si>
  <si>
    <t>107060-1. Köztemetés</t>
  </si>
  <si>
    <t>Egyéb sajátos juttatás</t>
  </si>
  <si>
    <t>Táppénzhozzájárulás</t>
  </si>
  <si>
    <t>egyéb juttatások</t>
  </si>
  <si>
    <t>041233 Hosszabb időtartamú közfoglalkoztatás</t>
  </si>
  <si>
    <t>Vásárolt élelmezés (Iskola)</t>
  </si>
  <si>
    <t>Vásárolt élelmezés (Óvoda)</t>
  </si>
  <si>
    <t>096015 Gyermek étkeztetés köznevelési intézményben</t>
  </si>
  <si>
    <t>Reprezentációs kiadások</t>
  </si>
  <si>
    <t>Élelmiszerbeszerzés</t>
  </si>
  <si>
    <t>Karbantartás, kisjavítás</t>
  </si>
  <si>
    <t>Munkaruha</t>
  </si>
  <si>
    <t>Élellmiszerbeszerzés kiadásai</t>
  </si>
  <si>
    <t>Egyéb bérleti és lízing díjak</t>
  </si>
  <si>
    <t>-</t>
  </si>
  <si>
    <t xml:space="preserve">             Árukészlet értékesítés</t>
  </si>
  <si>
    <t xml:space="preserve">             Környezet terhelési díj</t>
  </si>
  <si>
    <t xml:space="preserve">             ÁHT-n kívül továbbszámlázott szolg.</t>
  </si>
  <si>
    <t xml:space="preserve">             ÁHT-n belül továbbszámlázott szolg.</t>
  </si>
  <si>
    <t xml:space="preserve">             Nagyszénási Víziközmű Társulattól tartozására befolyt összeg</t>
  </si>
  <si>
    <t xml:space="preserve">             Jegybevétel</t>
  </si>
  <si>
    <t xml:space="preserve">             Kamatbevétel</t>
  </si>
  <si>
    <t xml:space="preserve">             Egyéb  különféle működési bevétel</t>
  </si>
  <si>
    <t xml:space="preserve">             Áru- és készletértékesítés</t>
  </si>
  <si>
    <t xml:space="preserve">           Kamatbevétel</t>
  </si>
  <si>
    <t xml:space="preserve">            Egyéb bevétel</t>
  </si>
  <si>
    <t xml:space="preserve">           Áru- és készletértékesítés</t>
  </si>
  <si>
    <t xml:space="preserve">           Egyéb szolgáltatás</t>
  </si>
  <si>
    <t>910502 Közművelődési intézmények, közösségi színterek  működtetése</t>
  </si>
  <si>
    <t xml:space="preserve">    -Gyomai üdülő támogatása</t>
  </si>
  <si>
    <t xml:space="preserve">    -rendszeres gyermekvédelmi kedvezményben részesülők támogatása</t>
  </si>
  <si>
    <t xml:space="preserve">   - saját hatáskörben adott pénzbeli ellátás </t>
  </si>
  <si>
    <t xml:space="preserve">   - lakásvásárlási támogatás</t>
  </si>
  <si>
    <t>Egyéb befizetések</t>
  </si>
  <si>
    <t>Rendszeres pénzbeli szoc.segély</t>
  </si>
  <si>
    <t>1.1.7.Traktor vásárlás START-munka program keretében</t>
  </si>
  <si>
    <t>1.1.8. Járdaberuházás</t>
  </si>
  <si>
    <t>1.1.9. Kisértékű tárgyieszköz beszerzés közcélú foglalkoztatáshoz</t>
  </si>
  <si>
    <t>1.1.10. Terepjáró vásárlás</t>
  </si>
  <si>
    <t>1.1.11. Iskola felsőtagozat energetikai felújítása</t>
  </si>
  <si>
    <t>1.1.12. Mobilgarázs Polgármesteri Hivatal</t>
  </si>
  <si>
    <t>1.1.6 .Nagyszénás, Bajcsy u. 35. szám alatti ingatlan megvásárlása</t>
  </si>
  <si>
    <t>1. ÁHT-n belüli megelőlegezés visszafizetése</t>
  </si>
  <si>
    <t>2. Rövid lejáratú hitelek visszafizetése</t>
  </si>
  <si>
    <t xml:space="preserve">IV. BELFÖLDI FINANSZÍROZÁSI KIADÁSOK </t>
  </si>
  <si>
    <t>1.5. Iskolafenntartás</t>
  </si>
  <si>
    <t>1.1.6. MVH támogatás terpjáró vásárlásához</t>
  </si>
  <si>
    <t>1.1.7.  Közművelődési érdekeltségnövelő támogatása</t>
  </si>
  <si>
    <t xml:space="preserve">4. Felhalmozási célú átvett pénzeszközök </t>
  </si>
  <si>
    <t>4.1. Nagyszénási Önkormányzati Óvoda</t>
  </si>
  <si>
    <t>4.1.1.  Háztartásoktól átvett pénzeszközök</t>
  </si>
  <si>
    <t>3. Tárgyieszköz értékesítés- Nagyszénási Önkormányzati Óvoda -Mazda</t>
  </si>
  <si>
    <t>2. Rövid lejáratú hitelek felvétele</t>
  </si>
  <si>
    <t xml:space="preserve">2.1. Rövid lejáratú hitelek felvétele  -  terepjáró vásárlás </t>
  </si>
  <si>
    <t>2.2. Folyószámla hitel felvétele</t>
  </si>
  <si>
    <t>2.4. 2016. évi nettó finanszírozás megelőlegezése</t>
  </si>
  <si>
    <t>4.1.1.5. rendszeres pénzbeli szoc.segély</t>
  </si>
  <si>
    <t>4.1..1.6. egyéb befizetések</t>
  </si>
  <si>
    <t>1.3.3. Környezetterhelési bírság 30%-a</t>
  </si>
  <si>
    <t>3.2.4.  Helyi önk. kiegészítő támogatásai/Bérkompenzáció</t>
  </si>
  <si>
    <t>3.2.5.  Helyi önk. kiegészítő támogatásai/Szoc. ágazati pótlék</t>
  </si>
  <si>
    <t>3.2.6.  Nyári gyermekétkeztetés támogatásai</t>
  </si>
  <si>
    <t>3.2.7  Könyvtári érdekeltségnövelő támogatás</t>
  </si>
  <si>
    <t>3.2.8.  Helyi önk. kiegészítő támogatásai/szovciális kiegészítő pótlék</t>
  </si>
  <si>
    <t>3.2.9.Gyermekvédelmi támogatások bevételei</t>
  </si>
  <si>
    <t>1.1.5. Közcélú foglalkoztatási támogatás felhalmozási része</t>
  </si>
  <si>
    <t>2.3. Termálvízhasznosítási program EU-önerő megelőlegezési hitel felvétele</t>
  </si>
  <si>
    <t>1.4.2. Szennyvízbekötés intézményeknél</t>
  </si>
  <si>
    <t>1.5.2. Hangtechnika beszerzése</t>
  </si>
  <si>
    <t>2.1.3. Nagyszénás, Bajcsy u. 35. szám alatti ingatlan felújítása</t>
  </si>
  <si>
    <t>2.1.2. Táncsics utcai óvoda öltöző burkolat és konyha felújítása</t>
  </si>
  <si>
    <t>3. Óvadéki tartalék</t>
  </si>
  <si>
    <t xml:space="preserve">            ÁHT-n kívüli szolg. (légiszúnyogírtás továbbszámlázása)</t>
  </si>
  <si>
    <t xml:space="preserve">             Termálvíz projekt bevétele</t>
  </si>
  <si>
    <t xml:space="preserve">            Áfa vissztérülés</t>
  </si>
  <si>
    <t xml:space="preserve">            Kamatbevétel</t>
  </si>
  <si>
    <t xml:space="preserve">           Játszócsoport bevétele</t>
  </si>
  <si>
    <t xml:space="preserve">           Áfa bevétel, visszatérülés</t>
  </si>
  <si>
    <t xml:space="preserve">FORRÁSOK ÖSSZESEN (=G+H+I+J+K) </t>
  </si>
  <si>
    <t xml:space="preserve">K)        PASSZÍV IDŐBELI ELHATÁROLÁSOK (=K/1+K/2+K/3) </t>
  </si>
  <si>
    <t>K/3        Halasztott eredményszemléletű bevételek</t>
  </si>
  <si>
    <t>K/2        Költségek, ráfordítások passzív időbeli elhatárolása</t>
  </si>
  <si>
    <t>K/1        Eredményszemléletű bevételek passzív időbeli elhatárolása</t>
  </si>
  <si>
    <t>J)        KINCSTÁRI SZÁMLAVEZETÉSSEL KAPCSOLATOS ELSZÁMOLÁSOK</t>
  </si>
  <si>
    <t>I)        EGYÉB SAJÁTOS FORRÁSOLDALI ELSZÁMOLÁSOK</t>
  </si>
  <si>
    <t xml:space="preserve">H)        KÖTELEZETTSÉGEK (=H/I+H/II+H/III) </t>
  </si>
  <si>
    <t>H/III        Kötelezettség jellegű sajátos elszámolások (=H)/III/1+…+H)/III/7) (146=139+...+145)</t>
  </si>
  <si>
    <t>H/III/8       Letétre, megőrzésre,fedezetkezelésre átvett pénzeszközök, biztosítékok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</si>
  <si>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</si>
  <si>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</si>
  <si>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</si>
  <si>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</si>
  <si>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</si>
  <si>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</si>
  <si>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</si>
  <si>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(=H/II/1+…H/II/9) </t>
  </si>
  <si>
    <t>H/II/9h        - ebből: költségvetési évévet követően esedékes kötelezettségek külföldi értékpapírok beváltására</t>
  </si>
  <si>
    <t>H/II/9g        - ebből: költségvetési évet követően esedékes kötelezettségek befektetési célú belföldi értékpapírok beváltására</t>
  </si>
  <si>
    <t>H/II/9f        - ebből: költségvetési évet követően esedékes kötelezettségek forgatási célú belföldi értékpapírok beváltására</t>
  </si>
  <si>
    <t>H/II/9e        - ebből: költségvetési évet követően esedékes kötelezettségek külföldi hitelek, kölcsönök törlesztésére</t>
  </si>
  <si>
    <t>H/II/9d        - ebből: költségvetési évet követően esedékes kötelezettségek rövid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</si>
  <si>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</si>
  <si>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H/II/9b        - ebből: költségvetési évet követően esedékes kötelezettségek hosszú lejáratú hitelek, kölcsönök törlesztésére</t>
  </si>
  <si>
    <t>H/II/9a        - ebből: költségvetési évet követően esedékes kötelezettségek államháztartáson belüli megelőlegezések visszafizetésére</t>
  </si>
  <si>
    <t>H/II/9        Költségvetési évet követően esedékes kötelezettségek finanszírozási kiadásokra (129&gt;=130+...+137)</t>
  </si>
  <si>
    <t>H/II/8a        - ebből: költségvetési évet követően esedékes kötelezettségek felhalmozási célú visszatérítendő támogatások, kölcsönök törlesztésére államháztartáson belülre</t>
  </si>
  <si>
    <t>H/II/8        Költségvetési évet követően esedékes kötelezettségek egyéb felhalmozási célú kiadásokra (127&gt;=128)</t>
  </si>
  <si>
    <t>H/II/7        Költségvetési évet követően esedékes kötelezettségek felújításokra</t>
  </si>
  <si>
    <t>H/II/6        Költségvetési évet követően esedékes kötelezettségek beruházásokra</t>
  </si>
  <si>
    <t>H/II/5a        - ebből: költségvetési évet követően esedékes kötelezettségek működési célú visszatérítendő támogatások, kölcsönök törlesztésére államháztartáson belülre</t>
  </si>
  <si>
    <t>H/II/5        Költségvetési évet követően esedékes kötelezettségek egyéb működési célú kiadásokra (123&gt;=124)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</si>
  <si>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</si>
  <si>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</si>
  <si>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</si>
  <si>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</si>
  <si>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(=H/I/1+…H/I/9) </t>
  </si>
  <si>
    <t>H/I/9h        - ebből: költségvetési évben esedékes kötelezettségek külföldi értékpapírok beváltására</t>
  </si>
  <si>
    <t>H/I/9g        - ebből: költségvetési évben esedékes kötelezettségek befektetési célú belföldi értékpapírok beváltására</t>
  </si>
  <si>
    <t>H/I/9f        - ebből: költségvetési évben esedékes kötelezettségek forgatási célú belföldi értékpapírok beváltására</t>
  </si>
  <si>
    <t>H/I/9e        - ebből: költségvetési évben esedékes kötelezettségek külföldi hitelek, kölcsönök törlesztésére</t>
  </si>
  <si>
    <t>H/I/9d        - ebből: költségvetési évben esedékes kötelezettségek rövid lejáratú hitelek, kölcsönök törlesztésére</t>
  </si>
  <si>
    <t>H/I/9c        - ebből: költségvetési évben esedékes kötelezettségek likviditási célú hitelek, kölcsönök törlesztésére pénzügyi vállalkozásoknak</t>
  </si>
  <si>
    <t>H/I/9b        - ebből: költségvetési évben esedékes kötelezettségek hosszú lejáratú hitelek, kölcsönök törlesztésére</t>
  </si>
  <si>
    <t>H/I/9a        - ebből: költségvetési évben esedékes kötelezettségek államháztartáson belüli megelőlegezések visszafizetésére</t>
  </si>
  <si>
    <t>H/I/9        Költségvetési évben esedékes kötelezettségek finanszírozási kiadásokra (109&gt;=110+...+117)</t>
  </si>
  <si>
    <t>H/I/8a        - ebből: költségvetési évben esedékes kötelezettségek felhalmozási célú visszatérítendő támogatások, kölcsönök törlesztésére államháztartáson belülre</t>
  </si>
  <si>
    <t>H/I/8        Költségvetési évben esedékes kötelezettségek egyéb felhalmozási célú kiadásokra (107&gt;=108)</t>
  </si>
  <si>
    <t>H/I/7        Költségvetési évben esedékes kötelezettségek felújításokra</t>
  </si>
  <si>
    <t>H/I/6        Költségvetési évben esedékes kötelezettségek beruházásokra</t>
  </si>
  <si>
    <t>H/I/5a        - ebből: költségvetési évben esedékes kötelezettségek működési célú visszatérítendő támogatások, kölcsönök törlesztésére államháztartáson belülre</t>
  </si>
  <si>
    <t>H/I/5        Költségvetési évben esedékes kötelezettségek egyéb működési célú kiadásokra (103&gt;=104)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</si>
  <si>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</si>
  <si>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</si>
  <si>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</si>
  <si>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</si>
  <si>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(=G/I+…+G/VI)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</si>
  <si>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</si>
  <si>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</si>
  <si>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</si>
  <si>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</si>
  <si>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</si>
  <si>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</si>
  <si>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</si>
  <si>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(=A+B+C+D+E+F) </t>
  </si>
  <si>
    <t xml:space="preserve">F)        AKTÍV IDŐBELI ELHATÁROLÁSOK (=F/1+F/2+F/3) 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</si>
  <si>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</si>
  <si>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</si>
  <si>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</si>
  <si>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</si>
  <si>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(=D/I+D/II+D/III) </t>
  </si>
  <si>
    <t>D/III        Követelés jellegű sajátos elszámolások (=D/III/1+…+D/III/7) (84=72+78+...+83)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</si>
  <si>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</si>
  <si>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</si>
  <si>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</si>
  <si>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</si>
  <si>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</si>
  <si>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</si>
  <si>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</si>
  <si>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</si>
  <si>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</si>
  <si>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</si>
  <si>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</si>
  <si>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D/III/1        Adott előlegek </t>
  </si>
  <si>
    <t xml:space="preserve">D/II        Költségvetési évet követően esedékes követelések (=D/II/1+…+D/II/8) </t>
  </si>
  <si>
    <t>D/II8a        - ebből: költségvetési évet követően esedékes követelések államháztartáson belüli megelőlegezések törlesztésére</t>
  </si>
  <si>
    <t>D/II/8        Költségvetési évet követően esedékes követelések finanszírozási bevételekre (69&gt;=70)</t>
  </si>
  <si>
    <t>D/II/7a        - ebből: költségvetési évet követően esedékes követelések felhalmozási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</si>
  <si>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</si>
  <si>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D/II/6a        - ebből: költségvetési évet követően esedékes követelések működési célú visszatérítendő támogatások, kölcsönök visszatérülésére államháztartáson kívülről</t>
  </si>
  <si>
    <t>D/II/6        Költségvetési évet követően esedékes követelések működési célú átvett pénzeszközre (65&gt;=66)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</si>
  <si>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</si>
  <si>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</si>
  <si>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</si>
  <si>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>D/II/2a        - ebből: költségvetési évet követően esedékes követelések felhalmozási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</si>
  <si>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</si>
  <si>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D/II/1a        - ebből: költségvetési évet követően esedékes követelések működési célú visszatérítendő támogatások, kölcsönök visszatérülésére államháztartáson belülről</t>
  </si>
  <si>
    <t>D/II/1        Költségvetési évet követően esedékes követelések működési célú támogatások bevételeire államháztartáson belülről (58&gt;=59)</t>
  </si>
  <si>
    <t xml:space="preserve">D/I        Költségvetési évben esedékes követelések (=D/I/1+…+D/I/8) </t>
  </si>
  <si>
    <t>D/I/8a        - ebből: költségvetési évben esedékes követelések államháztartáson belüli megelőlegezések törlesztésére</t>
  </si>
  <si>
    <t>D/I/8        Költségvetési évben esedékes követelések finanszírozási bevételekre (55&gt;=56)</t>
  </si>
  <si>
    <t>D/I/7a        - ebből: költségvetési évben esedékes követelések felhalmozási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</si>
  <si>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</si>
  <si>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D/I/6a        - ebből: költségvetési évben esedékes követelések működési célú visszatérítendő támogatások, kölcsönök visszatérülésére államháztartáson kívülről</t>
  </si>
  <si>
    <t>D/I/6        Költségvetési évben esedékes követelések működési célú átvett pénzeszközre (51&gt;=52)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</si>
  <si>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</si>
  <si>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</si>
  <si>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</si>
  <si>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>D/I/2a        - ebből: költségvetési évben esedékes követelések felhalmozási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</si>
  <si>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</si>
  <si>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D/I/1a        - ebből: költségvetési évben esedékes követelések működési célú visszatérítendő támogatások, kölcsönök visszatérülésére államháztartáson belülről</t>
  </si>
  <si>
    <t>D/I/1        Költségvetési évben esedékes követelések működési célú támogatások bevételeire államháztartáson belülről (44&gt;=45)</t>
  </si>
  <si>
    <t>C)        PÉNZESZKÖZÖK (=C/I+…+C/V) (43=38+...+42)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</si>
  <si>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</si>
  <si>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</si>
  <si>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</si>
  <si>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</si>
  <si>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</si>
  <si>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>B)        NEMZETI VAGYONBA TARTOZÓ FORGÓESZKÖZÖK (= B/I+B/II) (37=28+36)</t>
  </si>
  <si>
    <t xml:space="preserve">B/II        Értékpapírok (=B/II/1+B/II/2) 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</si>
  <si>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</si>
  <si>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</si>
  <si>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</si>
  <si>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</si>
  <si>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</si>
  <si>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>B/II/2        Forgatási célú hitelviszonyt megtestesítő értékpapírok</t>
  </si>
  <si>
    <t>B/II/1        Nem tartós részesedések</t>
  </si>
  <si>
    <t>B/I        Készletek (=B/I/1+…+B/I/5) (28=23+...+27)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</si>
  <si>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</si>
  <si>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</si>
  <si>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</si>
  <si>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</si>
  <si>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</si>
  <si>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(=A/I+A/II+A/III+A/IV) </t>
  </si>
  <si>
    <t>A/IV        Koncesszióba, vagyonkezelésbe adott eszközök (=A/IV/1+A/IV/2) (21=19+20)</t>
  </si>
  <si>
    <t>A/IV/2        Koncesszióba, vagyonkezelésbe adott eszközök értékhelyesbítése</t>
  </si>
  <si>
    <t>A/IV/1        Koncesszióba, vagyonkezelésbe adott eszközök</t>
  </si>
  <si>
    <t>A/III        Befektetett pénzügyi eszközök (=A/III/1+A/III/2+A/III/3)</t>
  </si>
  <si>
    <t>A/III/3        Befektetett pénzügyi eszközök értékhelyesbítése</t>
  </si>
  <si>
    <t>A/III/2b        - ebből: helyi önkormányzatok kötvényei</t>
  </si>
  <si>
    <t>A/III/2a        - ebből: államkötvények</t>
  </si>
  <si>
    <t xml:space="preserve">A/III/2        Tartós hitelviszonyt megtestesítő értékpapírok </t>
  </si>
  <si>
    <t>A/III/1b        - ebből: tartós részesedések társulásban</t>
  </si>
  <si>
    <t>A/III/1a        - ebből: tartós részesedések jegybankban</t>
  </si>
  <si>
    <t>A/III/1        Tartós részesedések (11&gt;=12+13)</t>
  </si>
  <si>
    <t>A/II        Tárgyi eszközök (=A/II/1+...+A/II/5)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</si>
  <si>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</si>
  <si>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</si>
  <si>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</si>
  <si>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</si>
  <si>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</si>
  <si>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(=A/I/1+A/I/2+A/I/3) </t>
  </si>
  <si>
    <t>A/I/3        Immateriális javak értékhelyesbítése</t>
  </si>
  <si>
    <t>A/I/2        Szellemi termékek</t>
  </si>
  <si>
    <t>A/I/1        Vagyoni értékű jogok</t>
  </si>
  <si>
    <t>ESZKÖZÖK</t>
  </si>
  <si>
    <t>Tárgy év</t>
  </si>
  <si>
    <t>Módosítások</t>
  </si>
  <si>
    <t>Előző év</t>
  </si>
  <si>
    <t>Megnevezés</t>
  </si>
  <si>
    <t>Önkormányzata</t>
  </si>
  <si>
    <t>6. melléklet</t>
  </si>
  <si>
    <t xml:space="preserve">E)        MÉRLEG SZERINTI EREDMÉNY (=±C±D) </t>
  </si>
  <si>
    <t xml:space="preserve">D)        RENDKÍVÜLI EREDMÉNY(=X-XI) </t>
  </si>
  <si>
    <t>XI        Rendkívüli ráfordítások</t>
  </si>
  <si>
    <t xml:space="preserve">X        Rendkívüli eredményszemléletű bevételek (=22+23) </t>
  </si>
  <si>
    <t>23        Különféle rendkívüli eredményszemléletű bevételek</t>
  </si>
  <si>
    <t>22        Felhalmozási célú támogatások eredményszemléletű bevételei</t>
  </si>
  <si>
    <t>C)        SZOKÁSOS EREDMÉNY (=±A±B)</t>
  </si>
  <si>
    <t xml:space="preserve">B)        PÉNZÜGYI MŰVELETEK EREDMÉNYE (=VIII-IX) </t>
  </si>
  <si>
    <t xml:space="preserve">IX        Pénzügyi műveletek ráfordításai </t>
  </si>
  <si>
    <t>21a        - ebből: árfolyamveszteség</t>
  </si>
  <si>
    <t>21        Pénzügyi műveletek egyéb ráfordításai (&gt;=21a) (31&gt;=32)</t>
  </si>
  <si>
    <t>20        Részesedések, értékpapírok, pénzeszközök értékvesztése</t>
  </si>
  <si>
    <t>19        Fizetendő kamatok és kamatjellegű ráfordítások</t>
  </si>
  <si>
    <t>VIII        Pénzügyi műveletek eredményszemléletű bevételei (=16+17+18) (28=24+...+26)</t>
  </si>
  <si>
    <t>18a        - ebből: árfolyamnyereség</t>
  </si>
  <si>
    <t>18        Pénzügyi műveletek egyéb eredményszemléletű bevételei (&gt;=18a) (26&gt;=27)</t>
  </si>
  <si>
    <t>17        Kapott (járó) kamatok és kamatjellegű eredményszemléletű bevételek</t>
  </si>
  <si>
    <t>16        Kapott (járó) osztalék és részesedés</t>
  </si>
  <si>
    <t xml:space="preserve">A) TEVÉKENYSÉGEK EREDMÉNYE (=I±II+III-IV-V-VI-VII) </t>
  </si>
  <si>
    <t>VII        Egyéb ráfordítások</t>
  </si>
  <si>
    <t>VI        Értékcsökkenési leírás</t>
  </si>
  <si>
    <t>V        Személyi jellegű ráfordítások (=13+14+15) (20=17+...+19)</t>
  </si>
  <si>
    <t>15        Bérjárulékok</t>
  </si>
  <si>
    <t>14        Személyi jellegű egyéb kifizetések</t>
  </si>
  <si>
    <t>13        Bérköltség</t>
  </si>
  <si>
    <t xml:space="preserve">IV        Anyagjellegű ráfordítások (=09+10+11+12) </t>
  </si>
  <si>
    <t>12        Eladott (közvetített) szolgáltatások értéke</t>
  </si>
  <si>
    <t>11        Eladott áruk beszerzési értéke</t>
  </si>
  <si>
    <t>10        Igénybe vett szolgáltatások értéke</t>
  </si>
  <si>
    <t>09        Anyagköltség</t>
  </si>
  <si>
    <t xml:space="preserve">III        Egyéb eredményszemléletű bevételek (=06+07+08) </t>
  </si>
  <si>
    <t>08        Különféle egyéb eredményszemléletű bevételek</t>
  </si>
  <si>
    <t>07        Egyéb működési célú támogatások eredményszemléletű bevételei</t>
  </si>
  <si>
    <t>06        Központi működési célú támogatások eredményszemléletű bevételei</t>
  </si>
  <si>
    <t xml:space="preserve">II        Aktivált saját teljesítmények értéke (=±04+05) </t>
  </si>
  <si>
    <t>05        Saját előállítású eszközök aktivált értéke</t>
  </si>
  <si>
    <t>04        Saját termelésű készletek állományváltozása</t>
  </si>
  <si>
    <t xml:space="preserve">I        Tevékenység nettó eredményszemléletű bevétele (=01+02+03) 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</si>
  <si>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</si>
  <si>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</si>
  <si>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</si>
  <si>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7. melléklet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</si>
  <si>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</si>
  <si>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</si>
  <si>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</si>
  <si>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</si>
  <si>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</si>
  <si>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</si>
  <si>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</si>
  <si>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</si>
  <si>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</si>
  <si>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</si>
  <si>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</si>
  <si>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</si>
  <si>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</si>
  <si>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</si>
  <si>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</si>
  <si>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</si>
  <si>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</si>
  <si>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</si>
  <si>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</si>
  <si>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Összeg</t>
  </si>
  <si>
    <t>8. melléklet</t>
  </si>
  <si>
    <t>10. melléklet</t>
  </si>
  <si>
    <t>2015. évi pénzforgalom levezetése</t>
  </si>
  <si>
    <t>Ft-ban</t>
  </si>
  <si>
    <t>1. 2015. évi nyitó pénzkészlet</t>
  </si>
  <si>
    <t>4. 2015. évi maradvány (2.+3.)</t>
  </si>
  <si>
    <t>6. Függő számlák forgalma (361-363., 365-367. számú főkönyvi számlák forgalma</t>
  </si>
  <si>
    <t>7. 3671. főkönyvi számla forgalma (adótúlfizetés)</t>
  </si>
  <si>
    <t>9. melléklet</t>
  </si>
  <si>
    <t>3. Pénzforgalmi kiadások intézményfinanszírozás nélkül</t>
  </si>
  <si>
    <t>5. 2014. évi pénzmaradvány felhasználása</t>
  </si>
  <si>
    <t>8. 2015. évi záró pénzkészlet (1.+4.+5.+6.+7.)</t>
  </si>
  <si>
    <t>2. Pénzforgalmi bevételek intézményfinanszírozás nélkül (pénzmaradvány-felhasználással együtt)</t>
  </si>
  <si>
    <t>vagyonkimutatása 2015.12.31.</t>
  </si>
  <si>
    <t>ezer forintban</t>
  </si>
  <si>
    <t>Eszközök megnevezése</t>
  </si>
  <si>
    <t>Bruttó érték</t>
  </si>
  <si>
    <t>Nettó érték</t>
  </si>
  <si>
    <t xml:space="preserve">I. Immateriális javak  </t>
  </si>
  <si>
    <t>I.1 Forgalomképtelen immateriális javak</t>
  </si>
  <si>
    <t>I.2 Korlátozottan forgalomképes immateriális javak</t>
  </si>
  <si>
    <t>I.3 Üzleti vagyonkörbe tartozó immateriális javak</t>
  </si>
  <si>
    <t>I.4 0-ra leírt immateriális javak</t>
  </si>
  <si>
    <t xml:space="preserve">II. Tárgyi eszközök  </t>
  </si>
  <si>
    <t xml:space="preserve">II.1  Ingatlanok és a kapcsolódó vagyoni értékű jogok </t>
  </si>
  <si>
    <t xml:space="preserve">II.1.1 Forgalomképtelen ingatlanok és a kapcsolódó vagyoni értékű jogok </t>
  </si>
  <si>
    <t xml:space="preserve">II.1.2 Korlátozottan forgalomképes ingatlanok és a kapcsolódó vagyoni értékű jogok </t>
  </si>
  <si>
    <t xml:space="preserve">II.1.3 Üzleti vagyonkörbe tartozó ingatlanok és a kapcsolódó vagyoni értékű jogok </t>
  </si>
  <si>
    <t xml:space="preserve">II.1.4 0-ra leírt ingatlanok és a kapcsolódó vagyoni értékű jogok </t>
  </si>
  <si>
    <t xml:space="preserve">II.2 Gépek, berendezések, felszerelések, járművek </t>
  </si>
  <si>
    <t xml:space="preserve">II.2.1 Forgalomképtelen gépek, berendezések, felszerelések, járművek </t>
  </si>
  <si>
    <t xml:space="preserve">II.2.2 Korlátozottan forgalomképes gépek, berendezések, felszerelések, járművek </t>
  </si>
  <si>
    <t xml:space="preserve">II.2.3 Üzleti vagyonkörbe tartozó gépek, berendezések, felszerelések, járművek </t>
  </si>
  <si>
    <t xml:space="preserve">II.2.4 0-ra leírt gépek, berendezések, felszerelések, járművek </t>
  </si>
  <si>
    <t xml:space="preserve">II.3 Beruházások, felújítások </t>
  </si>
  <si>
    <t xml:space="preserve">II.3.1 Forgalomképtelen beruházások, felújítások </t>
  </si>
  <si>
    <t xml:space="preserve">II.3.2 Korlátozottan forgalomképes beruházások, felújítások </t>
  </si>
  <si>
    <t xml:space="preserve">II.3.3 Üzleti vagyonkörbe tartozó beruházások, felújítások </t>
  </si>
  <si>
    <t>II.4 Tárgyi eszközök értékhelyesbítése</t>
  </si>
  <si>
    <t xml:space="preserve">III. Befektetett pénzügyi eszközök </t>
  </si>
  <si>
    <t xml:space="preserve">III.1.1 Forgalomképtelen tartós részesedések </t>
  </si>
  <si>
    <t xml:space="preserve">III.1.2 Korlátozottan forgalomképes tartós részesedések </t>
  </si>
  <si>
    <t xml:space="preserve">III.1.3 Üzleti vagyonkörbe tartozó  tartós részesedések </t>
  </si>
  <si>
    <t>III.2.1 Forgalomképtelen tartós hitelviszonyt megtestesítő értékpapírok</t>
  </si>
  <si>
    <t xml:space="preserve">III.2.2 Korlátozottan forgalomképes tartós részesedések </t>
  </si>
  <si>
    <t xml:space="preserve">III.2.3 Korlátozottan forgalomképes tartós részesedések </t>
  </si>
  <si>
    <t>III.3  Befektetett pénzügyi eszközök értékhelyesbítése</t>
  </si>
  <si>
    <t xml:space="preserve">IV. Koncesszióba, vagyonkezelésbe adott eszközök  </t>
  </si>
  <si>
    <t xml:space="preserve">V. Készletek </t>
  </si>
  <si>
    <t xml:space="preserve">VI. Értékpapírok </t>
  </si>
  <si>
    <t>VII. Pénzeszközök</t>
  </si>
  <si>
    <t>VII.1. Üzleti vagyonkörbe tartozó pénzeszközök</t>
  </si>
  <si>
    <t>VIII. Követelések</t>
  </si>
  <si>
    <t xml:space="preserve">VIII.1  Üzleti vagyonkörbe tartozó költségvetési évben esedékes követelések </t>
  </si>
  <si>
    <t xml:space="preserve">VIII.2  Üzleti vagyonkörbe tartozó költségvetési évet követően esedékes követelések </t>
  </si>
  <si>
    <t xml:space="preserve">VIII.3  Üzleti vagyonkörbe tartozó követelés jellegű sajátos elszámolások </t>
  </si>
  <si>
    <t>IX. Egyéb sajátos eszközoldali elszámolások</t>
  </si>
  <si>
    <t>IX.1. Üzleti vagyonkörbe tartozó egyéb sajátos eszközoldali elszámolások</t>
  </si>
  <si>
    <t>X. Aktív időbeli elhatárolások</t>
  </si>
  <si>
    <t xml:space="preserve">ESZKÖZÖK ÖSSZESEN </t>
  </si>
  <si>
    <t>Könyvszerinti érték</t>
  </si>
  <si>
    <t xml:space="preserve">XI.     Saját tőke </t>
  </si>
  <si>
    <t>XI.1       Nemzeti vagyon induláskori értéke</t>
  </si>
  <si>
    <t>XI.2       Nemzeti vagyon változásai</t>
  </si>
  <si>
    <t>XI.3        Egyéb eszközök induláskori értéke és változásai</t>
  </si>
  <si>
    <t>XI.4        Felhalmozott eredmény</t>
  </si>
  <si>
    <t>XI.5        Eszközök értékhelyesbítésének forrása</t>
  </si>
  <si>
    <t>XI.6        Mérleg szerinti eredmény</t>
  </si>
  <si>
    <t xml:space="preserve">XII.    Költségvetési évben esedékes kötelezettségek </t>
  </si>
  <si>
    <t>XII.1     Költségvetési évben esedékes kötelezettségek személyi juttatásokra</t>
  </si>
  <si>
    <t>XII.2       Költségvetési évben esedékes kötelezettségek munkaadókat terhelő járulékokra és szociális hozzájárulási adóra</t>
  </si>
  <si>
    <t>XII.3       Költségvetési évben esedékes kötelezettségek dologi kiadásokra</t>
  </si>
  <si>
    <t>XII.4      Költségvetési évben esedékes kötelezettségek ellátottak pénzbeli juttatásaira</t>
  </si>
  <si>
    <t xml:space="preserve">XII.5         Költségvetési évben esedékes kötelezettségek egyéb működési célú kiadásokra </t>
  </si>
  <si>
    <t>XII.6       Költségvetési évben esedékes kötelezettségek beruházásokra</t>
  </si>
  <si>
    <t>XII.7        Költségvetési évben esedékes kötelezettségek felújításokra</t>
  </si>
  <si>
    <t xml:space="preserve">XII.8        Költségvetési évben esedékes kötelezettségek egyéb felhalmozási célú kiadásokra </t>
  </si>
  <si>
    <t>XII.9       Költségvetési évben esedékes kötelezettségek finanszírozási kiadásokra (109&gt;=110+...+117)</t>
  </si>
  <si>
    <t xml:space="preserve">XIII.      Költségvetési évet követően esedékes kötelezettségek  </t>
  </si>
  <si>
    <t>XIII.1  Költségvetési évet követően esedékes kötelezettségek személyi juttatásokra</t>
  </si>
  <si>
    <t>XIII.2        Költségvetési évet követően esedékes kötelezettségek munkaadókat terhelő járulékokra és szociális hozzájárulási adóra</t>
  </si>
  <si>
    <t>XIII.3         Költségvetési évet követően esedékes kötelezettségek dologi kiadásokra</t>
  </si>
  <si>
    <t>XIII.4      Költségvetési évet követően esedékes kötelezettségek ellátottak pénzbeli juttatásaira</t>
  </si>
  <si>
    <t>XIII.5        Költségvetési évet követően esedékes kötelezettségek egyéb működési célú kiadásokra</t>
  </si>
  <si>
    <t>XIII.6        Költségvetési évet követően esedékes kötelezettségek beruházásokra</t>
  </si>
  <si>
    <t>XIII.7        Költségvetési évet követően esedékes kötelezettségek felújításokra</t>
  </si>
  <si>
    <t xml:space="preserve">XIII.8        Költségvetési évet követően esedékes kötelezettségek egyéb felhalmozási célú kiadásokra </t>
  </si>
  <si>
    <t xml:space="preserve">XIII.9        Költségvetési évet követően esedékes kötelezettségek finanszírozási kiadásokra </t>
  </si>
  <si>
    <t>XIII.10       - ebből: költségvetési évet követően esedékes kötelezettségek államháztartáson belüli megelőlegezések visszafizetésére</t>
  </si>
  <si>
    <t>XIV.      Kötelezettség jellegű sajátos elszámolások</t>
  </si>
  <si>
    <t>XIV.1   Kapott előlegek</t>
  </si>
  <si>
    <t>XIV.2        Továbbadási célból folyósított támogatások, ellátások elszámolása</t>
  </si>
  <si>
    <t>XIV.3       Más szervezetet megillető bevételek elszámolása</t>
  </si>
  <si>
    <t>XIV.4        Forgótőke elszámolása (Kincstár)</t>
  </si>
  <si>
    <t>XIV.5        Vagyonkezelésbe vett eszközökkel kapcsolatos visszapótlási kötelezettség elszámolása</t>
  </si>
  <si>
    <t>XIV.6        Nem társadalombiztosítás pénzügyi alapjait terhelő kifizetett ellátások megtérítésének elszámolása</t>
  </si>
  <si>
    <t>XIV.7          Munkáltató által korengedményes nyugdíjhoz megfizetett hozzájárulás elszámolása</t>
  </si>
  <si>
    <t>XIV.8     Letétre, megőrzésre, fedezetkezelésre átvett pénzeszközök, biztosítékok</t>
  </si>
  <si>
    <t>XV.   KÖTELEZETTSÉGEK (XII.-XIV.)</t>
  </si>
  <si>
    <t>XVI.        Egyéb sajátos forrásoldali elszámolások</t>
  </si>
  <si>
    <t>XVII.       Kincstári számlavezetésselkapcsolatos elszámolások</t>
  </si>
  <si>
    <t>XVIII.       Passzív időbeli elhatárolások</t>
  </si>
  <si>
    <t>XVIII.1      Eredményszemléletű bevételek passzív időbeli elhatárolása</t>
  </si>
  <si>
    <t>XVIII.2      Költségek, ráfordítások passzív időbeli elhatárolása</t>
  </si>
  <si>
    <t>XVIII.3      Halasztott eredményszemléletű bevételek</t>
  </si>
  <si>
    <t xml:space="preserve">FORRÁSOK ÖSSZESEN </t>
  </si>
  <si>
    <t xml:space="preserve">                        Az önkormányzat vagyonának változása bruttó értékben</t>
  </si>
  <si>
    <t xml:space="preserve">              2006.12.31. -  2015.12.31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</si>
  <si>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</si>
  <si>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</si>
  <si>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</si>
  <si>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</si>
  <si>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</si>
  <si>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</si>
  <si>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</si>
  <si>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</si>
  <si>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</si>
  <si>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</si>
  <si>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r>
      <t xml:space="preserve">Ingatlan </t>
    </r>
    <r>
      <rPr>
        <sz val="8"/>
        <rFont val="Arial CE"/>
        <family val="2"/>
        <charset val="238"/>
      </rPr>
      <t xml:space="preserve">(épületek, építmények, földterület,telek) </t>
    </r>
  </si>
  <si>
    <t>bruttó értéke:</t>
  </si>
  <si>
    <t>Ebből 0-ra írt használatban lévő ingatlan</t>
  </si>
  <si>
    <t xml:space="preserve">Gépek, berendezések, felszerelési tárgyak </t>
  </si>
  <si>
    <t>(50 ezer Ft, illetve 100 ezer Ft feletti) bruttó értéke</t>
  </si>
  <si>
    <t>Ebből 0-ra írt használatban lévő gépek, berendezések</t>
  </si>
  <si>
    <r>
      <t>Járművek</t>
    </r>
    <r>
      <rPr>
        <sz val="8"/>
        <rFont val="Arial CE"/>
        <family val="2"/>
        <charset val="238"/>
      </rPr>
      <t xml:space="preserve"> bruttó értéke*</t>
    </r>
  </si>
  <si>
    <t>Ebből 0-ra írt használatban lévő járművek</t>
  </si>
  <si>
    <r>
      <t>Immateriális javak</t>
    </r>
    <r>
      <rPr>
        <sz val="8"/>
        <rFont val="Arial CE"/>
        <family val="2"/>
        <charset val="238"/>
      </rPr>
      <t xml:space="preserve"> bruttó értéke</t>
    </r>
  </si>
  <si>
    <t>Ebből 0-ra írt szellemi termékek</t>
  </si>
  <si>
    <r>
      <t>Üzemeltetésre átadott vagyon</t>
    </r>
    <r>
      <rPr>
        <sz val="8"/>
        <rFont val="Arial CE"/>
        <family val="2"/>
        <charset val="238"/>
      </rPr>
      <t xml:space="preserve"> bruttó értéke **</t>
    </r>
  </si>
  <si>
    <t>Ebből 0-ra írt üzemeltetésre átadott vagyon</t>
  </si>
  <si>
    <t>Összesen:</t>
  </si>
  <si>
    <t xml:space="preserve">* 2014. évtől a számviteli előírások alapján a beszámolóban </t>
  </si>
  <si>
    <t>a járművek értékét nem kell elkülöníteni</t>
  </si>
  <si>
    <t xml:space="preserve">** 2014. évtől a számviteli előírások alapján a beszámolóban </t>
  </si>
  <si>
    <t>az üzemeltetésre átadott vagyont nem kell elkülöníteni</t>
  </si>
  <si>
    <t>11. melléklet</t>
  </si>
  <si>
    <t xml:space="preserve">Nagyszénás Nagyközség </t>
  </si>
  <si>
    <t>Részesedések:</t>
  </si>
  <si>
    <t>Társaság megnevezése</t>
  </si>
  <si>
    <t>Részesedés összege (Ft)</t>
  </si>
  <si>
    <t>Alföldvíz Regionális Víziközmű-szolgáltató Zrt.</t>
  </si>
  <si>
    <t>NTp. Nagyszénás Településszolgáltatási Nonprofit Kft.</t>
  </si>
  <si>
    <t>Kötelezettség összege (Ft)</t>
  </si>
  <si>
    <t>Saját tulajdonú gazdákodó szervezet működéséből származó kötelezettségek</t>
  </si>
  <si>
    <t xml:space="preserve">Az Önkormányzat részesedései 2015. december 31-én és az önkormányzat  </t>
  </si>
  <si>
    <t xml:space="preserve">    tulajdonában álló gazdálkodó szervezet működéséből származó kötelezettségek</t>
  </si>
  <si>
    <t>Kezességvállalással kapcsolatos megtérülés</t>
  </si>
  <si>
    <t>Bírság, pótlék és díjbevétel</t>
  </si>
  <si>
    <t>Tárgyi és immateriális eszköz, részvény, részesedés értékesítéséből származó és privatizációs bevétel</t>
  </si>
  <si>
    <t>Osztalék, koncessziós díj és hozam bevétel</t>
  </si>
  <si>
    <t>Önkormányzati vagyon értékesítése és hasznosítása</t>
  </si>
  <si>
    <t>Helyi adók bevétele</t>
  </si>
  <si>
    <t>Saját bevétel megnevezése</t>
  </si>
  <si>
    <t>2019.</t>
  </si>
  <si>
    <t>2018.</t>
  </si>
  <si>
    <t>2017.</t>
  </si>
  <si>
    <t>2016.</t>
  </si>
  <si>
    <t>ÖNKORMÁNYZAT SAJÁT BEVÉTELEI</t>
  </si>
  <si>
    <t>Termálvíz-hasznosítási projekt fejlesztési hitel kamata</t>
  </si>
  <si>
    <t>Termálvíz-hasznosítási projekt fejlesztési hitel</t>
  </si>
  <si>
    <t>Kötelezettség megnevezése</t>
  </si>
  <si>
    <t>ÖNKORMÁNYZAT KÖTELEZETTSÉGEI KAMATOKKAL EGYÜTT</t>
  </si>
  <si>
    <t>(több éves kihatással bíró döntések)</t>
  </si>
  <si>
    <t>kötelezettségek a futamidő végéig, valamint a 353/2011.(XII.30.) Korm. rendelet 2. § (1) bekezdése szerinti saját bevételek a kötelezettségek lejáratáig</t>
  </si>
  <si>
    <t>Magyarország gazdasági stabilitásáról szóló  2011. évi CXCIV. törvény 3. § (1) bekezdése szerinti adósságot keletkeztető ügyletekből várható,</t>
  </si>
  <si>
    <t>15. melléklet</t>
  </si>
  <si>
    <t>Sportkör, szakkörök nélkül</t>
  </si>
  <si>
    <t xml:space="preserve"> ebből Aerobik 6 óra/hét</t>
  </si>
  <si>
    <t>3000 Ft/óra</t>
  </si>
  <si>
    <t>Művelődési Ház 24 óra/hét</t>
  </si>
  <si>
    <t>Alsós tornaterem 7 óra/hét</t>
  </si>
  <si>
    <t>3500 Ft/óra</t>
  </si>
  <si>
    <t>Felsős tornaterem 10 hó havi 10 óra/hét</t>
  </si>
  <si>
    <t>Gépjármű használat során adott kedvezmény</t>
  </si>
  <si>
    <t xml:space="preserve">Helyiség bérbeadásból adott kedvezmény </t>
  </si>
  <si>
    <t>Kedvezmény összege (Ft)</t>
  </si>
  <si>
    <t xml:space="preserve"> </t>
  </si>
  <si>
    <t>származó bevételből nyújtott kedvezményekről   2015. évben</t>
  </si>
  <si>
    <t xml:space="preserve">Kimutatás az Önkormányzat által nyújtott  helyiségek, eszközök hasznosításából                                                                                                    </t>
  </si>
  <si>
    <t>Egyedi elbírálás összesen:</t>
  </si>
  <si>
    <t xml:space="preserve">mérséklés összesen: </t>
  </si>
  <si>
    <t>Helyi rendeletek szerinti elengedés,</t>
  </si>
  <si>
    <t>Jogcím: egyedi elbírálás</t>
  </si>
  <si>
    <t>Helyi iparűzési adó</t>
  </si>
  <si>
    <t>Gépjármű adó</t>
  </si>
  <si>
    <t xml:space="preserve">              4.§ (70. életév betöltése)</t>
  </si>
  <si>
    <t>Jogcím: 13/1991. (VI.4.) KT. rendelet</t>
  </si>
  <si>
    <t>Magánszemélyek kommunális adója</t>
  </si>
  <si>
    <t>Ft</t>
  </si>
  <si>
    <t>fő</t>
  </si>
  <si>
    <t xml:space="preserve">              (adóelőleg mérséklés)</t>
  </si>
  <si>
    <t>Ö s s z e s e n</t>
  </si>
  <si>
    <t xml:space="preserve">              A d ó m é r s é k l é s</t>
  </si>
  <si>
    <t xml:space="preserve">     A d ó e l e n g e d é s</t>
  </si>
  <si>
    <t xml:space="preserve">                 Ft-ban</t>
  </si>
  <si>
    <t>Kimutatás az adóelengedésekről és adómérséklésekről 2015. adóévben</t>
  </si>
  <si>
    <t>Nagyszénás Nagyközség</t>
  </si>
  <si>
    <t>Önkormányzat kiadásai ÖSSZESEN (14+24)</t>
  </si>
  <si>
    <t>Önkormányzat bevételei ÖSSZESEN (7+18)</t>
  </si>
  <si>
    <t>Felhalmozási célú kiadások összesen (19+...+23)</t>
  </si>
  <si>
    <t>Belföldi hitelműveletek</t>
  </si>
  <si>
    <t>Fejlesztési célú pénzeszköz átadás</t>
  </si>
  <si>
    <t>Felújítási kiadások (ÁFA-val együtt)</t>
  </si>
  <si>
    <t>Beruházási kiadások (ÁFA-val együtt)</t>
  </si>
  <si>
    <t>Felhalmozási célú bevételek összesen (15+…+17)</t>
  </si>
  <si>
    <t>Fejlesztési célú pénzeszköz átvétel</t>
  </si>
  <si>
    <t>Fejlesztési hitel</t>
  </si>
  <si>
    <t>Önkormányzatok felhalmozási és tőke jellegű bevételei</t>
  </si>
  <si>
    <t>II. Felhalmozási célú bevételek és kiadások</t>
  </si>
  <si>
    <t>Működési célú kiadások összesen (8+...+13)</t>
  </si>
  <si>
    <t>Működési célú tartalék</t>
  </si>
  <si>
    <t>Működési célú hitel törlesztése</t>
  </si>
  <si>
    <t>Működési célú pénzeszközátadás egyéb támogatás</t>
  </si>
  <si>
    <t>Dologi kiadások</t>
  </si>
  <si>
    <t>Munkaadókat terhelő járulékok</t>
  </si>
  <si>
    <t>Személyi juttatások</t>
  </si>
  <si>
    <t>Működési célú bevételek összesen (1+...+6)</t>
  </si>
  <si>
    <t>Működési célú előző évi pénzmaradvány igénybevétele</t>
  </si>
  <si>
    <t>Működési célú hitelfelvétel</t>
  </si>
  <si>
    <t xml:space="preserve">Önkormányzatok költségvetési támogatása </t>
  </si>
  <si>
    <t>Önkormányzatok közhatalmi bevételei</t>
  </si>
  <si>
    <t>Működési bevételek</t>
  </si>
  <si>
    <t>2019. év</t>
  </si>
  <si>
    <t>2018. év</t>
  </si>
  <si>
    <t>2017. év</t>
  </si>
  <si>
    <t>I. Működési bevételek és kiadások</t>
  </si>
  <si>
    <t>eFt</t>
  </si>
  <si>
    <t>Sorsz.</t>
  </si>
  <si>
    <t xml:space="preserve"> A működési és fejlesztési célú bevételek és kiadások</t>
  </si>
  <si>
    <t>2016. év</t>
  </si>
  <si>
    <t>13. melléklet</t>
  </si>
  <si>
    <t>2016-2019. évek alakulását külön bemutató mérleg</t>
  </si>
  <si>
    <t>3. Gondozási Központ</t>
  </si>
  <si>
    <t>4. Nagyszénási Önkormányzati Óvoda</t>
  </si>
  <si>
    <t>5. Czabán Samu Művelődési Ház és Könyvtár</t>
  </si>
  <si>
    <t>V. Maradvány összege 2015.12.31.</t>
  </si>
  <si>
    <t>Termálvíz-hasznosítási projekt megelőlegező hitel tőketörlesztése</t>
  </si>
  <si>
    <t>Eredet</t>
  </si>
  <si>
    <t>Módosított</t>
  </si>
  <si>
    <t>Teljesítés</t>
  </si>
  <si>
    <t>Telj. %-a</t>
  </si>
  <si>
    <t>Előirányzat</t>
  </si>
  <si>
    <t>I. Nagyszénás Nagyközség Önkormányzata működési bevételei összesen</t>
  </si>
  <si>
    <t>KIADÁSOK ÉS MARADVÁNY EGYÜTTES ÖSSZEGE (I+II+III+IV+V)</t>
  </si>
  <si>
    <t>KIADÁSOK MINDÖSSZESEN (I+II+III+IV)</t>
  </si>
  <si>
    <t>2015. évi működési kiadások kormányzati funkciónként</t>
  </si>
  <si>
    <t>Nagyszénás Nagyközség                                                   Mérleg 2015.12.31.                                                 eFt-ban</t>
  </si>
  <si>
    <t>Nagyszénás Nagyközség                                       Eredménykimutatás 2015.12.31.                                         eFt-ban</t>
  </si>
  <si>
    <t>Nagyszénás Nagyközség                      Maradványkimutatás 2015.12.31.                      eFt-ban</t>
  </si>
  <si>
    <t xml:space="preserve"> ÖSSZESEN:    </t>
  </si>
  <si>
    <t>NAGYSZÉNÁS NAGYKÖZSÉG ÖNKORMÁNYZATA (3 fő közalk.)</t>
  </si>
  <si>
    <t>Fennálló kötelezettség                                 2015 dec. 31. összesen:</t>
  </si>
  <si>
    <t>Termálvíz-hasznosítási projekt fejlesztési hitel tőketörlesztése                                   A hitel véső lejárata:  2029. március 30.</t>
  </si>
  <si>
    <t>12. melléklet</t>
  </si>
  <si>
    <t xml:space="preserve"> 14. melléklet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</si>
</sst>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0.0"/>
    <numFmt numFmtId="167" formatCode="_-* #,##0\ _F_t_-;\-* #,##0\ _F_t_-;_-* &quot;-&quot;??\ _F_t_-;_-@_-"/>
    <numFmt numFmtId="168" formatCode="#,##0_ ;\-#,##0\ "/>
    <numFmt numFmtId="169" formatCode="#,##0;[Red]#,##0"/>
  </numFmts>
  <fonts count="87">
    <font>
      <sz val="10"/>
      <name val="Arial"/>
      <family val="2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sz val="10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u/>
      <sz val="8"/>
      <name val="Arial"/>
      <family val="2"/>
    </font>
    <font>
      <sz val="10"/>
      <name val="Arial"/>
      <family val="2"/>
      <charset val="238"/>
    </font>
    <font>
      <b/>
      <sz val="10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 CE"/>
      <family val="2"/>
      <charset val="238"/>
    </font>
    <font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10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8"/>
      <name val="Arial CE"/>
      <charset val="238"/>
    </font>
    <font>
      <i/>
      <sz val="8"/>
      <name val="Arial CE"/>
      <charset val="238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u/>
      <sz val="10"/>
      <name val="Arial CE"/>
      <family val="2"/>
      <charset val="238"/>
    </font>
    <font>
      <sz val="6"/>
      <name val="Arial"/>
      <family val="2"/>
      <charset val="238"/>
    </font>
    <font>
      <b/>
      <i/>
      <sz val="8"/>
      <name val="Arial CE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57"/>
      <name val="Arial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u/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7" borderId="1" applyNumberFormat="0" applyAlignment="0" applyProtection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16" borderId="5" applyNumberFormat="0" applyAlignment="0" applyProtection="0"/>
    <xf numFmtId="164" fontId="17" fillId="0" borderId="0" applyFill="0" applyBorder="0" applyAlignment="0" applyProtection="0"/>
    <xf numFmtId="164" fontId="17" fillId="0" borderId="0" applyFill="0" applyBorder="0" applyAlignment="0" applyProtection="0"/>
    <xf numFmtId="43" fontId="1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1" fillId="17" borderId="7" applyNumberFormat="0" applyFont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9" fillId="4" borderId="0" applyNumberFormat="0" applyBorder="0" applyAlignment="0" applyProtection="0"/>
    <xf numFmtId="0" fontId="30" fillId="22" borderId="8" applyNumberFormat="0" applyAlignment="0" applyProtection="0"/>
    <xf numFmtId="0" fontId="31" fillId="0" borderId="0" applyNumberFormat="0" applyFill="0" applyBorder="0" applyAlignment="0" applyProtection="0"/>
    <xf numFmtId="0" fontId="60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32" fillId="0" borderId="9" applyNumberFormat="0" applyFill="0" applyAlignment="0" applyProtection="0"/>
    <xf numFmtId="0" fontId="33" fillId="3" borderId="0" applyNumberFormat="0" applyBorder="0" applyAlignment="0" applyProtection="0"/>
    <xf numFmtId="0" fontId="34" fillId="23" borderId="0" applyNumberFormat="0" applyBorder="0" applyAlignment="0" applyProtection="0"/>
    <xf numFmtId="0" fontId="35" fillId="22" borderId="1" applyNumberFormat="0" applyAlignment="0" applyProtection="0"/>
    <xf numFmtId="9" fontId="1" fillId="0" borderId="0" applyFill="0" applyBorder="0" applyAlignment="0" applyProtection="0"/>
  </cellStyleXfs>
  <cellXfs count="689">
    <xf numFmtId="0" fontId="0" fillId="0" borderId="0" xfId="0"/>
    <xf numFmtId="0" fontId="2" fillId="0" borderId="0" xfId="47"/>
    <xf numFmtId="3" fontId="2" fillId="0" borderId="0" xfId="47" applyNumberFormat="1"/>
    <xf numFmtId="0" fontId="3" fillId="0" borderId="0" xfId="47" applyFont="1"/>
    <xf numFmtId="0" fontId="2" fillId="0" borderId="0" xfId="47" applyFont="1"/>
    <xf numFmtId="3" fontId="2" fillId="0" borderId="0" xfId="47" applyNumberFormat="1" applyFont="1"/>
    <xf numFmtId="3" fontId="4" fillId="0" borderId="0" xfId="0" applyNumberFormat="1" applyFont="1"/>
    <xf numFmtId="0" fontId="3" fillId="0" borderId="0" xfId="0" applyFont="1" applyAlignment="1">
      <alignment horizontal="center"/>
    </xf>
    <xf numFmtId="0" fontId="5" fillId="24" borderId="10" xfId="0" applyFont="1" applyFill="1" applyBorder="1"/>
    <xf numFmtId="3" fontId="6" fillId="24" borderId="11" xfId="0" applyNumberFormat="1" applyFont="1" applyFill="1" applyBorder="1"/>
    <xf numFmtId="0" fontId="5" fillId="0" borderId="0" xfId="0" applyFont="1" applyBorder="1"/>
    <xf numFmtId="3" fontId="6" fillId="0" borderId="0" xfId="0" applyNumberFormat="1" applyFont="1"/>
    <xf numFmtId="0" fontId="7" fillId="0" borderId="0" xfId="0" applyFont="1" applyBorder="1"/>
    <xf numFmtId="0" fontId="8" fillId="0" borderId="0" xfId="0" applyFont="1" applyBorder="1"/>
    <xf numFmtId="3" fontId="9" fillId="0" borderId="0" xfId="0" applyNumberFormat="1" applyFont="1"/>
    <xf numFmtId="0" fontId="5" fillId="0" borderId="0" xfId="0" applyFont="1" applyFill="1" applyBorder="1"/>
    <xf numFmtId="3" fontId="4" fillId="0" borderId="0" xfId="0" applyNumberFormat="1" applyFont="1" applyBorder="1"/>
    <xf numFmtId="0" fontId="4" fillId="0" borderId="0" xfId="0" applyFont="1"/>
    <xf numFmtId="3" fontId="4" fillId="0" borderId="0" xfId="26" applyNumberFormat="1" applyFont="1" applyFill="1" applyBorder="1" applyAlignment="1" applyProtection="1"/>
    <xf numFmtId="0" fontId="7" fillId="0" borderId="0" xfId="47" applyFont="1"/>
    <xf numFmtId="0" fontId="12" fillId="0" borderId="0" xfId="47" applyFont="1" applyBorder="1"/>
    <xf numFmtId="0" fontId="7" fillId="0" borderId="0" xfId="47" applyFont="1" applyBorder="1"/>
    <xf numFmtId="3" fontId="7" fillId="0" borderId="0" xfId="47" applyNumberFormat="1" applyFont="1" applyBorder="1"/>
    <xf numFmtId="0" fontId="7" fillId="0" borderId="0" xfId="47" applyFont="1" applyFill="1" applyBorder="1"/>
    <xf numFmtId="0" fontId="7" fillId="0" borderId="0" xfId="47" applyFont="1" applyBorder="1" applyAlignment="1">
      <alignment horizontal="left"/>
    </xf>
    <xf numFmtId="3" fontId="7" fillId="0" borderId="0" xfId="47" applyNumberFormat="1" applyFont="1"/>
    <xf numFmtId="3" fontId="5" fillId="0" borderId="0" xfId="47" applyNumberFormat="1" applyFont="1"/>
    <xf numFmtId="0" fontId="10" fillId="0" borderId="0" xfId="47" applyFont="1" applyBorder="1"/>
    <xf numFmtId="0" fontId="5" fillId="0" borderId="0" xfId="47" applyFont="1" applyFill="1" applyBorder="1"/>
    <xf numFmtId="3" fontId="5" fillId="0" borderId="0" xfId="47" applyNumberFormat="1" applyFont="1" applyFill="1" applyBorder="1"/>
    <xf numFmtId="0" fontId="3" fillId="0" borderId="0" xfId="47" applyFont="1" applyFill="1"/>
    <xf numFmtId="3" fontId="7" fillId="0" borderId="0" xfId="47" applyNumberFormat="1" applyFont="1" applyFill="1" applyBorder="1" applyAlignment="1">
      <alignment horizontal="center"/>
    </xf>
    <xf numFmtId="3" fontId="7" fillId="0" borderId="0" xfId="47" applyNumberFormat="1" applyFont="1" applyFill="1" applyAlignment="1">
      <alignment horizont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13" fillId="0" borderId="0" xfId="0" applyNumberFormat="1" applyFont="1"/>
    <xf numFmtId="3" fontId="14" fillId="0" borderId="0" xfId="0" applyNumberFormat="1" applyFont="1"/>
    <xf numFmtId="3" fontId="6" fillId="24" borderId="12" xfId="0" applyNumberFormat="1" applyFont="1" applyFill="1" applyBorder="1"/>
    <xf numFmtId="3" fontId="5" fillId="24" borderId="12" xfId="0" applyNumberFormat="1" applyFont="1" applyFill="1" applyBorder="1"/>
    <xf numFmtId="0" fontId="10" fillId="0" borderId="0" xfId="47" applyFont="1"/>
    <xf numFmtId="3" fontId="0" fillId="0" borderId="0" xfId="0" applyNumberFormat="1"/>
    <xf numFmtId="0" fontId="17" fillId="0" borderId="0" xfId="0" applyFont="1"/>
    <xf numFmtId="3" fontId="17" fillId="0" borderId="0" xfId="0" applyNumberFormat="1" applyFont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3" fontId="14" fillId="25" borderId="13" xfId="0" applyNumberFormat="1" applyFont="1" applyFill="1" applyBorder="1"/>
    <xf numFmtId="3" fontId="14" fillId="25" borderId="13" xfId="26" applyNumberFormat="1" applyFont="1" applyFill="1" applyBorder="1" applyAlignment="1" applyProtection="1"/>
    <xf numFmtId="3" fontId="14" fillId="0" borderId="0" xfId="26" applyNumberFormat="1" applyFont="1" applyFill="1" applyBorder="1" applyAlignment="1" applyProtection="1"/>
    <xf numFmtId="0" fontId="13" fillId="0" borderId="0" xfId="0" applyFont="1"/>
    <xf numFmtId="0" fontId="13" fillId="0" borderId="14" xfId="0" applyFont="1" applyBorder="1"/>
    <xf numFmtId="0" fontId="5" fillId="24" borderId="15" xfId="47" applyFont="1" applyFill="1" applyBorder="1"/>
    <xf numFmtId="3" fontId="36" fillId="0" borderId="0" xfId="0" applyNumberFormat="1" applyFont="1"/>
    <xf numFmtId="3" fontId="14" fillId="24" borderId="11" xfId="0" applyNumberFormat="1" applyFont="1" applyFill="1" applyBorder="1"/>
    <xf numFmtId="3" fontId="13" fillId="0" borderId="14" xfId="0" applyNumberFormat="1" applyFont="1" applyBorder="1"/>
    <xf numFmtId="3" fontId="14" fillId="24" borderId="12" xfId="0" applyNumberFormat="1" applyFont="1" applyFill="1" applyBorder="1"/>
    <xf numFmtId="3" fontId="13" fillId="0" borderId="0" xfId="0" applyNumberFormat="1" applyFont="1" applyBorder="1"/>
    <xf numFmtId="3" fontId="14" fillId="25" borderId="14" xfId="44" applyNumberFormat="1" applyFont="1" applyFill="1" applyBorder="1"/>
    <xf numFmtId="0" fontId="37" fillId="0" borderId="14" xfId="0" applyFont="1" applyBorder="1"/>
    <xf numFmtId="0" fontId="5" fillId="24" borderId="16" xfId="47" applyFont="1" applyFill="1" applyBorder="1"/>
    <xf numFmtId="0" fontId="7" fillId="0" borderId="14" xfId="47" applyFont="1" applyBorder="1"/>
    <xf numFmtId="0" fontId="14" fillId="25" borderId="15" xfId="44" applyFont="1" applyFill="1" applyBorder="1" applyAlignment="1">
      <alignment wrapText="1"/>
    </xf>
    <xf numFmtId="3" fontId="6" fillId="24" borderId="14" xfId="0" applyNumberFormat="1" applyFont="1" applyFill="1" applyBorder="1"/>
    <xf numFmtId="3" fontId="6" fillId="25" borderId="13" xfId="0" applyNumberFormat="1" applyFont="1" applyFill="1" applyBorder="1"/>
    <xf numFmtId="0" fontId="15" fillId="0" borderId="0" xfId="0" applyFont="1" applyBorder="1"/>
    <xf numFmtId="3" fontId="15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4" fontId="7" fillId="0" borderId="0" xfId="0" applyNumberFormat="1" applyFont="1"/>
    <xf numFmtId="0" fontId="6" fillId="0" borderId="0" xfId="0" applyFont="1"/>
    <xf numFmtId="3" fontId="14" fillId="0" borderId="0" xfId="0" applyNumberFormat="1" applyFont="1" applyFill="1" applyBorder="1"/>
    <xf numFmtId="0" fontId="5" fillId="24" borderId="17" xfId="0" applyFont="1" applyFill="1" applyBorder="1"/>
    <xf numFmtId="3" fontId="14" fillId="0" borderId="14" xfId="26" applyNumberFormat="1" applyFont="1" applyFill="1" applyBorder="1" applyAlignment="1" applyProtection="1"/>
    <xf numFmtId="3" fontId="14" fillId="25" borderId="14" xfId="26" applyNumberFormat="1" applyFont="1" applyFill="1" applyBorder="1" applyAlignment="1" applyProtection="1"/>
    <xf numFmtId="0" fontId="14" fillId="0" borderId="0" xfId="44" applyFont="1" applyFill="1" applyBorder="1" applyAlignment="1">
      <alignment wrapText="1"/>
    </xf>
    <xf numFmtId="0" fontId="16" fillId="0" borderId="0" xfId="0" applyFont="1" applyFill="1" applyBorder="1"/>
    <xf numFmtId="3" fontId="11" fillId="0" borderId="0" xfId="0" applyNumberFormat="1" applyFont="1"/>
    <xf numFmtId="3" fontId="14" fillId="0" borderId="0" xfId="26" applyNumberFormat="1" applyFont="1" applyAlignment="1">
      <alignment horizontal="right"/>
    </xf>
    <xf numFmtId="3" fontId="10" fillId="0" borderId="0" xfId="47" applyNumberFormat="1" applyFont="1"/>
    <xf numFmtId="0" fontId="42" fillId="0" borderId="0" xfId="0" applyFont="1"/>
    <xf numFmtId="3" fontId="6" fillId="0" borderId="0" xfId="26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5" fillId="0" borderId="0" xfId="47" applyNumberFormat="1" applyFont="1" applyBorder="1"/>
    <xf numFmtId="3" fontId="7" fillId="0" borderId="0" xfId="47" applyNumberFormat="1" applyFont="1" applyFill="1" applyBorder="1"/>
    <xf numFmtId="0" fontId="5" fillId="0" borderId="0" xfId="47" applyFont="1" applyFill="1" applyBorder="1" applyAlignment="1">
      <alignment horizontal="center"/>
    </xf>
    <xf numFmtId="2" fontId="15" fillId="0" borderId="0" xfId="47" applyNumberFormat="1" applyFont="1" applyBorder="1"/>
    <xf numFmtId="3" fontId="5" fillId="0" borderId="0" xfId="0" applyNumberFormat="1" applyFont="1" applyFill="1" applyBorder="1"/>
    <xf numFmtId="0" fontId="10" fillId="0" borderId="0" xfId="0" applyFont="1" applyBorder="1"/>
    <xf numFmtId="0" fontId="10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top" wrapText="1"/>
    </xf>
    <xf numFmtId="3" fontId="16" fillId="0" borderId="0" xfId="47" applyNumberFormat="1" applyFont="1" applyFill="1" applyBorder="1"/>
    <xf numFmtId="0" fontId="4" fillId="0" borderId="0" xfId="49" applyFont="1"/>
    <xf numFmtId="3" fontId="40" fillId="0" borderId="0" xfId="49" applyNumberFormat="1" applyFont="1" applyFill="1" applyBorder="1"/>
    <xf numFmtId="3" fontId="6" fillId="0" borderId="0" xfId="49" applyNumberFormat="1" applyFont="1" applyFill="1" applyBorder="1"/>
    <xf numFmtId="3" fontId="4" fillId="0" borderId="0" xfId="49" applyNumberFormat="1" applyFont="1" applyFill="1" applyBorder="1" applyAlignment="1">
      <alignment horizontal="right"/>
    </xf>
    <xf numFmtId="3" fontId="40" fillId="0" borderId="0" xfId="49" applyNumberFormat="1" applyFont="1" applyFill="1" applyBorder="1" applyAlignment="1">
      <alignment horizontal="right"/>
    </xf>
    <xf numFmtId="3" fontId="6" fillId="0" borderId="0" xfId="49" applyNumberFormat="1" applyFont="1" applyFill="1" applyBorder="1" applyAlignment="1">
      <alignment horizontal="right"/>
    </xf>
    <xf numFmtId="0" fontId="4" fillId="0" borderId="0" xfId="49" applyFont="1" applyBorder="1"/>
    <xf numFmtId="3" fontId="14" fillId="25" borderId="14" xfId="0" applyNumberFormat="1" applyFont="1" applyFill="1" applyBorder="1"/>
    <xf numFmtId="3" fontId="6" fillId="0" borderId="0" xfId="0" applyNumberFormat="1" applyFont="1" applyFill="1" applyBorder="1"/>
    <xf numFmtId="0" fontId="10" fillId="0" borderId="0" xfId="47" applyFont="1" applyFill="1" applyBorder="1" applyAlignment="1">
      <alignment horizontal="center"/>
    </xf>
    <xf numFmtId="0" fontId="45" fillId="0" borderId="0" xfId="47" applyFont="1" applyBorder="1" applyAlignment="1">
      <alignment horizontal="center"/>
    </xf>
    <xf numFmtId="3" fontId="10" fillId="0" borderId="0" xfId="47" applyNumberFormat="1" applyFont="1" applyFill="1" applyBorder="1"/>
    <xf numFmtId="3" fontId="15" fillId="0" borderId="0" xfId="47" applyNumberFormat="1" applyFont="1"/>
    <xf numFmtId="0" fontId="6" fillId="0" borderId="0" xfId="49" applyFont="1" applyFill="1" applyAlignment="1">
      <alignment horizontal="left"/>
    </xf>
    <xf numFmtId="0" fontId="6" fillId="0" borderId="0" xfId="49" applyFont="1" applyFill="1" applyBorder="1" applyAlignment="1">
      <alignment horizontal="left"/>
    </xf>
    <xf numFmtId="0" fontId="4" fillId="0" borderId="0" xfId="49" applyFont="1" applyFill="1" applyBorder="1"/>
    <xf numFmtId="3" fontId="4" fillId="0" borderId="0" xfId="49" applyNumberFormat="1" applyFont="1" applyBorder="1"/>
    <xf numFmtId="0" fontId="14" fillId="25" borderId="15" xfId="44" applyFont="1" applyFill="1" applyBorder="1" applyAlignment="1">
      <alignment vertical="center" wrapText="1"/>
    </xf>
    <xf numFmtId="0" fontId="3" fillId="0" borderId="0" xfId="47" applyFont="1" applyBorder="1"/>
    <xf numFmtId="0" fontId="5" fillId="24" borderId="18" xfId="47" applyFont="1" applyFill="1" applyBorder="1"/>
    <xf numFmtId="0" fontId="16" fillId="25" borderId="18" xfId="0" applyFont="1" applyFill="1" applyBorder="1"/>
    <xf numFmtId="0" fontId="47" fillId="0" borderId="0" xfId="0" applyFont="1" applyAlignment="1">
      <alignment horizontal="center"/>
    </xf>
    <xf numFmtId="0" fontId="49" fillId="0" borderId="0" xfId="49" applyFont="1" applyBorder="1" applyAlignment="1">
      <alignment horizontal="center"/>
    </xf>
    <xf numFmtId="0" fontId="15" fillId="0" borderId="0" xfId="47" applyFont="1" applyBorder="1"/>
    <xf numFmtId="3" fontId="45" fillId="0" borderId="0" xfId="47" applyNumberFormat="1" applyFont="1"/>
    <xf numFmtId="0" fontId="16" fillId="0" borderId="0" xfId="0" applyFont="1" applyBorder="1"/>
    <xf numFmtId="0" fontId="43" fillId="0" borderId="0" xfId="49" applyFont="1" applyAlignment="1">
      <alignment horizontal="center"/>
    </xf>
    <xf numFmtId="0" fontId="43" fillId="0" borderId="0" xfId="49" applyFont="1" applyFill="1" applyBorder="1" applyAlignment="1">
      <alignment horizontal="center"/>
    </xf>
    <xf numFmtId="165" fontId="17" fillId="0" borderId="0" xfId="26" applyNumberFormat="1"/>
    <xf numFmtId="165" fontId="0" fillId="0" borderId="0" xfId="0" applyNumberFormat="1"/>
    <xf numFmtId="0" fontId="51" fillId="0" borderId="0" xfId="0" applyFont="1" applyBorder="1"/>
    <xf numFmtId="0" fontId="46" fillId="0" borderId="0" xfId="49" applyFont="1" applyFill="1" applyBorder="1" applyAlignment="1">
      <alignment horizontal="left"/>
    </xf>
    <xf numFmtId="3" fontId="4" fillId="0" borderId="0" xfId="26" applyNumberFormat="1" applyFont="1" applyFill="1" applyBorder="1"/>
    <xf numFmtId="49" fontId="8" fillId="0" borderId="0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center" wrapText="1"/>
    </xf>
    <xf numFmtId="3" fontId="46" fillId="0" borderId="0" xfId="49" applyNumberFormat="1" applyFont="1" applyFill="1" applyBorder="1" applyAlignment="1">
      <alignment horizontal="right"/>
    </xf>
    <xf numFmtId="3" fontId="6" fillId="0" borderId="0" xfId="49" applyNumberFormat="1" applyFont="1" applyFill="1" applyBorder="1" applyAlignment="1">
      <alignment horizontal="left"/>
    </xf>
    <xf numFmtId="3" fontId="43" fillId="0" borderId="0" xfId="49" applyNumberFormat="1" applyFont="1" applyFill="1" applyBorder="1" applyAlignment="1">
      <alignment horizontal="center"/>
    </xf>
    <xf numFmtId="3" fontId="7" fillId="0" borderId="0" xfId="47" applyNumberFormat="1" applyFont="1" applyAlignment="1">
      <alignment horizontal="right"/>
    </xf>
    <xf numFmtId="3" fontId="43" fillId="0" borderId="0" xfId="0" applyNumberFormat="1" applyFont="1"/>
    <xf numFmtId="3" fontId="9" fillId="0" borderId="0" xfId="0" applyNumberFormat="1" applyFont="1" applyFill="1"/>
    <xf numFmtId="0" fontId="52" fillId="0" borderId="0" xfId="0" applyFont="1" applyBorder="1"/>
    <xf numFmtId="0" fontId="53" fillId="0" borderId="0" xfId="0" applyFont="1" applyBorder="1" applyAlignment="1">
      <alignment wrapText="1"/>
    </xf>
    <xf numFmtId="3" fontId="39" fillId="0" borderId="0" xfId="0" applyNumberFormat="1" applyFont="1"/>
    <xf numFmtId="0" fontId="53" fillId="0" borderId="0" xfId="0" applyFont="1" applyBorder="1" applyAlignment="1">
      <alignment horizontal="left" wrapText="1"/>
    </xf>
    <xf numFmtId="0" fontId="54" fillId="0" borderId="0" xfId="0" applyFont="1"/>
    <xf numFmtId="0" fontId="17" fillId="0" borderId="0" xfId="0" applyFont="1" applyBorder="1" applyAlignment="1"/>
    <xf numFmtId="3" fontId="54" fillId="0" borderId="0" xfId="0" applyNumberFormat="1" applyFont="1"/>
    <xf numFmtId="0" fontId="11" fillId="0" borderId="0" xfId="0" applyFont="1"/>
    <xf numFmtId="3" fontId="14" fillId="0" borderId="14" xfId="0" applyNumberFormat="1" applyFont="1" applyFill="1" applyBorder="1"/>
    <xf numFmtId="0" fontId="16" fillId="25" borderId="14" xfId="47" applyFont="1" applyFill="1" applyBorder="1"/>
    <xf numFmtId="0" fontId="15" fillId="0" borderId="0" xfId="47" applyFont="1"/>
    <xf numFmtId="3" fontId="43" fillId="0" borderId="0" xfId="0" applyNumberFormat="1" applyFont="1" applyFill="1" applyBorder="1"/>
    <xf numFmtId="3" fontId="4" fillId="0" borderId="0" xfId="0" applyNumberFormat="1" applyFont="1" applyFill="1"/>
    <xf numFmtId="3" fontId="43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14" fontId="15" fillId="0" borderId="0" xfId="0" applyNumberFormat="1" applyFont="1" applyBorder="1"/>
    <xf numFmtId="3" fontId="15" fillId="0" borderId="0" xfId="0" applyNumberFormat="1" applyFont="1" applyFill="1" applyAlignment="1">
      <alignment horizontal="right"/>
    </xf>
    <xf numFmtId="0" fontId="5" fillId="0" borderId="14" xfId="0" applyFont="1" applyFill="1" applyBorder="1"/>
    <xf numFmtId="3" fontId="40" fillId="0" borderId="0" xfId="0" applyNumberFormat="1" applyFont="1"/>
    <xf numFmtId="3" fontId="40" fillId="0" borderId="0" xfId="26" applyNumberFormat="1" applyFont="1" applyAlignment="1">
      <alignment horizontal="right"/>
    </xf>
    <xf numFmtId="3" fontId="40" fillId="0" borderId="0" xfId="0" applyNumberFormat="1" applyFont="1" applyBorder="1"/>
    <xf numFmtId="3" fontId="40" fillId="0" borderId="19" xfId="0" applyNumberFormat="1" applyFont="1" applyBorder="1"/>
    <xf numFmtId="3" fontId="39" fillId="0" borderId="0" xfId="0" applyNumberFormat="1" applyFont="1" applyFill="1"/>
    <xf numFmtId="3" fontId="40" fillId="0" borderId="0" xfId="0" applyNumberFormat="1" applyFont="1" applyFill="1"/>
    <xf numFmtId="3" fontId="40" fillId="0" borderId="0" xfId="0" applyNumberFormat="1" applyFont="1" applyFill="1" applyBorder="1"/>
    <xf numFmtId="0" fontId="54" fillId="0" borderId="0" xfId="0" applyFont="1" applyBorder="1"/>
    <xf numFmtId="3" fontId="54" fillId="0" borderId="0" xfId="0" applyNumberFormat="1" applyFont="1" applyBorder="1"/>
    <xf numFmtId="0" fontId="54" fillId="0" borderId="0" xfId="0" applyFont="1" applyAlignment="1">
      <alignment horizontal="left"/>
    </xf>
    <xf numFmtId="0" fontId="54" fillId="0" borderId="20" xfId="0" applyFont="1" applyBorder="1"/>
    <xf numFmtId="3" fontId="54" fillId="0" borderId="20" xfId="0" applyNumberFormat="1" applyFont="1" applyBorder="1"/>
    <xf numFmtId="3" fontId="40" fillId="0" borderId="14" xfId="0" applyNumberFormat="1" applyFont="1" applyBorder="1"/>
    <xf numFmtId="3" fontId="40" fillId="0" borderId="0" xfId="26" applyNumberFormat="1" applyFont="1" applyFill="1" applyBorder="1" applyAlignment="1" applyProtection="1"/>
    <xf numFmtId="3" fontId="40" fillId="0" borderId="0" xfId="26" applyNumberFormat="1" applyFont="1" applyFill="1" applyBorder="1" applyAlignment="1" applyProtection="1">
      <alignment horizontal="right"/>
    </xf>
    <xf numFmtId="3" fontId="40" fillId="0" borderId="0" xfId="26" applyNumberFormat="1" applyFont="1"/>
    <xf numFmtId="0" fontId="56" fillId="0" borderId="0" xfId="0" applyFont="1"/>
    <xf numFmtId="3" fontId="56" fillId="0" borderId="0" xfId="0" applyNumberFormat="1" applyFont="1"/>
    <xf numFmtId="0" fontId="40" fillId="0" borderId="0" xfId="49" applyFont="1" applyFill="1" applyBorder="1" applyAlignment="1">
      <alignment horizontal="left"/>
    </xf>
    <xf numFmtId="3" fontId="40" fillId="0" borderId="0" xfId="26" applyNumberFormat="1" applyFont="1" applyFill="1" applyBorder="1"/>
    <xf numFmtId="0" fontId="5" fillId="25" borderId="14" xfId="0" applyFont="1" applyFill="1" applyBorder="1"/>
    <xf numFmtId="0" fontId="5" fillId="0" borderId="0" xfId="0" applyFont="1" applyFill="1" applyBorder="1" applyAlignment="1">
      <alignment wrapText="1"/>
    </xf>
    <xf numFmtId="0" fontId="16" fillId="0" borderId="0" xfId="47" applyFont="1" applyBorder="1"/>
    <xf numFmtId="3" fontId="15" fillId="0" borderId="0" xfId="0" applyNumberFormat="1" applyFont="1" applyFill="1" applyBorder="1" applyAlignment="1">
      <alignment horizontal="right"/>
    </xf>
    <xf numFmtId="0" fontId="55" fillId="0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5" fillId="25" borderId="14" xfId="47" applyFont="1" applyFill="1" applyBorder="1" applyAlignment="1">
      <alignment wrapText="1"/>
    </xf>
    <xf numFmtId="3" fontId="9" fillId="0" borderId="0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3" fontId="4" fillId="0" borderId="0" xfId="26" applyNumberFormat="1" applyFont="1" applyAlignment="1">
      <alignment horizontal="right"/>
    </xf>
    <xf numFmtId="3" fontId="4" fillId="0" borderId="0" xfId="49" applyNumberFormat="1" applyFont="1" applyFill="1" applyBorder="1"/>
    <xf numFmtId="3" fontId="16" fillId="0" borderId="0" xfId="0" applyNumberFormat="1" applyFont="1" applyBorder="1" applyAlignment="1"/>
    <xf numFmtId="0" fontId="16" fillId="0" borderId="0" xfId="0" applyFont="1" applyFill="1" applyBorder="1" applyAlignment="1">
      <alignment horizontal="left" wrapText="1"/>
    </xf>
    <xf numFmtId="3" fontId="4" fillId="0" borderId="0" xfId="0" applyNumberFormat="1" applyFont="1" applyBorder="1" applyAlignment="1"/>
    <xf numFmtId="0" fontId="15" fillId="0" borderId="0" xfId="0" applyFont="1" applyFill="1" applyBorder="1" applyAlignment="1">
      <alignment horizontal="left" wrapText="1"/>
    </xf>
    <xf numFmtId="3" fontId="6" fillId="0" borderId="0" xfId="0" applyNumberFormat="1" applyFont="1" applyBorder="1" applyAlignment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wrapText="1"/>
    </xf>
    <xf numFmtId="0" fontId="4" fillId="0" borderId="0" xfId="0" applyFont="1" applyBorder="1" applyAlignment="1"/>
    <xf numFmtId="0" fontId="6" fillId="0" borderId="0" xfId="49" applyFont="1" applyBorder="1" applyAlignment="1">
      <alignment horizontal="center"/>
    </xf>
    <xf numFmtId="3" fontId="5" fillId="28" borderId="12" xfId="0" applyNumberFormat="1" applyFont="1" applyFill="1" applyBorder="1"/>
    <xf numFmtId="0" fontId="58" fillId="0" borderId="0" xfId="0" applyFont="1"/>
    <xf numFmtId="0" fontId="0" fillId="0" borderId="14" xfId="0" applyBorder="1"/>
    <xf numFmtId="0" fontId="58" fillId="0" borderId="14" xfId="0" applyFont="1" applyBorder="1"/>
    <xf numFmtId="0" fontId="0" fillId="0" borderId="14" xfId="0" applyFill="1" applyBorder="1"/>
    <xf numFmtId="0" fontId="0" fillId="0" borderId="13" xfId="0" applyBorder="1"/>
    <xf numFmtId="3" fontId="5" fillId="24" borderId="14" xfId="47" applyNumberFormat="1" applyFont="1" applyFill="1" applyBorder="1"/>
    <xf numFmtId="0" fontId="2" fillId="0" borderId="14" xfId="47" applyFont="1" applyBorder="1"/>
    <xf numFmtId="3" fontId="16" fillId="25" borderId="14" xfId="47" applyNumberFormat="1" applyFont="1" applyFill="1" applyBorder="1"/>
    <xf numFmtId="3" fontId="7" fillId="0" borderId="14" xfId="47" applyNumberFormat="1" applyFont="1" applyBorder="1"/>
    <xf numFmtId="3" fontId="6" fillId="25" borderId="21" xfId="0" applyNumberFormat="1" applyFont="1" applyFill="1" applyBorder="1"/>
    <xf numFmtId="3" fontId="5" fillId="28" borderId="21" xfId="47" applyNumberFormat="1" applyFont="1" applyFill="1" applyBorder="1"/>
    <xf numFmtId="0" fontId="4" fillId="0" borderId="0" xfId="56" applyNumberFormat="1" applyFont="1"/>
    <xf numFmtId="2" fontId="4" fillId="0" borderId="0" xfId="56" applyNumberFormat="1" applyFont="1"/>
    <xf numFmtId="2" fontId="4" fillId="0" borderId="14" xfId="56" applyNumberFormat="1" applyFont="1" applyFill="1" applyBorder="1"/>
    <xf numFmtId="2" fontId="4" fillId="0" borderId="14" xfId="56" applyNumberFormat="1" applyFont="1" applyBorder="1"/>
    <xf numFmtId="2" fontId="4" fillId="0" borderId="13" xfId="56" applyNumberFormat="1" applyFont="1" applyBorder="1"/>
    <xf numFmtId="2" fontId="6" fillId="29" borderId="14" xfId="56" applyNumberFormat="1" applyFont="1" applyFill="1" applyBorder="1"/>
    <xf numFmtId="2" fontId="6" fillId="0" borderId="0" xfId="56" applyNumberFormat="1" applyFont="1"/>
    <xf numFmtId="2" fontId="9" fillId="0" borderId="0" xfId="56" applyNumberFormat="1" applyFont="1"/>
    <xf numFmtId="2" fontId="43" fillId="0" borderId="0" xfId="56" applyNumberFormat="1" applyFont="1"/>
    <xf numFmtId="2" fontId="6" fillId="25" borderId="13" xfId="56" applyNumberFormat="1" applyFont="1" applyFill="1" applyBorder="1" applyAlignment="1" applyProtection="1"/>
    <xf numFmtId="2" fontId="6" fillId="24" borderId="12" xfId="56" applyNumberFormat="1" applyFont="1" applyFill="1" applyBorder="1"/>
    <xf numFmtId="2" fontId="6" fillId="0" borderId="0" xfId="56" applyNumberFormat="1" applyFont="1" applyFill="1" applyBorder="1" applyAlignment="1" applyProtection="1"/>
    <xf numFmtId="2" fontId="6" fillId="25" borderId="13" xfId="56" applyNumberFormat="1" applyFont="1" applyFill="1" applyBorder="1"/>
    <xf numFmtId="3" fontId="15" fillId="0" borderId="0" xfId="47" applyNumberFormat="1" applyFont="1" applyBorder="1"/>
    <xf numFmtId="3" fontId="59" fillId="0" borderId="0" xfId="47" applyNumberFormat="1" applyFont="1" applyBorder="1"/>
    <xf numFmtId="0" fontId="59" fillId="0" borderId="0" xfId="47" applyFont="1" applyBorder="1"/>
    <xf numFmtId="0" fontId="15" fillId="0" borderId="0" xfId="0" applyFont="1" applyFill="1" applyBorder="1" applyAlignment="1"/>
    <xf numFmtId="2" fontId="4" fillId="0" borderId="0" xfId="0" applyNumberFormat="1" applyFont="1"/>
    <xf numFmtId="2" fontId="6" fillId="0" borderId="0" xfId="0" applyNumberFormat="1" applyFont="1"/>
    <xf numFmtId="165" fontId="4" fillId="0" borderId="0" xfId="26" applyNumberFormat="1" applyFont="1"/>
    <xf numFmtId="4" fontId="5" fillId="0" borderId="0" xfId="47" applyNumberFormat="1" applyFont="1" applyBorder="1"/>
    <xf numFmtId="4" fontId="15" fillId="0" borderId="0" xfId="47" applyNumberFormat="1" applyFont="1" applyBorder="1"/>
    <xf numFmtId="4" fontId="7" fillId="0" borderId="0" xfId="47" applyNumberFormat="1" applyFont="1" applyBorder="1"/>
    <xf numFmtId="4" fontId="5" fillId="24" borderId="14" xfId="47" applyNumberFormat="1" applyFont="1" applyFill="1" applyBorder="1"/>
    <xf numFmtId="0" fontId="15" fillId="0" borderId="0" xfId="0" applyFont="1" applyFill="1" applyBorder="1" applyAlignment="1">
      <alignment horizontal="left" vertical="top" wrapText="1"/>
    </xf>
    <xf numFmtId="0" fontId="15" fillId="0" borderId="0" xfId="47" applyNumberFormat="1" applyFont="1" applyBorder="1"/>
    <xf numFmtId="3" fontId="4" fillId="0" borderId="0" xfId="26" applyNumberFormat="1" applyFont="1"/>
    <xf numFmtId="3" fontId="4" fillId="0" borderId="14" xfId="26" applyNumberFormat="1" applyFont="1" applyBorder="1"/>
    <xf numFmtId="3" fontId="4" fillId="0" borderId="0" xfId="26" applyNumberFormat="1" applyFont="1" applyBorder="1"/>
    <xf numFmtId="3" fontId="6" fillId="0" borderId="0" xfId="49" applyNumberFormat="1" applyFont="1" applyFill="1" applyAlignment="1">
      <alignment horizontal="center"/>
    </xf>
    <xf numFmtId="3" fontId="43" fillId="0" borderId="0" xfId="49" applyNumberFormat="1" applyFont="1" applyAlignment="1">
      <alignment horizontal="center"/>
    </xf>
    <xf numFmtId="3" fontId="4" fillId="0" borderId="0" xfId="26" applyNumberFormat="1" applyFont="1" applyFill="1" applyBorder="1" applyAlignment="1">
      <alignment horizontal="right"/>
    </xf>
    <xf numFmtId="4" fontId="5" fillId="29" borderId="13" xfId="47" applyNumberFormat="1" applyFont="1" applyFill="1" applyBorder="1"/>
    <xf numFmtId="0" fontId="4" fillId="0" borderId="0" xfId="49" applyFont="1" applyFill="1" applyBorder="1" applyAlignment="1">
      <alignment horizontal="left"/>
    </xf>
    <xf numFmtId="3" fontId="59" fillId="0" borderId="0" xfId="47" applyNumberFormat="1" applyFont="1"/>
    <xf numFmtId="3" fontId="46" fillId="0" borderId="0" xfId="26" applyNumberFormat="1" applyFont="1"/>
    <xf numFmtId="3" fontId="12" fillId="0" borderId="0" xfId="47" applyNumberFormat="1" applyFont="1" applyBorder="1"/>
    <xf numFmtId="3" fontId="46" fillId="0" borderId="0" xfId="26" applyNumberFormat="1" applyFont="1" applyBorder="1"/>
    <xf numFmtId="4" fontId="12" fillId="0" borderId="0" xfId="47" applyNumberFormat="1" applyFont="1" applyBorder="1"/>
    <xf numFmtId="4" fontId="59" fillId="0" borderId="0" xfId="47" applyNumberFormat="1" applyFont="1" applyBorder="1"/>
    <xf numFmtId="4" fontId="7" fillId="0" borderId="0" xfId="47" applyNumberFormat="1" applyFont="1"/>
    <xf numFmtId="0" fontId="46" fillId="0" borderId="0" xfId="49" applyNumberFormat="1" applyFont="1" applyFill="1" applyBorder="1" applyAlignment="1">
      <alignment horizontal="left" wrapText="1"/>
    </xf>
    <xf numFmtId="4" fontId="6" fillId="24" borderId="11" xfId="0" applyNumberFormat="1" applyFont="1" applyFill="1" applyBorder="1"/>
    <xf numFmtId="168" fontId="4" fillId="0" borderId="0" xfId="26" applyNumberFormat="1" applyFont="1"/>
    <xf numFmtId="49" fontId="7" fillId="0" borderId="0" xfId="47" applyNumberFormat="1" applyFont="1" applyBorder="1"/>
    <xf numFmtId="168" fontId="43" fillId="0" borderId="0" xfId="26" applyNumberFormat="1" applyFont="1" applyFill="1" applyBorder="1"/>
    <xf numFmtId="168" fontId="43" fillId="0" borderId="0" xfId="26" applyNumberFormat="1" applyFont="1"/>
    <xf numFmtId="4" fontId="45" fillId="0" borderId="0" xfId="47" applyNumberFormat="1" applyFont="1"/>
    <xf numFmtId="4" fontId="10" fillId="0" borderId="0" xfId="47" applyNumberFormat="1" applyFont="1"/>
    <xf numFmtId="4" fontId="6" fillId="25" borderId="21" xfId="0" applyNumberFormat="1" applyFont="1" applyFill="1" applyBorder="1"/>
    <xf numFmtId="0" fontId="45" fillId="0" borderId="0" xfId="47" applyFont="1" applyBorder="1"/>
    <xf numFmtId="168" fontId="6" fillId="25" borderId="21" xfId="26" applyNumberFormat="1" applyFont="1" applyFill="1" applyBorder="1"/>
    <xf numFmtId="168" fontId="6" fillId="28" borderId="21" xfId="26" applyNumberFormat="1" applyFont="1" applyFill="1" applyBorder="1"/>
    <xf numFmtId="0" fontId="6" fillId="25" borderId="14" xfId="49" applyFont="1" applyFill="1" applyBorder="1" applyAlignment="1">
      <alignment horizontal="left"/>
    </xf>
    <xf numFmtId="3" fontId="6" fillId="25" borderId="14" xfId="49" applyNumberFormat="1" applyFont="1" applyFill="1" applyBorder="1" applyAlignment="1">
      <alignment horizontal="right"/>
    </xf>
    <xf numFmtId="3" fontId="6" fillId="25" borderId="14" xfId="26" applyNumberFormat="1" applyFont="1" applyFill="1" applyBorder="1" applyAlignment="1">
      <alignment horizontal="right"/>
    </xf>
    <xf numFmtId="4" fontId="6" fillId="25" borderId="14" xfId="49" applyNumberFormat="1" applyFont="1" applyFill="1" applyBorder="1" applyAlignment="1">
      <alignment horizontal="right"/>
    </xf>
    <xf numFmtId="0" fontId="4" fillId="0" borderId="14" xfId="49" applyFont="1" applyBorder="1"/>
    <xf numFmtId="3" fontId="4" fillId="0" borderId="14" xfId="26" applyNumberFormat="1" applyFont="1" applyFill="1" applyBorder="1"/>
    <xf numFmtId="3" fontId="5" fillId="0" borderId="14" xfId="47" applyNumberFormat="1" applyFont="1" applyBorder="1"/>
    <xf numFmtId="0" fontId="6" fillId="25" borderId="22" xfId="49" applyFont="1" applyFill="1" applyBorder="1" applyAlignment="1">
      <alignment horizontal="left"/>
    </xf>
    <xf numFmtId="3" fontId="6" fillId="25" borderId="13" xfId="49" applyNumberFormat="1" applyFont="1" applyFill="1" applyBorder="1" applyAlignment="1">
      <alignment horizontal="right"/>
    </xf>
    <xf numFmtId="3" fontId="6" fillId="25" borderId="13" xfId="26" applyNumberFormat="1" applyFont="1" applyFill="1" applyBorder="1" applyAlignment="1">
      <alignment horizontal="right"/>
    </xf>
    <xf numFmtId="4" fontId="6" fillId="25" borderId="13" xfId="49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2" fontId="6" fillId="25" borderId="14" xfId="56" applyNumberFormat="1" applyFont="1" applyFill="1" applyBorder="1" applyAlignment="1" applyProtection="1"/>
    <xf numFmtId="2" fontId="6" fillId="0" borderId="14" xfId="56" applyNumberFormat="1" applyFont="1" applyFill="1" applyBorder="1" applyAlignment="1" applyProtection="1"/>
    <xf numFmtId="3" fontId="14" fillId="29" borderId="14" xfId="26" applyNumberFormat="1" applyFont="1" applyFill="1" applyBorder="1" applyAlignment="1" applyProtection="1"/>
    <xf numFmtId="2" fontId="6" fillId="29" borderId="14" xfId="56" applyNumberFormat="1" applyFont="1" applyFill="1" applyBorder="1" applyAlignment="1" applyProtection="1"/>
    <xf numFmtId="2" fontId="4" fillId="0" borderId="0" xfId="56" applyNumberFormat="1" applyFont="1" applyFill="1" applyBorder="1" applyAlignment="1" applyProtection="1"/>
    <xf numFmtId="2" fontId="59" fillId="0" borderId="0" xfId="47" applyNumberFormat="1" applyFont="1" applyBorder="1"/>
    <xf numFmtId="2" fontId="7" fillId="0" borderId="0" xfId="47" applyNumberFormat="1" applyFont="1" applyBorder="1"/>
    <xf numFmtId="0" fontId="4" fillId="0" borderId="14" xfId="0" applyFont="1" applyBorder="1"/>
    <xf numFmtId="2" fontId="9" fillId="0" borderId="0" xfId="0" applyNumberFormat="1" applyFont="1"/>
    <xf numFmtId="2" fontId="39" fillId="0" borderId="0" xfId="0" applyNumberFormat="1" applyFont="1"/>
    <xf numFmtId="49" fontId="15" fillId="0" borderId="0" xfId="0" applyNumberFormat="1" applyFont="1" applyBorder="1"/>
    <xf numFmtId="168" fontId="9" fillId="0" borderId="0" xfId="26" applyNumberFormat="1" applyFont="1"/>
    <xf numFmtId="168" fontId="39" fillId="0" borderId="0" xfId="26" applyNumberFormat="1" applyFont="1"/>
    <xf numFmtId="2" fontId="4" fillId="29" borderId="13" xfId="0" applyNumberFormat="1" applyFont="1" applyFill="1" applyBorder="1"/>
    <xf numFmtId="2" fontId="4" fillId="0" borderId="14" xfId="0" applyNumberFormat="1" applyFont="1" applyBorder="1"/>
    <xf numFmtId="49" fontId="7" fillId="0" borderId="0" xfId="0" applyNumberFormat="1" applyFont="1" applyBorder="1"/>
    <xf numFmtId="2" fontId="6" fillId="29" borderId="14" xfId="0" applyNumberFormat="1" applyFont="1" applyFill="1" applyBorder="1"/>
    <xf numFmtId="2" fontId="6" fillId="29" borderId="13" xfId="0" applyNumberFormat="1" applyFont="1" applyFill="1" applyBorder="1"/>
    <xf numFmtId="2" fontId="4" fillId="0" borderId="0" xfId="0" applyNumberFormat="1" applyFont="1" applyBorder="1"/>
    <xf numFmtId="168" fontId="4" fillId="0" borderId="14" xfId="26" applyNumberFormat="1" applyFont="1" applyBorder="1"/>
    <xf numFmtId="168" fontId="4" fillId="0" borderId="0" xfId="26" applyNumberFormat="1" applyFont="1" applyBorder="1"/>
    <xf numFmtId="49" fontId="15" fillId="0" borderId="0" xfId="47" applyNumberFormat="1" applyFont="1"/>
    <xf numFmtId="49" fontId="38" fillId="0" borderId="14" xfId="47" applyNumberFormat="1" applyFont="1" applyBorder="1"/>
    <xf numFmtId="166" fontId="39" fillId="0" borderId="0" xfId="0" applyNumberFormat="1" applyFont="1"/>
    <xf numFmtId="3" fontId="6" fillId="25" borderId="14" xfId="26" applyNumberFormat="1" applyFont="1" applyFill="1" applyBorder="1"/>
    <xf numFmtId="168" fontId="6" fillId="25" borderId="13" xfId="26" applyNumberFormat="1" applyFont="1" applyFill="1" applyBorder="1"/>
    <xf numFmtId="168" fontId="6" fillId="0" borderId="14" xfId="26" applyNumberFormat="1" applyFont="1" applyBorder="1"/>
    <xf numFmtId="168" fontId="6" fillId="25" borderId="14" xfId="26" applyNumberFormat="1" applyFont="1" applyFill="1" applyBorder="1"/>
    <xf numFmtId="168" fontId="6" fillId="24" borderId="12" xfId="26" applyNumberFormat="1" applyFont="1" applyFill="1" applyBorder="1"/>
    <xf numFmtId="168" fontId="6" fillId="24" borderId="11" xfId="26" applyNumberFormat="1" applyFont="1" applyFill="1" applyBorder="1"/>
    <xf numFmtId="0" fontId="5" fillId="0" borderId="0" xfId="47" applyFont="1" applyBorder="1" applyAlignment="1">
      <alignment horizontal="center"/>
    </xf>
    <xf numFmtId="0" fontId="5" fillId="24" borderId="10" xfId="0" applyFont="1" applyFill="1" applyBorder="1" applyAlignment="1">
      <alignment wrapText="1"/>
    </xf>
    <xf numFmtId="0" fontId="1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24" borderId="17" xfId="0" applyFont="1" applyFill="1" applyBorder="1" applyAlignment="1">
      <alignment wrapText="1"/>
    </xf>
    <xf numFmtId="0" fontId="7" fillId="0" borderId="14" xfId="0" applyFont="1" applyBorder="1" applyAlignment="1">
      <alignment wrapText="1"/>
    </xf>
    <xf numFmtId="0" fontId="5" fillId="24" borderId="23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0" fontId="45" fillId="0" borderId="0" xfId="0" applyFont="1" applyAlignment="1">
      <alignment wrapText="1"/>
    </xf>
    <xf numFmtId="0" fontId="6" fillId="25" borderId="13" xfId="0" applyFont="1" applyFill="1" applyBorder="1" applyAlignment="1">
      <alignment wrapText="1"/>
    </xf>
    <xf numFmtId="14" fontId="4" fillId="0" borderId="0" xfId="0" applyNumberFormat="1" applyFont="1" applyAlignment="1">
      <alignment wrapText="1"/>
    </xf>
    <xf numFmtId="3" fontId="13" fillId="0" borderId="14" xfId="0" applyNumberFormat="1" applyFont="1" applyBorder="1" applyAlignment="1">
      <alignment wrapText="1"/>
    </xf>
    <xf numFmtId="0" fontId="42" fillId="0" borderId="0" xfId="0" applyFont="1" applyAlignment="1">
      <alignment wrapText="1"/>
    </xf>
    <xf numFmtId="0" fontId="5" fillId="0" borderId="14" xfId="0" applyFont="1" applyFill="1" applyBorder="1" applyAlignment="1">
      <alignment wrapText="1"/>
    </xf>
    <xf numFmtId="0" fontId="5" fillId="29" borderId="14" xfId="0" applyFont="1" applyFill="1" applyBorder="1" applyAlignment="1">
      <alignment wrapText="1"/>
    </xf>
    <xf numFmtId="0" fontId="37" fillId="0" borderId="14" xfId="0" applyFont="1" applyBorder="1" applyAlignment="1">
      <alignment wrapText="1"/>
    </xf>
    <xf numFmtId="0" fontId="5" fillId="24" borderId="15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7" fillId="0" borderId="14" xfId="0" applyFont="1" applyBorder="1" applyAlignment="1">
      <alignment wrapText="1"/>
    </xf>
    <xf numFmtId="0" fontId="5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47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6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48" fillId="0" borderId="0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5" fillId="26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6" fillId="0" borderId="0" xfId="0" applyFont="1" applyFill="1" applyBorder="1" applyAlignment="1">
      <alignment wrapText="1"/>
    </xf>
    <xf numFmtId="0" fontId="49" fillId="0" borderId="0" xfId="49" applyFont="1" applyBorder="1" applyAlignment="1">
      <alignment horizontal="center" wrapText="1"/>
    </xf>
    <xf numFmtId="0" fontId="4" fillId="0" borderId="0" xfId="49" applyFont="1" applyBorder="1" applyAlignment="1">
      <alignment wrapText="1"/>
    </xf>
    <xf numFmtId="0" fontId="40" fillId="0" borderId="0" xfId="49" applyFont="1" applyBorder="1" applyAlignment="1">
      <alignment wrapText="1"/>
    </xf>
    <xf numFmtId="0" fontId="40" fillId="0" borderId="0" xfId="49" applyFont="1" applyAlignment="1">
      <alignment wrapText="1"/>
    </xf>
    <xf numFmtId="0" fontId="43" fillId="0" borderId="0" xfId="49" applyFont="1" applyBorder="1" applyAlignment="1">
      <alignment wrapText="1"/>
    </xf>
    <xf numFmtId="0" fontId="6" fillId="0" borderId="0" xfId="49" applyFont="1" applyBorder="1" applyAlignment="1">
      <alignment wrapText="1"/>
    </xf>
    <xf numFmtId="0" fontId="0" fillId="0" borderId="0" xfId="0" applyAlignment="1"/>
    <xf numFmtId="0" fontId="17" fillId="0" borderId="0" xfId="43"/>
    <xf numFmtId="168" fontId="6" fillId="0" borderId="0" xfId="26" applyNumberFormat="1" applyFont="1" applyFill="1" applyBorder="1"/>
    <xf numFmtId="2" fontId="6" fillId="0" borderId="0" xfId="0" applyNumberFormat="1" applyFont="1" applyFill="1" applyBorder="1"/>
    <xf numFmtId="0" fontId="18" fillId="0" borderId="0" xfId="0" applyFont="1" applyAlignment="1"/>
    <xf numFmtId="2" fontId="6" fillId="0" borderId="0" xfId="56" applyNumberFormat="1" applyFont="1" applyFill="1" applyBorder="1"/>
    <xf numFmtId="0" fontId="12" fillId="0" borderId="0" xfId="0" applyFont="1" applyFill="1" applyBorder="1" applyAlignment="1">
      <alignment horizontal="left" wrapText="1"/>
    </xf>
    <xf numFmtId="169" fontId="59" fillId="0" borderId="0" xfId="47" applyNumberFormat="1" applyFont="1" applyBorder="1" applyAlignment="1">
      <alignment horizontal="right"/>
    </xf>
    <xf numFmtId="0" fontId="16" fillId="0" borderId="0" xfId="47" applyFont="1" applyBorder="1" applyAlignment="1">
      <alignment wrapText="1"/>
    </xf>
    <xf numFmtId="0" fontId="60" fillId="0" borderId="0" xfId="41"/>
    <xf numFmtId="3" fontId="11" fillId="0" borderId="24" xfId="41" applyNumberFormat="1" applyFont="1" applyBorder="1" applyAlignment="1">
      <alignment horizontal="right" vertical="top" wrapText="1"/>
    </xf>
    <xf numFmtId="0" fontId="11" fillId="0" borderId="24" xfId="41" applyFont="1" applyBorder="1" applyAlignment="1">
      <alignment horizontal="left" vertical="top" wrapText="1"/>
    </xf>
    <xf numFmtId="3" fontId="17" fillId="0" borderId="24" xfId="41" applyNumberFormat="1" applyFont="1" applyBorder="1" applyAlignment="1">
      <alignment horizontal="right" vertical="top" wrapText="1"/>
    </xf>
    <xf numFmtId="0" fontId="17" fillId="0" borderId="24" xfId="41" applyFont="1" applyBorder="1" applyAlignment="1">
      <alignment horizontal="left" vertical="top" wrapText="1"/>
    </xf>
    <xf numFmtId="3" fontId="60" fillId="0" borderId="0" xfId="41" applyNumberFormat="1"/>
    <xf numFmtId="0" fontId="60" fillId="0" borderId="24" xfId="41" applyBorder="1"/>
    <xf numFmtId="0" fontId="11" fillId="0" borderId="24" xfId="41" applyFont="1" applyBorder="1" applyAlignment="1">
      <alignment horizontal="center" vertical="top" wrapText="1"/>
    </xf>
    <xf numFmtId="3" fontId="17" fillId="0" borderId="0" xfId="41" applyNumberFormat="1" applyFont="1" applyFill="1" applyBorder="1" applyAlignment="1">
      <alignment horizontal="right" vertical="top" wrapText="1"/>
    </xf>
    <xf numFmtId="0" fontId="61" fillId="0" borderId="24" xfId="41" applyFont="1" applyFill="1" applyBorder="1" applyAlignment="1">
      <alignment horizontal="center" vertical="top" wrapText="1"/>
    </xf>
    <xf numFmtId="0" fontId="60" fillId="0" borderId="0" xfId="41" applyAlignment="1">
      <alignment horizontal="right"/>
    </xf>
    <xf numFmtId="3" fontId="17" fillId="0" borderId="24" xfId="41" applyNumberFormat="1" applyFont="1" applyFill="1" applyBorder="1" applyAlignment="1">
      <alignment horizontal="right" vertical="top" wrapText="1"/>
    </xf>
    <xf numFmtId="0" fontId="17" fillId="0" borderId="24" xfId="41" applyFont="1" applyFill="1" applyBorder="1" applyAlignment="1">
      <alignment horizontal="left" vertical="top" wrapText="1"/>
    </xf>
    <xf numFmtId="0" fontId="63" fillId="0" borderId="0" xfId="41" applyFont="1" applyFill="1"/>
    <xf numFmtId="0" fontId="60" fillId="0" borderId="0" xfId="41" applyBorder="1"/>
    <xf numFmtId="0" fontId="63" fillId="0" borderId="0" xfId="4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7" fontId="0" fillId="0" borderId="24" xfId="26" applyNumberFormat="1" applyFont="1" applyBorder="1" applyAlignment="1">
      <alignment vertical="center"/>
    </xf>
    <xf numFmtId="167" fontId="0" fillId="0" borderId="0" xfId="0" applyNumberFormat="1"/>
    <xf numFmtId="0" fontId="84" fillId="0" borderId="0" xfId="0" applyFont="1" applyAlignment="1"/>
    <xf numFmtId="0" fontId="85" fillId="0" borderId="0" xfId="0" applyFont="1" applyAlignment="1">
      <alignment horizontal="right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17" fillId="0" borderId="0" xfId="51"/>
    <xf numFmtId="0" fontId="11" fillId="0" borderId="0" xfId="51" applyFont="1" applyAlignment="1">
      <alignment horizontal="right"/>
    </xf>
    <xf numFmtId="0" fontId="11" fillId="0" borderId="0" xfId="51" applyFont="1" applyAlignment="1">
      <alignment horizontal="center"/>
    </xf>
    <xf numFmtId="0" fontId="17" fillId="0" borderId="0" xfId="51" applyAlignment="1">
      <alignment vertical="center" wrapText="1"/>
    </xf>
    <xf numFmtId="0" fontId="11" fillId="0" borderId="24" xfId="51" applyFont="1" applyBorder="1" applyAlignment="1">
      <alignment horizontal="center" vertical="center" wrapText="1"/>
    </xf>
    <xf numFmtId="0" fontId="11" fillId="0" borderId="24" xfId="51" applyFont="1" applyBorder="1" applyAlignment="1">
      <alignment vertical="center" wrapText="1"/>
    </xf>
    <xf numFmtId="165" fontId="11" fillId="0" borderId="24" xfId="27" applyNumberFormat="1" applyFont="1" applyBorder="1" applyAlignment="1">
      <alignment vertical="center" wrapText="1"/>
    </xf>
    <xf numFmtId="0" fontId="65" fillId="0" borderId="24" xfId="51" applyFont="1" applyFill="1" applyBorder="1" applyAlignment="1">
      <alignment horizontal="left" vertical="center" wrapText="1"/>
    </xf>
    <xf numFmtId="165" fontId="17" fillId="0" borderId="24" xfId="27" applyNumberFormat="1" applyBorder="1" applyAlignment="1">
      <alignment vertical="center" wrapText="1"/>
    </xf>
    <xf numFmtId="165" fontId="66" fillId="0" borderId="24" xfId="27" applyNumberFormat="1" applyFont="1" applyBorder="1" applyAlignment="1">
      <alignment vertical="center" wrapText="1"/>
    </xf>
    <xf numFmtId="0" fontId="17" fillId="0" borderId="24" xfId="51" applyFont="1" applyFill="1" applyBorder="1" applyAlignment="1">
      <alignment horizontal="left" vertical="center" wrapText="1"/>
    </xf>
    <xf numFmtId="0" fontId="11" fillId="0" borderId="24" xfId="51" applyFont="1" applyFill="1" applyBorder="1" applyAlignment="1">
      <alignment horizontal="left" vertical="center" wrapText="1"/>
    </xf>
    <xf numFmtId="0" fontId="17" fillId="0" borderId="24" xfId="51" applyBorder="1" applyAlignment="1">
      <alignment vertical="center" wrapText="1"/>
    </xf>
    <xf numFmtId="0" fontId="17" fillId="0" borderId="0" xfId="51" applyAlignment="1">
      <alignment wrapText="1"/>
    </xf>
    <xf numFmtId="167" fontId="17" fillId="0" borderId="0" xfId="28" applyNumberFormat="1" applyFont="1" applyAlignment="1">
      <alignment wrapText="1"/>
    </xf>
    <xf numFmtId="167" fontId="69" fillId="0" borderId="0" xfId="28" applyNumberFormat="1" applyFont="1" applyAlignment="1">
      <alignment wrapText="1"/>
    </xf>
    <xf numFmtId="0" fontId="11" fillId="0" borderId="24" xfId="51" applyFont="1" applyBorder="1" applyAlignment="1">
      <alignment horizontal="center" vertical="top" wrapText="1"/>
    </xf>
    <xf numFmtId="167" fontId="11" fillId="0" borderId="24" xfId="28" applyNumberFormat="1" applyFont="1" applyBorder="1" applyAlignment="1">
      <alignment horizontal="center" wrapText="1"/>
    </xf>
    <xf numFmtId="0" fontId="11" fillId="0" borderId="24" xfId="51" applyFont="1" applyBorder="1" applyAlignment="1">
      <alignment horizontal="left" vertical="center" wrapText="1"/>
    </xf>
    <xf numFmtId="167" fontId="17" fillId="0" borderId="0" xfId="51" applyNumberFormat="1" applyAlignment="1">
      <alignment wrapText="1"/>
    </xf>
    <xf numFmtId="165" fontId="11" fillId="0" borderId="24" xfId="27" applyNumberFormat="1" applyFont="1" applyBorder="1" applyAlignment="1">
      <alignment horizontal="right" vertical="center" wrapText="1"/>
    </xf>
    <xf numFmtId="0" fontId="17" fillId="0" borderId="24" xfId="51" applyFont="1" applyBorder="1" applyAlignment="1">
      <alignment horizontal="left" vertical="top" wrapText="1"/>
    </xf>
    <xf numFmtId="165" fontId="17" fillId="0" borderId="24" xfId="27" applyNumberFormat="1" applyBorder="1" applyAlignment="1">
      <alignment horizontal="right" vertical="top" wrapText="1"/>
    </xf>
    <xf numFmtId="165" fontId="11" fillId="0" borderId="24" xfId="27" applyNumberFormat="1" applyFont="1" applyBorder="1" applyAlignment="1">
      <alignment horizontal="right" vertical="top" wrapText="1"/>
    </xf>
    <xf numFmtId="0" fontId="17" fillId="0" borderId="24" xfId="0" applyFont="1" applyBorder="1" applyAlignment="1">
      <alignment horizontal="left" vertical="top" wrapText="1"/>
    </xf>
    <xf numFmtId="165" fontId="17" fillId="0" borderId="24" xfId="27" applyNumberFormat="1" applyBorder="1" applyAlignment="1">
      <alignment horizontal="right" vertical="center" wrapText="1"/>
    </xf>
    <xf numFmtId="0" fontId="67" fillId="0" borderId="24" xfId="51" applyFont="1" applyBorder="1" applyAlignment="1">
      <alignment horizontal="left" vertical="center" wrapText="1"/>
    </xf>
    <xf numFmtId="0" fontId="68" fillId="0" borderId="24" xfId="51" applyFont="1" applyBorder="1" applyAlignment="1">
      <alignment horizontal="left" vertical="center" wrapText="1"/>
    </xf>
    <xf numFmtId="0" fontId="65" fillId="27" borderId="24" xfId="51" applyFont="1" applyFill="1" applyBorder="1" applyAlignment="1">
      <alignment horizontal="left" vertical="center" wrapText="1"/>
    </xf>
    <xf numFmtId="0" fontId="68" fillId="0" borderId="24" xfId="51" applyFont="1" applyFill="1" applyBorder="1" applyAlignment="1">
      <alignment horizontal="left" vertical="center" wrapText="1"/>
    </xf>
    <xf numFmtId="0" fontId="66" fillId="0" borderId="24" xfId="51" applyFont="1" applyBorder="1" applyAlignment="1">
      <alignment vertical="center" wrapText="1"/>
    </xf>
    <xf numFmtId="0" fontId="55" fillId="0" borderId="0" xfId="46"/>
    <xf numFmtId="14" fontId="55" fillId="0" borderId="0" xfId="46" applyNumberFormat="1"/>
    <xf numFmtId="0" fontId="17" fillId="0" borderId="0" xfId="43" applyFont="1" applyAlignment="1">
      <alignment horizontal="right"/>
    </xf>
    <xf numFmtId="0" fontId="3" fillId="0" borderId="24" xfId="46" applyFont="1" applyBorder="1" applyAlignment="1">
      <alignment horizontal="center"/>
    </xf>
    <xf numFmtId="0" fontId="18" fillId="0" borderId="24" xfId="43" applyFont="1" applyBorder="1" applyAlignment="1">
      <alignment horizontal="center"/>
    </xf>
    <xf numFmtId="0" fontId="3" fillId="0" borderId="25" xfId="46" applyFont="1" applyBorder="1" applyAlignment="1">
      <alignment horizontal="center"/>
    </xf>
    <xf numFmtId="0" fontId="11" fillId="0" borderId="24" xfId="43" applyFont="1" applyBorder="1" applyAlignment="1">
      <alignment horizontal="center"/>
    </xf>
    <xf numFmtId="0" fontId="5" fillId="0" borderId="25" xfId="46" applyFont="1" applyBorder="1"/>
    <xf numFmtId="3" fontId="70" fillId="0" borderId="25" xfId="46" applyNumberFormat="1" applyFont="1" applyBorder="1"/>
    <xf numFmtId="0" fontId="7" fillId="0" borderId="26" xfId="46" applyFont="1" applyBorder="1"/>
    <xf numFmtId="3" fontId="70" fillId="0" borderId="26" xfId="46" applyNumberFormat="1" applyFont="1" applyBorder="1"/>
    <xf numFmtId="3" fontId="7" fillId="0" borderId="26" xfId="46" applyNumberFormat="1" applyFont="1" applyBorder="1"/>
    <xf numFmtId="0" fontId="7" fillId="0" borderId="27" xfId="46" applyFont="1" applyBorder="1"/>
    <xf numFmtId="3" fontId="70" fillId="0" borderId="27" xfId="46" applyNumberFormat="1" applyFont="1" applyBorder="1"/>
    <xf numFmtId="0" fontId="5" fillId="0" borderId="26" xfId="46" applyFont="1" applyBorder="1"/>
    <xf numFmtId="0" fontId="5" fillId="0" borderId="24" xfId="46" applyFont="1" applyBorder="1"/>
    <xf numFmtId="3" fontId="71" fillId="0" borderId="24" xfId="46" applyNumberFormat="1" applyFont="1" applyBorder="1"/>
    <xf numFmtId="0" fontId="4" fillId="0" borderId="0" xfId="43" applyFont="1"/>
    <xf numFmtId="0" fontId="55" fillId="0" borderId="24" xfId="46" applyBorder="1"/>
    <xf numFmtId="0" fontId="17" fillId="0" borderId="0" xfId="42"/>
    <xf numFmtId="0" fontId="11" fillId="0" borderId="0" xfId="42" applyFont="1"/>
    <xf numFmtId="0" fontId="11" fillId="0" borderId="0" xfId="42" applyFont="1" applyAlignment="1">
      <alignment horizontal="right"/>
    </xf>
    <xf numFmtId="0" fontId="11" fillId="0" borderId="0" xfId="42" applyFont="1" applyAlignment="1">
      <alignment horizontal="center"/>
    </xf>
    <xf numFmtId="0" fontId="47" fillId="0" borderId="0" xfId="42" applyFont="1"/>
    <xf numFmtId="0" fontId="11" fillId="0" borderId="24" xfId="42" applyFont="1" applyBorder="1" applyAlignment="1">
      <alignment horizontal="center"/>
    </xf>
    <xf numFmtId="165" fontId="17" fillId="0" borderId="24" xfId="27" applyNumberFormat="1" applyBorder="1" applyAlignment="1">
      <alignment horizontal="right"/>
    </xf>
    <xf numFmtId="165" fontId="11" fillId="0" borderId="24" xfId="27" applyNumberFormat="1" applyFont="1" applyBorder="1" applyAlignment="1">
      <alignment horizontal="right"/>
    </xf>
    <xf numFmtId="0" fontId="17" fillId="0" borderId="0" xfId="42" applyAlignment="1">
      <alignment horizontal="left"/>
    </xf>
    <xf numFmtId="0" fontId="11" fillId="0" borderId="0" xfId="42" applyFont="1" applyAlignment="1"/>
    <xf numFmtId="0" fontId="17" fillId="0" borderId="0" xfId="42" applyAlignment="1"/>
    <xf numFmtId="0" fontId="11" fillId="0" borderId="0" xfId="42" applyFont="1" applyBorder="1" applyAlignment="1"/>
    <xf numFmtId="165" fontId="11" fillId="0" borderId="0" xfId="27" applyNumberFormat="1" applyFont="1" applyBorder="1" applyAlignment="1">
      <alignment horizontal="right"/>
    </xf>
    <xf numFmtId="165" fontId="6" fillId="0" borderId="0" xfId="0" applyNumberFormat="1" applyFont="1" applyBorder="1"/>
    <xf numFmtId="165" fontId="72" fillId="0" borderId="0" xfId="26" applyNumberFormat="1" applyFont="1" applyBorder="1"/>
    <xf numFmtId="165" fontId="6" fillId="0" borderId="24" xfId="0" applyNumberFormat="1" applyFont="1" applyBorder="1"/>
    <xf numFmtId="0" fontId="6" fillId="0" borderId="24" xfId="0" applyFont="1" applyBorder="1" applyAlignment="1">
      <alignment vertical="center"/>
    </xf>
    <xf numFmtId="165" fontId="4" fillId="0" borderId="0" xfId="26" applyNumberFormat="1" applyFont="1" applyBorder="1"/>
    <xf numFmtId="165" fontId="4" fillId="0" borderId="24" xfId="26" applyNumberFormat="1" applyFont="1" applyBorder="1"/>
    <xf numFmtId="0" fontId="4" fillId="0" borderId="24" xfId="0" applyFont="1" applyBorder="1" applyAlignment="1">
      <alignment vertical="top" wrapText="1"/>
    </xf>
    <xf numFmtId="165" fontId="4" fillId="0" borderId="24" xfId="26" applyNumberFormat="1" applyFont="1" applyBorder="1" applyAlignment="1"/>
    <xf numFmtId="165" fontId="4" fillId="0" borderId="0" xfId="26" applyNumberFormat="1" applyFont="1" applyBorder="1" applyAlignment="1">
      <alignment horizontal="center"/>
    </xf>
    <xf numFmtId="0" fontId="73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wrapText="1"/>
    </xf>
    <xf numFmtId="0" fontId="4" fillId="0" borderId="0" xfId="0" applyFont="1" applyAlignment="1">
      <alignment vertical="top"/>
    </xf>
    <xf numFmtId="165" fontId="72" fillId="0" borderId="24" xfId="26" applyNumberFormat="1" applyFont="1" applyBorder="1"/>
    <xf numFmtId="165" fontId="72" fillId="0" borderId="24" xfId="26" applyNumberFormat="1" applyFont="1" applyBorder="1" applyAlignment="1"/>
    <xf numFmtId="0" fontId="72" fillId="0" borderId="0" xfId="0" applyFont="1"/>
    <xf numFmtId="0" fontId="73" fillId="0" borderId="0" xfId="0" applyFont="1" applyAlignment="1">
      <alignment horizontal="right"/>
    </xf>
    <xf numFmtId="0" fontId="73" fillId="0" borderId="0" xfId="0" applyFont="1" applyBorder="1"/>
    <xf numFmtId="0" fontId="43" fillId="0" borderId="0" xfId="0" applyFont="1" applyAlignment="1"/>
    <xf numFmtId="0" fontId="43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167" fontId="4" fillId="0" borderId="24" xfId="26" applyNumberFormat="1" applyFont="1" applyBorder="1"/>
    <xf numFmtId="0" fontId="6" fillId="0" borderId="24" xfId="0" applyFont="1" applyBorder="1" applyAlignment="1">
      <alignment vertical="top" wrapText="1"/>
    </xf>
    <xf numFmtId="3" fontId="17" fillId="0" borderId="28" xfId="0" applyNumberFormat="1" applyFont="1" applyBorder="1"/>
    <xf numFmtId="0" fontId="17" fillId="0" borderId="16" xfId="0" applyFont="1" applyBorder="1"/>
    <xf numFmtId="0" fontId="17" fillId="0" borderId="29" xfId="0" applyFont="1" applyBorder="1"/>
    <xf numFmtId="0" fontId="17" fillId="0" borderId="30" xfId="0" applyFont="1" applyBorder="1"/>
    <xf numFmtId="3" fontId="17" fillId="0" borderId="29" xfId="0" applyNumberFormat="1" applyFont="1" applyBorder="1"/>
    <xf numFmtId="0" fontId="17" fillId="0" borderId="31" xfId="0" applyFont="1" applyBorder="1"/>
    <xf numFmtId="0" fontId="17" fillId="0" borderId="32" xfId="0" applyFont="1" applyBorder="1"/>
    <xf numFmtId="0" fontId="74" fillId="0" borderId="0" xfId="0" applyFont="1"/>
    <xf numFmtId="165" fontId="11" fillId="0" borderId="33" xfId="26" quotePrefix="1" applyNumberFormat="1" applyFont="1" applyBorder="1" applyAlignment="1">
      <alignment horizontal="center"/>
    </xf>
    <xf numFmtId="165" fontId="11" fillId="0" borderId="16" xfId="26" quotePrefix="1" applyNumberFormat="1" applyFont="1" applyBorder="1" applyAlignment="1">
      <alignment horizontal="center"/>
    </xf>
    <xf numFmtId="165" fontId="11" fillId="0" borderId="14" xfId="26" quotePrefix="1" applyNumberFormat="1" applyFont="1" applyBorder="1" applyAlignment="1">
      <alignment horizontal="center"/>
    </xf>
    <xf numFmtId="3" fontId="38" fillId="0" borderId="33" xfId="48" applyNumberFormat="1" applyFont="1" applyBorder="1" applyAlignment="1">
      <alignment horizontal="center"/>
    </xf>
    <xf numFmtId="0" fontId="38" fillId="0" borderId="16" xfId="48" applyFont="1" applyBorder="1" applyAlignment="1">
      <alignment horizontal="center"/>
    </xf>
    <xf numFmtId="0" fontId="3" fillId="0" borderId="33" xfId="48" applyFont="1" applyBorder="1"/>
    <xf numFmtId="3" fontId="3" fillId="0" borderId="34" xfId="48" applyNumberFormat="1" applyFont="1" applyBorder="1" applyAlignment="1">
      <alignment horizontal="center"/>
    </xf>
    <xf numFmtId="0" fontId="3" fillId="0" borderId="30" xfId="48" applyFont="1" applyBorder="1" applyAlignment="1">
      <alignment horizontal="center"/>
    </xf>
    <xf numFmtId="165" fontId="17" fillId="0" borderId="0" xfId="26" applyNumberFormat="1" applyBorder="1" applyAlignment="1">
      <alignment horizontal="center"/>
    </xf>
    <xf numFmtId="165" fontId="17" fillId="0" borderId="34" xfId="26" applyNumberFormat="1" applyBorder="1" applyAlignment="1">
      <alignment horizontal="center"/>
    </xf>
    <xf numFmtId="0" fontId="3" fillId="0" borderId="34" xfId="48" applyFont="1" applyBorder="1"/>
    <xf numFmtId="3" fontId="2" fillId="0" borderId="34" xfId="48" applyNumberFormat="1" applyFont="1" applyBorder="1" applyAlignment="1">
      <alignment horizontal="center"/>
    </xf>
    <xf numFmtId="0" fontId="2" fillId="0" borderId="30" xfId="48" applyFont="1" applyBorder="1" applyAlignment="1">
      <alignment horizontal="center"/>
    </xf>
    <xf numFmtId="165" fontId="17" fillId="0" borderId="0" xfId="26" quotePrefix="1" applyNumberFormat="1" applyBorder="1" applyAlignment="1">
      <alignment horizontal="center"/>
    </xf>
    <xf numFmtId="165" fontId="17" fillId="0" borderId="34" xfId="26" quotePrefix="1" applyNumberFormat="1" applyBorder="1" applyAlignment="1">
      <alignment horizontal="center"/>
    </xf>
    <xf numFmtId="165" fontId="3" fillId="0" borderId="34" xfId="48" applyNumberFormat="1" applyFont="1" applyBorder="1" applyAlignment="1">
      <alignment horizontal="center"/>
    </xf>
    <xf numFmtId="165" fontId="3" fillId="0" borderId="30" xfId="48" applyNumberFormat="1" applyFont="1" applyBorder="1" applyAlignment="1">
      <alignment horizontal="center"/>
    </xf>
    <xf numFmtId="165" fontId="3" fillId="0" borderId="0" xfId="48" applyNumberFormat="1" applyFont="1" applyBorder="1" applyAlignment="1">
      <alignment horizontal="center"/>
    </xf>
    <xf numFmtId="3" fontId="2" fillId="0" borderId="35" xfId="48" applyNumberFormat="1" applyFont="1" applyBorder="1" applyAlignment="1">
      <alignment horizontal="center"/>
    </xf>
    <xf numFmtId="0" fontId="3" fillId="0" borderId="32" xfId="48" applyFont="1" applyBorder="1" applyAlignment="1">
      <alignment horizontal="center"/>
    </xf>
    <xf numFmtId="165" fontId="17" fillId="0" borderId="36" xfId="26" applyNumberFormat="1" applyBorder="1" applyAlignment="1">
      <alignment horizontal="center"/>
    </xf>
    <xf numFmtId="165" fontId="17" fillId="0" borderId="35" xfId="26" applyNumberFormat="1" applyBorder="1" applyAlignment="1">
      <alignment horizontal="center"/>
    </xf>
    <xf numFmtId="0" fontId="2" fillId="0" borderId="32" xfId="48" applyFont="1" applyBorder="1" applyAlignment="1">
      <alignment horizontal="center"/>
    </xf>
    <xf numFmtId="0" fontId="2" fillId="0" borderId="35" xfId="48" applyBorder="1"/>
    <xf numFmtId="3" fontId="2" fillId="0" borderId="37" xfId="48" applyNumberFormat="1" applyFont="1" applyBorder="1" applyAlignment="1">
      <alignment horizontal="center"/>
    </xf>
    <xf numFmtId="0" fontId="2" fillId="0" borderId="38" xfId="48" applyFont="1" applyBorder="1" applyAlignment="1">
      <alignment horizontal="center"/>
    </xf>
    <xf numFmtId="165" fontId="17" fillId="0" borderId="39" xfId="26" applyNumberFormat="1" applyBorder="1" applyAlignment="1">
      <alignment horizontal="center"/>
    </xf>
    <xf numFmtId="165" fontId="17" fillId="0" borderId="30" xfId="26" applyNumberFormat="1" applyBorder="1" applyAlignment="1">
      <alignment horizontal="center"/>
    </xf>
    <xf numFmtId="3" fontId="2" fillId="0" borderId="39" xfId="48" applyNumberFormat="1" applyFont="1" applyBorder="1" applyAlignment="1">
      <alignment horizontal="center"/>
    </xf>
    <xf numFmtId="0" fontId="2" fillId="0" borderId="40" xfId="48" applyFont="1" applyBorder="1" applyAlignment="1">
      <alignment horizontal="center"/>
    </xf>
    <xf numFmtId="0" fontId="2" fillId="0" borderId="34" xfId="48" applyFont="1" applyBorder="1"/>
    <xf numFmtId="164" fontId="17" fillId="0" borderId="41" xfId="26" applyBorder="1" applyAlignment="1">
      <alignment horizontal="center"/>
    </xf>
    <xf numFmtId="165" fontId="55" fillId="0" borderId="30" xfId="48" applyNumberFormat="1" applyFont="1" applyBorder="1" applyAlignment="1">
      <alignment horizontal="center"/>
    </xf>
    <xf numFmtId="165" fontId="17" fillId="0" borderId="42" xfId="26" quotePrefix="1" applyNumberFormat="1" applyBorder="1" applyAlignment="1">
      <alignment horizontal="center"/>
    </xf>
    <xf numFmtId="165" fontId="17" fillId="0" borderId="30" xfId="26" quotePrefix="1" applyNumberFormat="1" applyBorder="1" applyAlignment="1">
      <alignment horizontal="center"/>
    </xf>
    <xf numFmtId="164" fontId="17" fillId="0" borderId="39" xfId="26" applyBorder="1" applyAlignment="1">
      <alignment horizontal="center"/>
    </xf>
    <xf numFmtId="164" fontId="17" fillId="0" borderId="40" xfId="26" quotePrefix="1" applyBorder="1" applyAlignment="1">
      <alignment horizontal="center"/>
    </xf>
    <xf numFmtId="3" fontId="2" fillId="0" borderId="41" xfId="48" applyNumberFormat="1" applyFont="1" applyBorder="1" applyAlignment="1">
      <alignment horizontal="center"/>
    </xf>
    <xf numFmtId="3" fontId="2" fillId="0" borderId="40" xfId="48" applyNumberFormat="1" applyFont="1" applyBorder="1" applyAlignment="1">
      <alignment horizontal="center"/>
    </xf>
    <xf numFmtId="165" fontId="17" fillId="0" borderId="40" xfId="26" applyNumberFormat="1" applyBorder="1" applyAlignment="1">
      <alignment horizontal="center"/>
    </xf>
    <xf numFmtId="3" fontId="2" fillId="0" borderId="43" xfId="48" applyNumberFormat="1" applyFont="1" applyBorder="1" applyAlignment="1">
      <alignment horizontal="center"/>
    </xf>
    <xf numFmtId="0" fontId="2" fillId="0" borderId="44" xfId="48" applyFont="1" applyBorder="1" applyAlignment="1">
      <alignment horizontal="center"/>
    </xf>
    <xf numFmtId="165" fontId="17" fillId="0" borderId="45" xfId="26" applyNumberFormat="1" applyBorder="1" applyAlignment="1">
      <alignment horizontal="center"/>
    </xf>
    <xf numFmtId="165" fontId="17" fillId="0" borderId="46" xfId="26" applyNumberFormat="1" applyBorder="1" applyAlignment="1">
      <alignment horizontal="center"/>
    </xf>
    <xf numFmtId="3" fontId="2" fillId="0" borderId="45" xfId="48" applyNumberFormat="1" applyFont="1" applyBorder="1" applyAlignment="1">
      <alignment horizontal="center"/>
    </xf>
    <xf numFmtId="0" fontId="2" fillId="0" borderId="47" xfId="48" applyBorder="1"/>
    <xf numFmtId="165" fontId="17" fillId="0" borderId="39" xfId="26" quotePrefix="1" applyNumberFormat="1" applyBorder="1" applyAlignment="1">
      <alignment horizontal="center"/>
    </xf>
    <xf numFmtId="3" fontId="2" fillId="0" borderId="48" xfId="48" applyNumberFormat="1" applyFont="1" applyBorder="1" applyAlignment="1">
      <alignment horizontal="center"/>
    </xf>
    <xf numFmtId="0" fontId="2" fillId="0" borderId="49" xfId="48" applyFont="1" applyBorder="1" applyAlignment="1">
      <alignment horizontal="center"/>
    </xf>
    <xf numFmtId="165" fontId="17" fillId="0" borderId="50" xfId="26" quotePrefix="1" applyNumberFormat="1" applyBorder="1" applyAlignment="1">
      <alignment horizontal="center"/>
    </xf>
    <xf numFmtId="165" fontId="17" fillId="0" borderId="51" xfId="26" quotePrefix="1" applyNumberFormat="1" applyBorder="1" applyAlignment="1">
      <alignment horizontal="center"/>
    </xf>
    <xf numFmtId="3" fontId="2" fillId="0" borderId="50" xfId="48" applyNumberFormat="1" applyFont="1" applyBorder="1" applyAlignment="1">
      <alignment horizontal="center"/>
    </xf>
    <xf numFmtId="0" fontId="3" fillId="0" borderId="52" xfId="48" applyFont="1" applyBorder="1"/>
    <xf numFmtId="165" fontId="2" fillId="0" borderId="53" xfId="48" applyNumberFormat="1" applyFont="1" applyBorder="1" applyAlignment="1">
      <alignment horizontal="center"/>
    </xf>
    <xf numFmtId="165" fontId="2" fillId="0" borderId="30" xfId="48" applyNumberFormat="1" applyFont="1" applyBorder="1" applyAlignment="1">
      <alignment horizontal="center"/>
    </xf>
    <xf numFmtId="0" fontId="0" fillId="0" borderId="54" xfId="0" applyBorder="1"/>
    <xf numFmtId="0" fontId="0" fillId="0" borderId="30" xfId="0" applyBorder="1"/>
    <xf numFmtId="165" fontId="17" fillId="0" borderId="42" xfId="26" applyNumberFormat="1" applyBorder="1"/>
    <xf numFmtId="165" fontId="17" fillId="0" borderId="30" xfId="26" applyNumberFormat="1" applyBorder="1"/>
    <xf numFmtId="165" fontId="2" fillId="0" borderId="54" xfId="48" applyNumberFormat="1" applyFont="1" applyBorder="1" applyAlignment="1">
      <alignment horizontal="center"/>
    </xf>
    <xf numFmtId="3" fontId="2" fillId="0" borderId="54" xfId="48" applyNumberFormat="1" applyFont="1" applyBorder="1" applyAlignment="1">
      <alignment horizontal="center"/>
    </xf>
    <xf numFmtId="165" fontId="2" fillId="0" borderId="40" xfId="48" applyNumberFormat="1" applyFont="1" applyBorder="1" applyAlignment="1">
      <alignment horizontal="center"/>
    </xf>
    <xf numFmtId="0" fontId="2" fillId="0" borderId="55" xfId="48" applyFont="1" applyBorder="1" applyAlignment="1">
      <alignment horizontal="center"/>
    </xf>
    <xf numFmtId="0" fontId="2" fillId="0" borderId="56" xfId="48" applyFont="1" applyBorder="1" applyAlignment="1">
      <alignment horizontal="center"/>
    </xf>
    <xf numFmtId="0" fontId="2" fillId="0" borderId="57" xfId="48" applyFont="1" applyBorder="1" applyAlignment="1">
      <alignment horizontal="center"/>
    </xf>
    <xf numFmtId="0" fontId="3" fillId="0" borderId="35" xfId="48" applyFont="1" applyBorder="1"/>
    <xf numFmtId="0" fontId="2" fillId="0" borderId="29" xfId="48" applyFont="1" applyBorder="1"/>
    <xf numFmtId="0" fontId="3" fillId="0" borderId="30" xfId="48" applyFont="1" applyBorder="1"/>
    <xf numFmtId="0" fontId="2" fillId="0" borderId="14" xfId="48" applyBorder="1"/>
    <xf numFmtId="0" fontId="2" fillId="0" borderId="58" xfId="48" applyBorder="1"/>
    <xf numFmtId="0" fontId="2" fillId="0" borderId="59" xfId="48" applyBorder="1"/>
    <xf numFmtId="0" fontId="2" fillId="0" borderId="60" xfId="48" applyBorder="1"/>
    <xf numFmtId="0" fontId="3" fillId="0" borderId="29" xfId="48" applyFont="1" applyBorder="1" applyAlignment="1">
      <alignment horizontal="center"/>
    </xf>
    <xf numFmtId="0" fontId="2" fillId="0" borderId="0" xfId="48" applyFont="1" applyBorder="1" applyAlignment="1">
      <alignment horizontal="center"/>
    </xf>
    <xf numFmtId="0" fontId="2" fillId="0" borderId="61" xfId="48" applyFont="1" applyBorder="1" applyAlignment="1">
      <alignment horizontal="center"/>
    </xf>
    <xf numFmtId="0" fontId="2" fillId="0" borderId="62" xfId="48" applyFont="1" applyBorder="1" applyAlignment="1">
      <alignment horizontal="center"/>
    </xf>
    <xf numFmtId="0" fontId="2" fillId="0" borderId="63" xfId="48" applyBorder="1"/>
    <xf numFmtId="0" fontId="3" fillId="0" borderId="29" xfId="48" applyFont="1" applyBorder="1" applyAlignment="1">
      <alignment horizontal="left"/>
    </xf>
    <xf numFmtId="0" fontId="2" fillId="0" borderId="30" xfId="48" applyBorder="1"/>
    <xf numFmtId="0" fontId="2" fillId="0" borderId="0" xfId="48" applyBorder="1"/>
    <xf numFmtId="0" fontId="2" fillId="0" borderId="61" xfId="48" applyFont="1" applyBorder="1" applyAlignment="1">
      <alignment horizontal="left"/>
    </xf>
    <xf numFmtId="0" fontId="2" fillId="0" borderId="62" xfId="48" applyBorder="1"/>
    <xf numFmtId="0" fontId="2" fillId="0" borderId="63" xfId="48" applyFont="1" applyBorder="1"/>
    <xf numFmtId="0" fontId="3" fillId="0" borderId="31" xfId="48" applyFont="1" applyBorder="1" applyAlignment="1">
      <alignment horizontal="left"/>
    </xf>
    <xf numFmtId="0" fontId="2" fillId="0" borderId="32" xfId="48" applyBorder="1"/>
    <xf numFmtId="0" fontId="2" fillId="0" borderId="36" xfId="48" applyBorder="1"/>
    <xf numFmtId="0" fontId="2" fillId="0" borderId="64" xfId="48" applyFont="1" applyBorder="1" applyAlignment="1">
      <alignment horizontal="left"/>
    </xf>
    <xf numFmtId="0" fontId="2" fillId="0" borderId="65" xfId="48" applyBorder="1"/>
    <xf numFmtId="0" fontId="2" fillId="0" borderId="66" xfId="48" applyFont="1" applyBorder="1"/>
    <xf numFmtId="0" fontId="2" fillId="0" borderId="0" xfId="47" applyBorder="1"/>
    <xf numFmtId="3" fontId="78" fillId="0" borderId="0" xfId="47" applyNumberFormat="1" applyFont="1"/>
    <xf numFmtId="3" fontId="79" fillId="0" borderId="0" xfId="45" applyNumberFormat="1" applyFont="1"/>
    <xf numFmtId="0" fontId="80" fillId="0" borderId="0" xfId="45" applyFont="1"/>
    <xf numFmtId="0" fontId="80" fillId="0" borderId="0" xfId="45" applyFont="1" applyAlignment="1">
      <alignment horizontal="center"/>
    </xf>
    <xf numFmtId="0" fontId="0" fillId="0" borderId="0" xfId="0" applyFont="1"/>
    <xf numFmtId="0" fontId="3" fillId="0" borderId="0" xfId="47" applyFont="1" applyAlignment="1">
      <alignment horizontal="center" wrapText="1"/>
    </xf>
    <xf numFmtId="0" fontId="5" fillId="24" borderId="15" xfId="0" applyFont="1" applyFill="1" applyBorder="1"/>
    <xf numFmtId="3" fontId="4" fillId="25" borderId="13" xfId="0" applyNumberFormat="1" applyFont="1" applyFill="1" applyBorder="1"/>
    <xf numFmtId="3" fontId="6" fillId="25" borderId="13" xfId="26" applyNumberFormat="1" applyFont="1" applyFill="1" applyBorder="1"/>
    <xf numFmtId="3" fontId="4" fillId="0" borderId="0" xfId="0" applyNumberFormat="1" applyFont="1" applyFill="1" applyBorder="1"/>
    <xf numFmtId="3" fontId="4" fillId="0" borderId="1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56" applyNumberFormat="1" applyFont="1" applyFill="1" applyBorder="1"/>
    <xf numFmtId="0" fontId="4" fillId="0" borderId="14" xfId="0" applyFont="1" applyBorder="1" applyAlignment="1">
      <alignment horizontal="center"/>
    </xf>
    <xf numFmtId="3" fontId="7" fillId="0" borderId="0" xfId="47" applyNumberFormat="1" applyFont="1" applyBorder="1" applyAlignment="1">
      <alignment horizontal="right"/>
    </xf>
    <xf numFmtId="3" fontId="5" fillId="24" borderId="20" xfId="47" applyNumberFormat="1" applyFont="1" applyFill="1" applyBorder="1"/>
    <xf numFmtId="168" fontId="6" fillId="24" borderId="20" xfId="26" applyNumberFormat="1" applyFont="1" applyFill="1" applyBorder="1"/>
    <xf numFmtId="4" fontId="5" fillId="24" borderId="20" xfId="47" applyNumberFormat="1" applyFont="1" applyFill="1" applyBorder="1"/>
    <xf numFmtId="3" fontId="4" fillId="0" borderId="20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Border="1"/>
    <xf numFmtId="2" fontId="4" fillId="0" borderId="0" xfId="56" applyNumberFormat="1" applyFont="1" applyBorder="1"/>
    <xf numFmtId="3" fontId="6" fillId="28" borderId="14" xfId="0" applyNumberFormat="1" applyFont="1" applyFill="1" applyBorder="1"/>
    <xf numFmtId="0" fontId="11" fillId="0" borderId="0" xfId="0" applyFont="1" applyBorder="1" applyAlignment="1">
      <alignment horizontal="left" wrapText="1"/>
    </xf>
    <xf numFmtId="0" fontId="17" fillId="0" borderId="0" xfId="0" applyFont="1" applyBorder="1"/>
    <xf numFmtId="0" fontId="0" fillId="0" borderId="0" xfId="0" applyFill="1" applyBorder="1"/>
    <xf numFmtId="0" fontId="4" fillId="0" borderId="0" xfId="0" applyFont="1" applyBorder="1"/>
    <xf numFmtId="0" fontId="58" fillId="0" borderId="0" xfId="0" applyFont="1" applyBorder="1"/>
    <xf numFmtId="0" fontId="11" fillId="0" borderId="20" xfId="0" applyFont="1" applyBorder="1" applyAlignment="1">
      <alignment horizontal="left" wrapText="1"/>
    </xf>
    <xf numFmtId="4" fontId="16" fillId="0" borderId="0" xfId="47" applyNumberFormat="1" applyFont="1"/>
    <xf numFmtId="168" fontId="0" fillId="0" borderId="0" xfId="0" applyNumberFormat="1"/>
    <xf numFmtId="3" fontId="55" fillId="0" borderId="0" xfId="47" applyNumberFormat="1" applyFont="1" applyBorder="1" applyAlignment="1"/>
    <xf numFmtId="3" fontId="55" fillId="0" borderId="0" xfId="47" applyNumberFormat="1" applyFont="1" applyBorder="1" applyAlignment="1">
      <alignment horizontal="left"/>
    </xf>
    <xf numFmtId="3" fontId="15" fillId="0" borderId="0" xfId="47" applyNumberFormat="1" applyFont="1" applyBorder="1" applyAlignment="1">
      <alignment horizontal="right"/>
    </xf>
    <xf numFmtId="0" fontId="11" fillId="0" borderId="0" xfId="0" applyFont="1" applyBorder="1" applyAlignment="1">
      <alignment horizontal="center" wrapText="1"/>
    </xf>
    <xf numFmtId="0" fontId="11" fillId="0" borderId="24" xfId="0" applyFont="1" applyBorder="1" applyAlignment="1">
      <alignment horizontal="left" vertical="center"/>
    </xf>
    <xf numFmtId="167" fontId="11" fillId="0" borderId="24" xfId="26" applyNumberFormat="1" applyFont="1" applyBorder="1" applyAlignment="1">
      <alignment vertical="center"/>
    </xf>
    <xf numFmtId="167" fontId="86" fillId="0" borderId="24" xfId="26" applyNumberFormat="1" applyFont="1" applyBorder="1" applyAlignment="1">
      <alignment vertical="center"/>
    </xf>
    <xf numFmtId="2" fontId="4" fillId="0" borderId="0" xfId="0" applyNumberFormat="1" applyFont="1" applyFill="1" applyBorder="1"/>
    <xf numFmtId="0" fontId="76" fillId="0" borderId="24" xfId="45" applyFont="1" applyBorder="1" applyAlignment="1">
      <alignment horizontal="center"/>
    </xf>
    <xf numFmtId="3" fontId="7" fillId="0" borderId="24" xfId="47" applyNumberFormat="1" applyFont="1" applyBorder="1"/>
    <xf numFmtId="3" fontId="78" fillId="0" borderId="24" xfId="47" applyNumberFormat="1" applyFont="1" applyBorder="1"/>
    <xf numFmtId="0" fontId="80" fillId="0" borderId="24" xfId="45" applyFont="1" applyBorder="1" applyAlignment="1">
      <alignment horizontal="center"/>
    </xf>
    <xf numFmtId="0" fontId="80" fillId="0" borderId="24" xfId="45" applyFont="1" applyBorder="1"/>
    <xf numFmtId="0" fontId="82" fillId="0" borderId="24" xfId="45" applyFont="1" applyBorder="1" applyAlignment="1">
      <alignment horizontal="right"/>
    </xf>
    <xf numFmtId="3" fontId="81" fillId="0" borderId="24" xfId="47" applyNumberFormat="1" applyFont="1" applyBorder="1" applyAlignment="1">
      <alignment horizontal="right"/>
    </xf>
    <xf numFmtId="3" fontId="79" fillId="0" borderId="24" xfId="45" applyNumberFormat="1" applyFont="1" applyBorder="1"/>
    <xf numFmtId="0" fontId="80" fillId="0" borderId="24" xfId="45" applyFont="1" applyBorder="1" applyAlignment="1">
      <alignment horizontal="center" vertical="top"/>
    </xf>
    <xf numFmtId="0" fontId="80" fillId="0" borderId="24" xfId="45" applyFont="1" applyBorder="1" applyAlignment="1">
      <alignment wrapText="1"/>
    </xf>
    <xf numFmtId="0" fontId="76" fillId="0" borderId="24" xfId="45" applyFont="1" applyBorder="1"/>
    <xf numFmtId="3" fontId="75" fillId="0" borderId="24" xfId="45" applyNumberFormat="1" applyFont="1" applyBorder="1"/>
    <xf numFmtId="0" fontId="77" fillId="0" borderId="24" xfId="45" applyFont="1" applyBorder="1" applyAlignment="1">
      <alignment horizontal="center"/>
    </xf>
    <xf numFmtId="3" fontId="7" fillId="0" borderId="67" xfId="47" applyNumberFormat="1" applyFont="1" applyBorder="1"/>
    <xf numFmtId="3" fontId="5" fillId="0" borderId="24" xfId="47" applyNumberFormat="1" applyFont="1" applyBorder="1" applyAlignment="1">
      <alignment horizontal="right"/>
    </xf>
    <xf numFmtId="0" fontId="76" fillId="0" borderId="18" xfId="45" applyFont="1" applyBorder="1" applyAlignment="1"/>
    <xf numFmtId="0" fontId="76" fillId="0" borderId="67" xfId="45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47" applyFont="1" applyBorder="1" applyAlignment="1">
      <alignment horizontal="center"/>
    </xf>
    <xf numFmtId="3" fontId="7" fillId="0" borderId="0" xfId="47" applyNumberFormat="1" applyFont="1" applyBorder="1" applyAlignment="1">
      <alignment horizontal="right"/>
    </xf>
    <xf numFmtId="3" fontId="55" fillId="0" borderId="0" xfId="47" applyNumberFormat="1" applyFont="1" applyBorder="1" applyAlignment="1">
      <alignment horizontal="right"/>
    </xf>
    <xf numFmtId="0" fontId="3" fillId="0" borderId="0" xfId="47" applyFont="1" applyAlignment="1">
      <alignment horizontal="center" wrapText="1"/>
    </xf>
    <xf numFmtId="0" fontId="5" fillId="24" borderId="18" xfId="0" applyFont="1" applyFill="1" applyBorder="1" applyAlignment="1">
      <alignment horizontal="center"/>
    </xf>
    <xf numFmtId="0" fontId="5" fillId="24" borderId="21" xfId="0" applyFont="1" applyFill="1" applyBorder="1" applyAlignment="1">
      <alignment horizontal="center"/>
    </xf>
    <xf numFmtId="0" fontId="5" fillId="24" borderId="67" xfId="0" applyFont="1" applyFill="1" applyBorder="1" applyAlignment="1">
      <alignment horizontal="center"/>
    </xf>
    <xf numFmtId="0" fontId="8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5" fillId="24" borderId="20" xfId="0" applyFont="1" applyFill="1" applyBorder="1" applyAlignment="1">
      <alignment horizontal="center"/>
    </xf>
    <xf numFmtId="0" fontId="5" fillId="24" borderId="68" xfId="0" applyFont="1" applyFill="1" applyBorder="1" applyAlignment="1">
      <alignment horizontal="center"/>
    </xf>
    <xf numFmtId="0" fontId="16" fillId="24" borderId="18" xfId="0" applyFont="1" applyFill="1" applyBorder="1" applyAlignment="1">
      <alignment horizontal="center"/>
    </xf>
    <xf numFmtId="0" fontId="16" fillId="24" borderId="21" xfId="0" applyFont="1" applyFill="1" applyBorder="1" applyAlignment="1">
      <alignment horizontal="center"/>
    </xf>
    <xf numFmtId="0" fontId="16" fillId="24" borderId="67" xfId="0" applyFont="1" applyFill="1" applyBorder="1" applyAlignment="1">
      <alignment horizontal="center"/>
    </xf>
    <xf numFmtId="0" fontId="16" fillId="24" borderId="18" xfId="0" applyFont="1" applyFill="1" applyBorder="1" applyAlignment="1">
      <alignment horizontal="center" wrapText="1"/>
    </xf>
    <xf numFmtId="0" fontId="16" fillId="24" borderId="21" xfId="0" applyFont="1" applyFill="1" applyBorder="1" applyAlignment="1">
      <alignment horizontal="center" wrapText="1"/>
    </xf>
    <xf numFmtId="0" fontId="16" fillId="24" borderId="67" xfId="0" applyFont="1" applyFill="1" applyBorder="1" applyAlignment="1">
      <alignment horizontal="center" wrapText="1"/>
    </xf>
    <xf numFmtId="0" fontId="16" fillId="29" borderId="18" xfId="0" applyFont="1" applyFill="1" applyBorder="1" applyAlignment="1">
      <alignment horizontal="center" wrapText="1"/>
    </xf>
    <xf numFmtId="0" fontId="16" fillId="29" borderId="21" xfId="0" applyFont="1" applyFill="1" applyBorder="1" applyAlignment="1">
      <alignment horizontal="center" wrapText="1"/>
    </xf>
    <xf numFmtId="0" fontId="16" fillId="29" borderId="67" xfId="0" applyFont="1" applyFill="1" applyBorder="1" applyAlignment="1">
      <alignment horizontal="center" wrapText="1"/>
    </xf>
    <xf numFmtId="0" fontId="5" fillId="29" borderId="18" xfId="0" applyFont="1" applyFill="1" applyBorder="1" applyAlignment="1">
      <alignment horizontal="center" wrapText="1"/>
    </xf>
    <xf numFmtId="0" fontId="5" fillId="29" borderId="21" xfId="0" applyFont="1" applyFill="1" applyBorder="1" applyAlignment="1">
      <alignment horizontal="center" wrapText="1"/>
    </xf>
    <xf numFmtId="0" fontId="5" fillId="29" borderId="67" xfId="0" applyFont="1" applyFill="1" applyBorder="1" applyAlignment="1">
      <alignment horizontal="center" wrapText="1"/>
    </xf>
    <xf numFmtId="0" fontId="5" fillId="24" borderId="24" xfId="0" applyFont="1" applyFill="1" applyBorder="1" applyAlignment="1">
      <alignment horizontal="center"/>
    </xf>
    <xf numFmtId="0" fontId="50" fillId="0" borderId="0" xfId="49" applyFont="1" applyBorder="1" applyAlignment="1">
      <alignment horizontal="center"/>
    </xf>
    <xf numFmtId="0" fontId="6" fillId="25" borderId="18" xfId="49" applyFont="1" applyFill="1" applyBorder="1" applyAlignment="1">
      <alignment horizontal="center"/>
    </xf>
    <xf numFmtId="0" fontId="6" fillId="25" borderId="21" xfId="49" applyFont="1" applyFill="1" applyBorder="1" applyAlignment="1">
      <alignment horizontal="center"/>
    </xf>
    <xf numFmtId="0" fontId="6" fillId="25" borderId="67" xfId="49" applyFont="1" applyFill="1" applyBorder="1" applyAlignment="1">
      <alignment horizontal="center"/>
    </xf>
    <xf numFmtId="0" fontId="5" fillId="24" borderId="18" xfId="50" applyFont="1" applyFill="1" applyBorder="1" applyAlignment="1">
      <alignment horizontal="center"/>
    </xf>
    <xf numFmtId="0" fontId="5" fillId="24" borderId="21" xfId="50" applyFont="1" applyFill="1" applyBorder="1" applyAlignment="1">
      <alignment horizontal="center"/>
    </xf>
    <xf numFmtId="0" fontId="5" fillId="24" borderId="67" xfId="50" applyFont="1" applyFill="1" applyBorder="1" applyAlignment="1">
      <alignment horizontal="center"/>
    </xf>
    <xf numFmtId="0" fontId="49" fillId="0" borderId="0" xfId="49" applyFont="1" applyBorder="1" applyAlignment="1">
      <alignment horizontal="center"/>
    </xf>
    <xf numFmtId="0" fontId="44" fillId="0" borderId="0" xfId="47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6" fillId="29" borderId="24" xfId="0" applyFont="1" applyFill="1" applyBorder="1" applyAlignment="1">
      <alignment horizontal="center"/>
    </xf>
    <xf numFmtId="0" fontId="12" fillId="29" borderId="24" xfId="0" applyFont="1" applyFill="1" applyBorder="1" applyAlignment="1">
      <alignment horizontal="center"/>
    </xf>
    <xf numFmtId="0" fontId="62" fillId="0" borderId="0" xfId="41" applyFont="1" applyAlignment="1">
      <alignment horizontal="left"/>
    </xf>
    <xf numFmtId="0" fontId="64" fillId="0" borderId="0" xfId="41" applyFont="1" applyFill="1" applyBorder="1"/>
    <xf numFmtId="0" fontId="3" fillId="0" borderId="0" xfId="46" applyFont="1" applyAlignment="1">
      <alignment horizontal="center"/>
    </xf>
    <xf numFmtId="14" fontId="3" fillId="0" borderId="0" xfId="46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51" applyFont="1" applyAlignment="1">
      <alignment horizontal="center"/>
    </xf>
    <xf numFmtId="0" fontId="11" fillId="0" borderId="20" xfId="51" applyFont="1" applyBorder="1" applyAlignment="1">
      <alignment horizontal="right" vertical="center" wrapText="1"/>
    </xf>
    <xf numFmtId="0" fontId="2" fillId="0" borderId="0" xfId="47" applyFont="1" applyAlignment="1">
      <alignment horizontal="right"/>
    </xf>
    <xf numFmtId="0" fontId="11" fillId="0" borderId="24" xfId="42" applyFont="1" applyBorder="1" applyAlignment="1"/>
    <xf numFmtId="0" fontId="11" fillId="0" borderId="24" xfId="42" applyFont="1" applyBorder="1" applyAlignment="1">
      <alignment horizontal="center"/>
    </xf>
    <xf numFmtId="0" fontId="17" fillId="0" borderId="18" xfId="42" applyBorder="1" applyAlignment="1"/>
    <xf numFmtId="0" fontId="17" fillId="0" borderId="21" xfId="42" applyBorder="1" applyAlignment="1"/>
    <xf numFmtId="0" fontId="17" fillId="0" borderId="67" xfId="42" applyBorder="1" applyAlignment="1"/>
    <xf numFmtId="0" fontId="11" fillId="0" borderId="0" xfId="42" applyFont="1" applyAlignment="1">
      <alignment horizontal="center"/>
    </xf>
    <xf numFmtId="0" fontId="17" fillId="0" borderId="0" xfId="42" applyAlignment="1">
      <alignment horizontal="left"/>
    </xf>
    <xf numFmtId="0" fontId="47" fillId="0" borderId="0" xfId="42" applyFont="1" applyAlignment="1">
      <alignment horizontal="left"/>
    </xf>
    <xf numFmtId="0" fontId="76" fillId="0" borderId="24" xfId="45" applyFont="1" applyBorder="1" applyAlignment="1">
      <alignment horizontal="center"/>
    </xf>
    <xf numFmtId="0" fontId="76" fillId="0" borderId="0" xfId="45" applyFont="1" applyBorder="1" applyAlignment="1">
      <alignment horizontal="center"/>
    </xf>
    <xf numFmtId="0" fontId="0" fillId="0" borderId="0" xfId="0"/>
    <xf numFmtId="3" fontId="2" fillId="0" borderId="0" xfId="47" applyNumberFormat="1" applyFont="1" applyAlignment="1">
      <alignment horizontal="right"/>
    </xf>
    <xf numFmtId="0" fontId="43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167" fontId="4" fillId="0" borderId="24" xfId="0" applyNumberFormat="1" applyFont="1" applyBorder="1" applyAlignment="1">
      <alignment horizontal="left"/>
    </xf>
    <xf numFmtId="167" fontId="4" fillId="0" borderId="24" xfId="0" applyNumberFormat="1" applyFont="1" applyBorder="1" applyAlignment="1"/>
    <xf numFmtId="167" fontId="6" fillId="0" borderId="24" xfId="0" applyNumberFormat="1" applyFont="1" applyBorder="1" applyAlignment="1"/>
  </cellXfs>
  <cellStyles count="5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Ezres_Vagyonkimutatás-ezer forintos" xfId="28"/>
    <cellStyle name="Figyelmeztetés" xfId="29" builtinId="11" customBuiltin="1"/>
    <cellStyle name="Hivatkozott cella" xfId="30" builtinId="24" customBuiltin="1"/>
    <cellStyle name="Jegyzet" xfId="31" builtinId="10" customBuiltin="1"/>
    <cellStyle name="Jelölőszín (1)" xfId="32" builtinId="29" customBuiltin="1"/>
    <cellStyle name="Jelölőszín (2)" xfId="33" builtinId="33" customBuiltin="1"/>
    <cellStyle name="Jelölőszín (3)" xfId="34" builtinId="37" customBuiltin="1"/>
    <cellStyle name="Jelölőszín (4)" xfId="35" builtinId="41" customBuiltin="1"/>
    <cellStyle name="Jelölőszín (5)" xfId="36" builtinId="45" customBuiltin="1"/>
    <cellStyle name="Jelölőszín (6)" xfId="37" builtinId="49" customBuiltin="1"/>
    <cellStyle name="Jó" xfId="38" builtinId="26" customBuiltin="1"/>
    <cellStyle name="Kimenet" xfId="39" builtinId="21" customBuiltin="1"/>
    <cellStyle name="Magyarázó szöveg" xfId="40" builtinId="53" customBuiltin="1"/>
    <cellStyle name="Normál" xfId="0" builtinId="0"/>
    <cellStyle name="Normál 2" xfId="41"/>
    <cellStyle name="Normál 3" xfId="42"/>
    <cellStyle name="Normál_2009. évi zárszámadás 2" xfId="43"/>
    <cellStyle name="Normál_2011_költségvetés-I. fordulós anyag-alap" xfId="44"/>
    <cellStyle name="Normál_ktgv2003_1" xfId="45"/>
    <cellStyle name="Normál_ktgvetés2007_beszámoló" xfId="46"/>
    <cellStyle name="Normál_ktgvetés2007_végleges" xfId="47"/>
    <cellStyle name="Normál_ktgvetés2007_végleges_2010_költségvetés-végleges" xfId="48"/>
    <cellStyle name="Normál_mellékletek testületnek-végleges" xfId="49"/>
    <cellStyle name="Normál_Munka1" xfId="50"/>
    <cellStyle name="Normál_Vagyonkimutatás-ezer forintos" xfId="51"/>
    <cellStyle name="Összesen" xfId="52" builtinId="25" customBuiltin="1"/>
    <cellStyle name="Rossz" xfId="53" builtinId="27" customBuiltin="1"/>
    <cellStyle name="Semleges" xfId="54" builtinId="28" customBuiltin="1"/>
    <cellStyle name="Számítás" xfId="55" builtinId="22" customBuiltin="1"/>
    <cellStyle name="Százalék" xfId="5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47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U165"/>
  <sheetViews>
    <sheetView tabSelected="1" view="pageLayout" topLeftCell="A111" workbookViewId="0">
      <selection activeCell="B108" sqref="B108"/>
    </sheetView>
  </sheetViews>
  <sheetFormatPr defaultRowHeight="12.75"/>
  <cols>
    <col min="1" max="1" width="56.7109375" customWidth="1"/>
    <col min="2" max="2" width="11.5703125" style="6" customWidth="1"/>
    <col min="3" max="3" width="11.7109375" style="17" customWidth="1"/>
    <col min="4" max="4" width="12" style="17" customWidth="1"/>
    <col min="5" max="5" width="6.5703125" style="193" customWidth="1"/>
    <col min="6" max="6" width="11.7109375" bestFit="1" customWidth="1"/>
    <col min="7" max="7" width="10.140625" bestFit="1" customWidth="1"/>
    <col min="8" max="19" width="8.85546875" customWidth="1"/>
    <col min="20" max="20" width="16.28515625" bestFit="1" customWidth="1"/>
    <col min="21" max="21" width="11" bestFit="1" customWidth="1"/>
  </cols>
  <sheetData>
    <row r="1" spans="1:6">
      <c r="A1" s="7" t="s">
        <v>124</v>
      </c>
      <c r="B1" s="16"/>
    </row>
    <row r="2" spans="1:6">
      <c r="A2" s="7"/>
      <c r="B2" s="16"/>
    </row>
    <row r="3" spans="1:6">
      <c r="A3" s="7"/>
      <c r="B3" s="622" t="s">
        <v>909</v>
      </c>
      <c r="C3" s="622"/>
    </row>
    <row r="4" spans="1:6" ht="13.5" thickBot="1">
      <c r="A4" s="7"/>
      <c r="B4" s="576" t="s">
        <v>905</v>
      </c>
      <c r="C4" s="577" t="s">
        <v>906</v>
      </c>
      <c r="D4" s="577" t="s">
        <v>907</v>
      </c>
      <c r="E4" s="577" t="s">
        <v>908</v>
      </c>
    </row>
    <row r="5" spans="1:6" ht="13.5" thickBot="1">
      <c r="A5" s="8" t="s">
        <v>910</v>
      </c>
      <c r="B5" s="9">
        <f>B6+B7+B8+B9+B10</f>
        <v>76194670</v>
      </c>
      <c r="C5" s="9">
        <f>C6+C7+C8+C9+C10</f>
        <v>80622341</v>
      </c>
      <c r="D5" s="9">
        <f>D6+D7+D8+D9+D10</f>
        <v>72136491.449999988</v>
      </c>
      <c r="E5" s="246">
        <f t="shared" ref="E5:E10" si="0">D5/C5*100</f>
        <v>89.474568159711438</v>
      </c>
      <c r="F5" s="43"/>
    </row>
    <row r="6" spans="1:6">
      <c r="A6" s="66" t="s">
        <v>293</v>
      </c>
      <c r="B6" s="152">
        <f>'3_melléklet'!B10</f>
        <v>28825180</v>
      </c>
      <c r="C6" s="6">
        <f>'3_melléklet'!C10</f>
        <v>33162131</v>
      </c>
      <c r="D6" s="6">
        <f>'3_melléklet'!D10-34</f>
        <v>32201860.870000001</v>
      </c>
      <c r="E6" s="221">
        <f t="shared" si="0"/>
        <v>97.104317180340445</v>
      </c>
    </row>
    <row r="7" spans="1:6">
      <c r="A7" s="12" t="s">
        <v>116</v>
      </c>
      <c r="B7" s="152">
        <f>'3_melléklet'!B58</f>
        <v>10755630</v>
      </c>
      <c r="C7" s="6">
        <f>'3_melléklet'!C58</f>
        <v>10755630</v>
      </c>
      <c r="D7" s="6">
        <f>'3_melléklet'!D58</f>
        <v>9335440.1099999994</v>
      </c>
      <c r="E7" s="221">
        <f t="shared" si="0"/>
        <v>86.795846547343103</v>
      </c>
    </row>
    <row r="8" spans="1:6">
      <c r="A8" s="12" t="s">
        <v>117</v>
      </c>
      <c r="B8" s="152">
        <f>'3_melléklet'!B81</f>
        <v>17085210</v>
      </c>
      <c r="C8" s="6">
        <f>'3_melléklet'!C81</f>
        <v>17085210</v>
      </c>
      <c r="D8" s="6">
        <f>'3_melléklet'!D81</f>
        <v>15826080.33</v>
      </c>
      <c r="E8" s="221">
        <f t="shared" si="0"/>
        <v>92.630294447653853</v>
      </c>
    </row>
    <row r="9" spans="1:6">
      <c r="A9" s="12" t="s">
        <v>262</v>
      </c>
      <c r="B9" s="152">
        <f>'3_melléklet'!B105</f>
        <v>16811150</v>
      </c>
      <c r="C9" s="6">
        <f>'3_melléklet'!C105</f>
        <v>16811150</v>
      </c>
      <c r="D9" s="6">
        <f>'3_melléklet'!D105</f>
        <v>12730847.789999999</v>
      </c>
      <c r="E9" s="221">
        <f t="shared" si="0"/>
        <v>75.728595545218496</v>
      </c>
    </row>
    <row r="10" spans="1:6">
      <c r="A10" s="12" t="s">
        <v>261</v>
      </c>
      <c r="B10" s="154">
        <f>'3_melléklet'!B122</f>
        <v>2717500</v>
      </c>
      <c r="C10" s="16">
        <f>'3_melléklet'!C122</f>
        <v>2808220</v>
      </c>
      <c r="D10" s="16">
        <f>'3_melléklet'!D122</f>
        <v>2042262.35</v>
      </c>
      <c r="E10" s="221">
        <f t="shared" si="0"/>
        <v>72.724442885528916</v>
      </c>
    </row>
    <row r="11" spans="1:6" ht="13.5" thickBot="1">
      <c r="A11" s="12"/>
      <c r="B11" s="155"/>
    </row>
    <row r="12" spans="1:6" ht="13.5" thickBot="1">
      <c r="A12" s="8" t="s">
        <v>5</v>
      </c>
      <c r="B12" s="9">
        <f>B13+B24</f>
        <v>146020000</v>
      </c>
      <c r="C12" s="9">
        <f>C13+C24</f>
        <v>146020000</v>
      </c>
      <c r="D12" s="9">
        <f>D13+D24</f>
        <v>117907388</v>
      </c>
      <c r="E12" s="246">
        <f>D12/C12*100</f>
        <v>80.747423640597177</v>
      </c>
    </row>
    <row r="13" spans="1:6">
      <c r="A13" s="123" t="s">
        <v>4</v>
      </c>
      <c r="B13" s="179">
        <f>B14+B17+B20</f>
        <v>145620000</v>
      </c>
      <c r="C13" s="179">
        <f>C14+C17+C20</f>
        <v>145620000</v>
      </c>
      <c r="D13" s="179">
        <f>D14+D17+D20</f>
        <v>117814015</v>
      </c>
      <c r="E13" s="277">
        <f t="shared" ref="E13:E86" si="1">D13/C13*100</f>
        <v>80.905105754704024</v>
      </c>
    </row>
    <row r="14" spans="1:6">
      <c r="A14" s="134" t="s">
        <v>7</v>
      </c>
      <c r="B14" s="136">
        <f>SUM(B15:B16)</f>
        <v>134300000</v>
      </c>
      <c r="C14" s="136">
        <f>SUM(C15:C16)</f>
        <v>134300000</v>
      </c>
      <c r="D14" s="136">
        <f>SUM(D15:D16)</f>
        <v>106492915</v>
      </c>
      <c r="E14" s="278">
        <f t="shared" si="1"/>
        <v>79.294798957557717</v>
      </c>
    </row>
    <row r="15" spans="1:6">
      <c r="A15" s="66" t="s">
        <v>8</v>
      </c>
      <c r="B15" s="6">
        <v>130000000</v>
      </c>
      <c r="C15" s="247">
        <v>130000000</v>
      </c>
      <c r="D15" s="247">
        <v>101953582</v>
      </c>
      <c r="E15" s="221">
        <f t="shared" si="1"/>
        <v>78.425832307692318</v>
      </c>
    </row>
    <row r="16" spans="1:6">
      <c r="A16" s="66" t="s">
        <v>9</v>
      </c>
      <c r="B16" s="6">
        <v>4300000</v>
      </c>
      <c r="C16" s="247">
        <v>4300000</v>
      </c>
      <c r="D16" s="247">
        <v>4539333</v>
      </c>
      <c r="E16" s="221">
        <f t="shared" si="1"/>
        <v>105.56588372093023</v>
      </c>
    </row>
    <row r="17" spans="1:5">
      <c r="A17" s="134" t="s">
        <v>10</v>
      </c>
      <c r="B17" s="136">
        <f>B18+B19</f>
        <v>10020000</v>
      </c>
      <c r="C17" s="281">
        <f>C18+C19</f>
        <v>10020000</v>
      </c>
      <c r="D17" s="281">
        <f>D18+D19</f>
        <v>10368462</v>
      </c>
      <c r="E17" s="292">
        <f t="shared" si="1"/>
        <v>103.47766467065868</v>
      </c>
    </row>
    <row r="18" spans="1:5">
      <c r="A18" s="66" t="s">
        <v>11</v>
      </c>
      <c r="B18" s="6">
        <v>10000000</v>
      </c>
      <c r="C18" s="247">
        <v>10000000</v>
      </c>
      <c r="D18" s="247">
        <v>10368462</v>
      </c>
      <c r="E18" s="221">
        <f t="shared" si="1"/>
        <v>103.68462000000001</v>
      </c>
    </row>
    <row r="19" spans="1:5">
      <c r="A19" s="66" t="s">
        <v>12</v>
      </c>
      <c r="B19" s="6">
        <v>20000</v>
      </c>
      <c r="C19" s="247">
        <v>20000</v>
      </c>
      <c r="D19" s="247">
        <v>0</v>
      </c>
      <c r="E19" s="221">
        <f t="shared" si="1"/>
        <v>0</v>
      </c>
    </row>
    <row r="20" spans="1:5">
      <c r="A20" s="134" t="s">
        <v>13</v>
      </c>
      <c r="B20" s="136">
        <f>B21+B22</f>
        <v>1300000</v>
      </c>
      <c r="C20" s="281">
        <f>C21+C22</f>
        <v>1300000</v>
      </c>
      <c r="D20" s="281">
        <f>D21+D22</f>
        <v>952638</v>
      </c>
      <c r="E20" s="278">
        <f t="shared" si="1"/>
        <v>73.279846153846151</v>
      </c>
    </row>
    <row r="21" spans="1:5">
      <c r="A21" s="66" t="s">
        <v>0</v>
      </c>
      <c r="B21" s="6">
        <v>1000000</v>
      </c>
      <c r="C21" s="247">
        <v>1000000</v>
      </c>
      <c r="D21" s="247">
        <v>613667</v>
      </c>
      <c r="E21" s="221">
        <f t="shared" si="1"/>
        <v>61.366699999999994</v>
      </c>
    </row>
    <row r="22" spans="1:5">
      <c r="A22" s="66" t="s">
        <v>1</v>
      </c>
      <c r="B22" s="152">
        <v>300000</v>
      </c>
      <c r="C22" s="247">
        <v>300000</v>
      </c>
      <c r="D22" s="247">
        <v>338971</v>
      </c>
      <c r="E22" s="221">
        <f t="shared" si="1"/>
        <v>112.99033333333333</v>
      </c>
    </row>
    <row r="23" spans="1:5">
      <c r="A23" s="279" t="s">
        <v>423</v>
      </c>
      <c r="B23" s="152">
        <v>0</v>
      </c>
      <c r="C23" s="247">
        <v>0</v>
      </c>
      <c r="D23" s="247">
        <v>56626</v>
      </c>
      <c r="E23" s="221">
        <v>0</v>
      </c>
    </row>
    <row r="24" spans="1:5">
      <c r="A24" s="123" t="s">
        <v>6</v>
      </c>
      <c r="B24" s="14">
        <f>B25</f>
        <v>400000</v>
      </c>
      <c r="C24" s="280">
        <f>C25</f>
        <v>400000</v>
      </c>
      <c r="D24" s="280">
        <f>D25</f>
        <v>93373</v>
      </c>
      <c r="E24" s="277">
        <f t="shared" si="1"/>
        <v>23.343249999999998</v>
      </c>
    </row>
    <row r="25" spans="1:5">
      <c r="A25" s="134" t="s">
        <v>14</v>
      </c>
      <c r="B25" s="136">
        <f>B26+B27</f>
        <v>400000</v>
      </c>
      <c r="C25" s="281">
        <f>C26+C27</f>
        <v>400000</v>
      </c>
      <c r="D25" s="281">
        <f>SUM(D26:D27)</f>
        <v>93373</v>
      </c>
      <c r="E25" s="278">
        <f t="shared" si="1"/>
        <v>23.343249999999998</v>
      </c>
    </row>
    <row r="26" spans="1:5">
      <c r="A26" s="21" t="s">
        <v>15</v>
      </c>
      <c r="B26" s="152">
        <v>100000</v>
      </c>
      <c r="C26" s="247">
        <v>100000</v>
      </c>
      <c r="D26" s="247">
        <v>0</v>
      </c>
      <c r="E26" s="221">
        <f t="shared" si="1"/>
        <v>0</v>
      </c>
    </row>
    <row r="27" spans="1:5">
      <c r="A27" s="21" t="s">
        <v>16</v>
      </c>
      <c r="B27" s="152">
        <v>300000</v>
      </c>
      <c r="C27" s="247">
        <v>300000</v>
      </c>
      <c r="D27" s="247">
        <v>93373</v>
      </c>
      <c r="E27" s="221">
        <f t="shared" si="1"/>
        <v>31.124333333333333</v>
      </c>
    </row>
    <row r="28" spans="1:5" ht="13.5" thickBot="1">
      <c r="A28" s="12"/>
      <c r="B28" s="152"/>
      <c r="E28" s="195"/>
    </row>
    <row r="29" spans="1:5" ht="13.5" thickBot="1">
      <c r="A29" s="8" t="s">
        <v>122</v>
      </c>
      <c r="B29" s="41">
        <f>B30+B57+B63</f>
        <v>334764497</v>
      </c>
      <c r="C29" s="41">
        <f>C30+C57+C63</f>
        <v>417568874</v>
      </c>
      <c r="D29" s="192">
        <f>D30+D57+D63</f>
        <v>431360334</v>
      </c>
      <c r="E29" s="282">
        <f t="shared" si="1"/>
        <v>103.30279885756045</v>
      </c>
    </row>
    <row r="30" spans="1:5">
      <c r="A30" s="89" t="s">
        <v>112</v>
      </c>
      <c r="B30" s="88">
        <f>B31+B34+B42+B52</f>
        <v>279707473</v>
      </c>
      <c r="C30" s="88">
        <f>C31+C34+C42+C52+C53</f>
        <v>285056725</v>
      </c>
      <c r="D30" s="88">
        <f>D31+D34+D42+D52+D53</f>
        <v>285056725</v>
      </c>
      <c r="E30" s="222">
        <f t="shared" si="1"/>
        <v>100</v>
      </c>
    </row>
    <row r="31" spans="1:5">
      <c r="A31" s="123" t="s">
        <v>125</v>
      </c>
      <c r="B31" s="14">
        <f>SUM(B32:B33)</f>
        <v>99697574</v>
      </c>
      <c r="C31" s="14">
        <v>100219036</v>
      </c>
      <c r="D31" s="14">
        <v>100219036</v>
      </c>
      <c r="E31" s="277">
        <f t="shared" si="1"/>
        <v>100</v>
      </c>
    </row>
    <row r="32" spans="1:5">
      <c r="A32" s="135" t="s">
        <v>126</v>
      </c>
      <c r="B32" s="136">
        <v>74699800</v>
      </c>
      <c r="C32" s="136">
        <v>74699800</v>
      </c>
      <c r="D32" s="136">
        <v>74699800</v>
      </c>
      <c r="E32" s="221">
        <f t="shared" si="1"/>
        <v>100</v>
      </c>
    </row>
    <row r="33" spans="1:7" ht="22.5">
      <c r="A33" s="137" t="s">
        <v>127</v>
      </c>
      <c r="B33" s="136">
        <f>3522874+13952000+100000+7422900</f>
        <v>24997774</v>
      </c>
      <c r="C33" s="136">
        <f>3522874+13952000+100000+7422900</f>
        <v>24997774</v>
      </c>
      <c r="D33" s="136">
        <f>3522874+13952000+100000+7422900</f>
        <v>24997774</v>
      </c>
      <c r="E33" s="278">
        <f t="shared" si="1"/>
        <v>100</v>
      </c>
    </row>
    <row r="34" spans="1:7">
      <c r="A34" s="123" t="s">
        <v>128</v>
      </c>
      <c r="B34" s="133">
        <f>B35+B41</f>
        <v>71233800</v>
      </c>
      <c r="C34" s="133">
        <f>C35+C41</f>
        <v>67762700</v>
      </c>
      <c r="D34" s="133">
        <f>D35+D41</f>
        <v>67762700</v>
      </c>
      <c r="E34" s="277">
        <f t="shared" si="1"/>
        <v>100</v>
      </c>
      <c r="F34" s="43"/>
      <c r="G34" s="43"/>
    </row>
    <row r="35" spans="1:7">
      <c r="A35" s="134" t="s">
        <v>263</v>
      </c>
      <c r="B35" s="156">
        <f>SUM(B36:B40)</f>
        <v>62483800</v>
      </c>
      <c r="C35" s="156">
        <f>SUM(C36:C40)</f>
        <v>59222700</v>
      </c>
      <c r="D35" s="156">
        <f>SUM(D36:D40)</f>
        <v>59222700</v>
      </c>
      <c r="E35" s="278">
        <f t="shared" si="1"/>
        <v>100</v>
      </c>
    </row>
    <row r="36" spans="1:7">
      <c r="A36" s="12" t="s">
        <v>161</v>
      </c>
      <c r="B36" s="157">
        <v>31555200</v>
      </c>
      <c r="C36" s="157">
        <v>30171200</v>
      </c>
      <c r="D36" s="157">
        <v>30171200</v>
      </c>
      <c r="E36" s="221">
        <f t="shared" si="1"/>
        <v>100</v>
      </c>
    </row>
    <row r="37" spans="1:7">
      <c r="A37" s="12" t="s">
        <v>163</v>
      </c>
      <c r="B37" s="157">
        <v>9600000</v>
      </c>
      <c r="C37" s="157">
        <v>9000000</v>
      </c>
      <c r="D37" s="157">
        <v>9000000</v>
      </c>
      <c r="E37" s="221">
        <f t="shared" si="1"/>
        <v>100</v>
      </c>
    </row>
    <row r="38" spans="1:7">
      <c r="A38" s="12" t="s">
        <v>162</v>
      </c>
      <c r="B38" s="157">
        <f>15777600+399000</f>
        <v>16176600</v>
      </c>
      <c r="C38" s="157">
        <v>14899500</v>
      </c>
      <c r="D38" s="157">
        <v>14899500</v>
      </c>
      <c r="E38" s="221">
        <f t="shared" si="1"/>
        <v>100</v>
      </c>
    </row>
    <row r="39" spans="1:7">
      <c r="A39" s="12" t="s">
        <v>104</v>
      </c>
      <c r="B39" s="157">
        <v>4800000</v>
      </c>
      <c r="C39" s="157">
        <v>4800000</v>
      </c>
      <c r="D39" s="157">
        <v>4800000</v>
      </c>
      <c r="E39" s="221">
        <f t="shared" si="1"/>
        <v>100</v>
      </c>
    </row>
    <row r="40" spans="1:7">
      <c r="A40" s="12" t="s">
        <v>284</v>
      </c>
      <c r="B40" s="157">
        <v>352000</v>
      </c>
      <c r="C40" s="157">
        <v>352000</v>
      </c>
      <c r="D40" s="157">
        <v>352000</v>
      </c>
      <c r="E40" s="221">
        <f t="shared" si="1"/>
        <v>100</v>
      </c>
    </row>
    <row r="41" spans="1:7">
      <c r="A41" s="134" t="s">
        <v>264</v>
      </c>
      <c r="B41" s="156">
        <f>5833333+2916667</f>
        <v>8750000</v>
      </c>
      <c r="C41" s="156">
        <v>8540000</v>
      </c>
      <c r="D41" s="156">
        <v>8540000</v>
      </c>
      <c r="E41" s="221">
        <f t="shared" si="1"/>
        <v>100</v>
      </c>
    </row>
    <row r="42" spans="1:7">
      <c r="A42" s="123" t="s">
        <v>129</v>
      </c>
      <c r="B42" s="133">
        <f>B43+B45+B51</f>
        <v>102837839</v>
      </c>
      <c r="C42" s="133">
        <f>C43+C45+C51</f>
        <v>108894229</v>
      </c>
      <c r="D42" s="133">
        <f>D43+D45+D51</f>
        <v>108894229</v>
      </c>
      <c r="E42" s="277">
        <f t="shared" si="1"/>
        <v>100</v>
      </c>
    </row>
    <row r="43" spans="1:7">
      <c r="A43" s="134" t="s">
        <v>285</v>
      </c>
      <c r="B43" s="136">
        <v>28789770</v>
      </c>
      <c r="C43" s="136">
        <v>28789770</v>
      </c>
      <c r="D43" s="136">
        <v>28789770</v>
      </c>
      <c r="E43" s="278">
        <f t="shared" si="1"/>
        <v>100</v>
      </c>
    </row>
    <row r="44" spans="1:7" hidden="1">
      <c r="A44" s="12" t="s">
        <v>132</v>
      </c>
      <c r="B44" s="136"/>
      <c r="E44" s="278" t="e">
        <f t="shared" si="1"/>
        <v>#DIV/0!</v>
      </c>
    </row>
    <row r="45" spans="1:7">
      <c r="A45" s="134" t="s">
        <v>265</v>
      </c>
      <c r="B45" s="136">
        <f>B46+B47+B48+B49+B50</f>
        <v>40557760</v>
      </c>
      <c r="C45" s="136">
        <f>C46+C47+C48+C49+C50</f>
        <v>40909465</v>
      </c>
      <c r="D45" s="136">
        <f>D46+D47+D48+D49+D50</f>
        <v>40909465</v>
      </c>
      <c r="E45" s="278">
        <f t="shared" si="1"/>
        <v>100</v>
      </c>
    </row>
    <row r="46" spans="1:7">
      <c r="A46" s="12" t="s">
        <v>150</v>
      </c>
      <c r="B46" s="152">
        <v>2057555</v>
      </c>
      <c r="C46" s="152">
        <v>2057555</v>
      </c>
      <c r="D46" s="152">
        <v>2057555</v>
      </c>
      <c r="E46" s="221">
        <f t="shared" si="1"/>
        <v>100</v>
      </c>
    </row>
    <row r="47" spans="1:7">
      <c r="A47" s="12" t="s">
        <v>286</v>
      </c>
      <c r="B47" s="152">
        <v>4982400</v>
      </c>
      <c r="C47" s="152">
        <v>4982400</v>
      </c>
      <c r="D47" s="152">
        <v>4982400</v>
      </c>
      <c r="E47" s="221">
        <f t="shared" si="1"/>
        <v>100</v>
      </c>
    </row>
    <row r="48" spans="1:7">
      <c r="A48" s="12" t="s">
        <v>287</v>
      </c>
      <c r="B48" s="152">
        <v>11890000</v>
      </c>
      <c r="C48" s="152">
        <v>11890000</v>
      </c>
      <c r="D48" s="152">
        <v>11890000</v>
      </c>
      <c r="E48" s="221">
        <f t="shared" si="1"/>
        <v>100</v>
      </c>
    </row>
    <row r="49" spans="1:5">
      <c r="A49" s="12" t="s">
        <v>288</v>
      </c>
      <c r="B49" s="152">
        <v>11227000</v>
      </c>
      <c r="C49" s="152">
        <v>11554000</v>
      </c>
      <c r="D49" s="152">
        <v>11554000</v>
      </c>
      <c r="E49" s="221">
        <f t="shared" si="1"/>
        <v>100</v>
      </c>
    </row>
    <row r="50" spans="1:5">
      <c r="A50" s="12" t="s">
        <v>131</v>
      </c>
      <c r="B50" s="152">
        <f>9882000+518805</f>
        <v>10400805</v>
      </c>
      <c r="C50" s="152">
        <v>10425510</v>
      </c>
      <c r="D50" s="152">
        <v>10425510</v>
      </c>
      <c r="E50" s="221">
        <f t="shared" si="1"/>
        <v>100</v>
      </c>
    </row>
    <row r="51" spans="1:5">
      <c r="A51" s="12" t="s">
        <v>130</v>
      </c>
      <c r="B51" s="152">
        <f>14785920+18704389</f>
        <v>33490309</v>
      </c>
      <c r="C51" s="152">
        <v>39194994</v>
      </c>
      <c r="D51" s="152">
        <v>39194994</v>
      </c>
      <c r="E51" s="221">
        <f t="shared" si="1"/>
        <v>100</v>
      </c>
    </row>
    <row r="52" spans="1:5">
      <c r="A52" s="123" t="s">
        <v>289</v>
      </c>
      <c r="B52" s="14">
        <f>5209*1140</f>
        <v>5938260</v>
      </c>
      <c r="C52" s="14">
        <f>5209*1140</f>
        <v>5938260</v>
      </c>
      <c r="D52" s="14">
        <f>5209*1140</f>
        <v>5938260</v>
      </c>
      <c r="E52" s="277">
        <f t="shared" si="1"/>
        <v>100</v>
      </c>
    </row>
    <row r="53" spans="1:5">
      <c r="A53" s="123" t="s">
        <v>410</v>
      </c>
      <c r="B53" s="14">
        <v>0</v>
      </c>
      <c r="C53" s="14">
        <v>2242500</v>
      </c>
      <c r="D53" s="14">
        <v>2242500</v>
      </c>
      <c r="E53" s="277">
        <f t="shared" si="1"/>
        <v>100</v>
      </c>
    </row>
    <row r="54" spans="1:5">
      <c r="A54" s="123"/>
      <c r="B54" s="14"/>
      <c r="C54" s="14"/>
      <c r="D54" s="14"/>
      <c r="E54" s="277"/>
    </row>
    <row r="55" spans="1:5">
      <c r="A55" s="123"/>
      <c r="B55" s="14"/>
      <c r="C55" s="14"/>
      <c r="D55" s="14"/>
      <c r="E55" s="277"/>
    </row>
    <row r="56" spans="1:5">
      <c r="A56" s="123"/>
    </row>
    <row r="57" spans="1:5">
      <c r="A57" s="15" t="s">
        <v>123</v>
      </c>
      <c r="B57" s="39">
        <f>+B58</f>
        <v>13390000</v>
      </c>
      <c r="C57" s="39">
        <f>+C58</f>
        <v>12123758</v>
      </c>
      <c r="D57" s="39">
        <f>+D58</f>
        <v>12123758</v>
      </c>
      <c r="E57" s="222">
        <f t="shared" si="1"/>
        <v>100</v>
      </c>
    </row>
    <row r="58" spans="1:5">
      <c r="A58" s="13" t="s">
        <v>133</v>
      </c>
      <c r="B58" s="54">
        <f>SUM(B59:B61)</f>
        <v>13390000</v>
      </c>
      <c r="C58" s="54">
        <f>SUM(C59:C61)</f>
        <v>12123758</v>
      </c>
      <c r="D58" s="54">
        <f>SUM(D59:D61)</f>
        <v>12123758</v>
      </c>
      <c r="E58" s="277">
        <f t="shared" si="1"/>
        <v>100</v>
      </c>
    </row>
    <row r="59" spans="1:5">
      <c r="A59" s="12" t="s">
        <v>99</v>
      </c>
      <c r="B59" s="38">
        <v>1676000</v>
      </c>
      <c r="C59" s="38">
        <v>1550802</v>
      </c>
      <c r="D59" s="38">
        <v>1550802</v>
      </c>
      <c r="E59" s="221">
        <f t="shared" si="1"/>
        <v>100</v>
      </c>
    </row>
    <row r="60" spans="1:5">
      <c r="A60" s="12" t="s">
        <v>100</v>
      </c>
      <c r="B60" s="38">
        <v>4668000</v>
      </c>
      <c r="C60" s="38">
        <v>4327136</v>
      </c>
      <c r="D60" s="38">
        <v>4327136</v>
      </c>
      <c r="E60" s="221">
        <f t="shared" si="1"/>
        <v>100</v>
      </c>
    </row>
    <row r="61" spans="1:5">
      <c r="A61" s="12" t="s">
        <v>103</v>
      </c>
      <c r="B61" s="38">
        <v>7046000</v>
      </c>
      <c r="C61" s="38">
        <v>6245820</v>
      </c>
      <c r="D61" s="38">
        <v>6245820</v>
      </c>
      <c r="E61" s="221">
        <f t="shared" si="1"/>
        <v>100</v>
      </c>
    </row>
    <row r="62" spans="1:5">
      <c r="A62" s="12"/>
      <c r="B62" s="38"/>
      <c r="E62" s="221"/>
    </row>
    <row r="63" spans="1:5">
      <c r="A63" s="118" t="s">
        <v>62</v>
      </c>
      <c r="B63" s="11">
        <f>B64+B68+B78</f>
        <v>41667024</v>
      </c>
      <c r="C63" s="11">
        <f>C64+C68+C78</f>
        <v>120388391</v>
      </c>
      <c r="D63" s="11">
        <f>D64+D68+D78</f>
        <v>134179851</v>
      </c>
      <c r="E63" s="222">
        <f t="shared" si="1"/>
        <v>111.45580556849539</v>
      </c>
    </row>
    <row r="64" spans="1:5">
      <c r="A64" s="13" t="s">
        <v>95</v>
      </c>
      <c r="B64" s="54">
        <f>SUM(B65:B67)</f>
        <v>15732000</v>
      </c>
      <c r="C64" s="54">
        <f>SUM(C65:C67)</f>
        <v>17292000</v>
      </c>
      <c r="D64" s="54">
        <f>SUM(D65:D67)</f>
        <v>17393000</v>
      </c>
      <c r="E64" s="277">
        <f t="shared" si="1"/>
        <v>100.58408512606987</v>
      </c>
    </row>
    <row r="65" spans="1:5">
      <c r="A65" s="12" t="s">
        <v>96</v>
      </c>
      <c r="B65" s="38">
        <v>8658000</v>
      </c>
      <c r="C65" s="38">
        <v>8658000</v>
      </c>
      <c r="D65" s="6">
        <v>8530100</v>
      </c>
      <c r="E65" s="221">
        <f t="shared" si="1"/>
        <v>98.522753522753533</v>
      </c>
    </row>
    <row r="66" spans="1:5">
      <c r="A66" s="12" t="s">
        <v>97</v>
      </c>
      <c r="B66" s="38">
        <v>238800</v>
      </c>
      <c r="C66" s="6">
        <v>238800</v>
      </c>
      <c r="D66" s="6">
        <v>238800</v>
      </c>
      <c r="E66" s="221">
        <f t="shared" si="1"/>
        <v>100</v>
      </c>
    </row>
    <row r="67" spans="1:5">
      <c r="A67" s="12" t="s">
        <v>98</v>
      </c>
      <c r="B67" s="38">
        <v>6835200</v>
      </c>
      <c r="C67" s="6">
        <v>8395200</v>
      </c>
      <c r="D67" s="6">
        <v>8624100</v>
      </c>
      <c r="E67" s="221">
        <f t="shared" si="1"/>
        <v>102.72655803316179</v>
      </c>
    </row>
    <row r="68" spans="1:5">
      <c r="A68" s="126" t="s">
        <v>63</v>
      </c>
      <c r="B68" s="54">
        <f>SUM(B69:B77)</f>
        <v>22897024</v>
      </c>
      <c r="C68" s="54">
        <f>SUM(C69:C77)</f>
        <v>92939232</v>
      </c>
      <c r="D68" s="54">
        <f>SUM(D69:D77)</f>
        <v>102061245</v>
      </c>
      <c r="E68" s="277">
        <f t="shared" si="1"/>
        <v>109.81502945924923</v>
      </c>
    </row>
    <row r="69" spans="1:5">
      <c r="A69" s="12" t="s">
        <v>105</v>
      </c>
      <c r="B69" s="38">
        <v>3240000</v>
      </c>
      <c r="C69" s="6">
        <v>3240000</v>
      </c>
      <c r="D69" s="6">
        <v>3240000</v>
      </c>
      <c r="E69" s="221">
        <f t="shared" si="1"/>
        <v>100</v>
      </c>
    </row>
    <row r="70" spans="1:5">
      <c r="A70" s="12" t="s">
        <v>106</v>
      </c>
      <c r="B70" s="38">
        <f>4*430000</f>
        <v>1720000</v>
      </c>
      <c r="C70" s="38">
        <f>4*430000</f>
        <v>1720000</v>
      </c>
      <c r="D70" s="38">
        <f>4*430000</f>
        <v>1720000</v>
      </c>
      <c r="E70" s="221">
        <f t="shared" si="1"/>
        <v>100</v>
      </c>
    </row>
    <row r="71" spans="1:5">
      <c r="A71" s="12" t="s">
        <v>121</v>
      </c>
      <c r="B71" s="38">
        <f>17191264+745760</f>
        <v>17937024</v>
      </c>
      <c r="C71" s="6">
        <v>70981722</v>
      </c>
      <c r="D71" s="6">
        <v>80103735</v>
      </c>
      <c r="E71" s="221">
        <f t="shared" si="1"/>
        <v>112.85121400689604</v>
      </c>
    </row>
    <row r="72" spans="1:5">
      <c r="A72" s="284" t="s">
        <v>424</v>
      </c>
      <c r="B72" s="38">
        <v>0</v>
      </c>
      <c r="C72" s="6">
        <v>5848604</v>
      </c>
      <c r="D72" s="6">
        <v>5848604</v>
      </c>
      <c r="E72" s="221">
        <f t="shared" si="1"/>
        <v>100</v>
      </c>
    </row>
    <row r="73" spans="1:5">
      <c r="A73" s="284" t="s">
        <v>425</v>
      </c>
      <c r="B73" s="38">
        <v>0</v>
      </c>
      <c r="C73" s="6">
        <v>4074048</v>
      </c>
      <c r="D73" s="6">
        <v>4074048</v>
      </c>
      <c r="E73" s="221">
        <f t="shared" si="1"/>
        <v>100</v>
      </c>
    </row>
    <row r="74" spans="1:5">
      <c r="A74" s="284" t="s">
        <v>426</v>
      </c>
      <c r="B74" s="38">
        <v>0</v>
      </c>
      <c r="C74" s="6">
        <v>2478520</v>
      </c>
      <c r="D74" s="6">
        <v>2478520</v>
      </c>
      <c r="E74" s="221">
        <f t="shared" si="1"/>
        <v>100</v>
      </c>
    </row>
    <row r="75" spans="1:5">
      <c r="A75" s="284" t="s">
        <v>427</v>
      </c>
      <c r="B75" s="38">
        <v>0</v>
      </c>
      <c r="C75" s="6">
        <v>233948</v>
      </c>
      <c r="D75" s="6">
        <v>233948</v>
      </c>
      <c r="E75" s="221">
        <f t="shared" si="1"/>
        <v>100</v>
      </c>
    </row>
    <row r="76" spans="1:5">
      <c r="A76" s="284" t="s">
        <v>428</v>
      </c>
      <c r="B76" s="38">
        <v>0</v>
      </c>
      <c r="C76" s="6">
        <v>2135190</v>
      </c>
      <c r="D76" s="6">
        <v>2135190</v>
      </c>
      <c r="E76" s="221">
        <f t="shared" si="1"/>
        <v>100</v>
      </c>
    </row>
    <row r="77" spans="1:5">
      <c r="A77" s="284" t="s">
        <v>429</v>
      </c>
      <c r="B77" s="38">
        <v>0</v>
      </c>
      <c r="C77" s="6">
        <v>2227200</v>
      </c>
      <c r="D77" s="6">
        <v>2227200</v>
      </c>
      <c r="E77" s="221">
        <f t="shared" si="1"/>
        <v>100</v>
      </c>
    </row>
    <row r="78" spans="1:5">
      <c r="A78" s="123" t="s">
        <v>65</v>
      </c>
      <c r="B78" s="54">
        <f>B79</f>
        <v>3038000</v>
      </c>
      <c r="C78" s="54">
        <f>C79</f>
        <v>10157159</v>
      </c>
      <c r="D78" s="54">
        <f>D79</f>
        <v>14725606</v>
      </c>
      <c r="E78" s="277">
        <f>D78/C78*100</f>
        <v>144.97760643502775</v>
      </c>
    </row>
    <row r="79" spans="1:5">
      <c r="A79" s="149" t="s">
        <v>64</v>
      </c>
      <c r="B79" s="38">
        <f>3038000</f>
        <v>3038000</v>
      </c>
      <c r="C79" s="6">
        <v>10157159</v>
      </c>
      <c r="D79" s="6">
        <v>14725606</v>
      </c>
      <c r="E79" s="221">
        <f t="shared" si="1"/>
        <v>144.97760643502775</v>
      </c>
    </row>
    <row r="80" spans="1:5" ht="13.5" thickBot="1">
      <c r="A80" s="12"/>
      <c r="B80" s="38"/>
      <c r="E80" s="283"/>
    </row>
    <row r="81" spans="1:6" ht="13.5" thickBot="1">
      <c r="A81" s="8" t="s">
        <v>279</v>
      </c>
      <c r="B81" s="48">
        <f>B5+B12+B29</f>
        <v>556979167</v>
      </c>
      <c r="C81" s="48">
        <f>C5+C12+C29</f>
        <v>644211215</v>
      </c>
      <c r="D81" s="48">
        <f>D5+D12+D29</f>
        <v>621404213.45000005</v>
      </c>
      <c r="E81" s="286">
        <f t="shared" si="1"/>
        <v>96.459701256520361</v>
      </c>
      <c r="F81" s="43"/>
    </row>
    <row r="82" spans="1:6" ht="13.5" thickBot="1">
      <c r="A82" s="12"/>
      <c r="B82" s="38"/>
      <c r="C82" s="276"/>
      <c r="D82" s="276"/>
      <c r="E82" s="283"/>
    </row>
    <row r="83" spans="1:6" ht="13.5" thickBot="1">
      <c r="A83" s="8" t="s">
        <v>280</v>
      </c>
      <c r="B83" s="48">
        <f>B85+B99+B95</f>
        <v>1399662469</v>
      </c>
      <c r="C83" s="294">
        <f>C85+C99+C95</f>
        <v>1384575225</v>
      </c>
      <c r="D83" s="294">
        <f>D85+D99+D95+D103</f>
        <v>1390345114</v>
      </c>
      <c r="E83" s="285">
        <f t="shared" si="1"/>
        <v>100.41672629235438</v>
      </c>
    </row>
    <row r="84" spans="1:6">
      <c r="A84" s="15"/>
      <c r="B84" s="71"/>
      <c r="C84" s="247"/>
      <c r="D84" s="247"/>
      <c r="E84" s="221"/>
    </row>
    <row r="85" spans="1:6">
      <c r="A85" s="10" t="s">
        <v>267</v>
      </c>
      <c r="B85" s="39">
        <f>B86</f>
        <v>1385045224</v>
      </c>
      <c r="C85" s="39">
        <f>C86</f>
        <v>1369957980</v>
      </c>
      <c r="D85" s="39">
        <f>D86</f>
        <v>1383959114</v>
      </c>
      <c r="E85" s="222">
        <f t="shared" si="1"/>
        <v>101.02201193061411</v>
      </c>
    </row>
    <row r="86" spans="1:6">
      <c r="A86" s="13" t="s">
        <v>281</v>
      </c>
      <c r="B86" s="54">
        <f>SUM(B87:B90)</f>
        <v>1385045224</v>
      </c>
      <c r="C86" s="54">
        <f>SUM(C87:C93)</f>
        <v>1369957980</v>
      </c>
      <c r="D86" s="54">
        <f>SUM(D87:D93)</f>
        <v>1383959114</v>
      </c>
      <c r="E86" s="277">
        <f t="shared" si="1"/>
        <v>101.02201193061411</v>
      </c>
    </row>
    <row r="87" spans="1:6">
      <c r="A87" s="12" t="s">
        <v>282</v>
      </c>
      <c r="B87" s="38">
        <v>62919161</v>
      </c>
      <c r="C87" s="247">
        <v>64972020</v>
      </c>
      <c r="D87" s="247">
        <v>85488741</v>
      </c>
      <c r="E87" s="221">
        <f t="shared" ref="E87:E141" si="2">D87/C87*100</f>
        <v>131.57777917325026</v>
      </c>
    </row>
    <row r="88" spans="1:6">
      <c r="A88" s="12" t="s">
        <v>229</v>
      </c>
      <c r="B88" s="38">
        <v>1078563107</v>
      </c>
      <c r="C88" s="247">
        <v>1078563107</v>
      </c>
      <c r="D88" s="247">
        <v>1058937238</v>
      </c>
      <c r="E88" s="221">
        <f t="shared" si="2"/>
        <v>98.180368967506325</v>
      </c>
    </row>
    <row r="89" spans="1:6">
      <c r="A89" s="12" t="s">
        <v>230</v>
      </c>
      <c r="B89" s="38">
        <v>184779248</v>
      </c>
      <c r="C89" s="247">
        <v>156792348</v>
      </c>
      <c r="D89" s="247">
        <v>169902630</v>
      </c>
      <c r="E89" s="221">
        <f t="shared" si="2"/>
        <v>108.3615572872217</v>
      </c>
    </row>
    <row r="90" spans="1:6">
      <c r="A90" s="12" t="s">
        <v>32</v>
      </c>
      <c r="B90" s="38">
        <v>58783708</v>
      </c>
      <c r="C90" s="247">
        <v>58783708</v>
      </c>
      <c r="D90" s="247">
        <v>58783708</v>
      </c>
      <c r="E90" s="221">
        <f t="shared" si="2"/>
        <v>100</v>
      </c>
    </row>
    <row r="91" spans="1:6">
      <c r="A91" s="284" t="s">
        <v>430</v>
      </c>
      <c r="B91" s="38">
        <v>0</v>
      </c>
      <c r="C91" s="247">
        <v>5510797</v>
      </c>
      <c r="D91" s="247">
        <v>5510797</v>
      </c>
      <c r="E91" s="221">
        <f t="shared" si="2"/>
        <v>100</v>
      </c>
    </row>
    <row r="92" spans="1:6">
      <c r="A92" s="284" t="s">
        <v>411</v>
      </c>
      <c r="B92" s="38">
        <v>0</v>
      </c>
      <c r="C92" s="247">
        <v>5000000</v>
      </c>
      <c r="D92" s="247">
        <v>5000000</v>
      </c>
      <c r="E92" s="221">
        <f t="shared" si="2"/>
        <v>100</v>
      </c>
    </row>
    <row r="93" spans="1:6">
      <c r="A93" s="284" t="s">
        <v>412</v>
      </c>
      <c r="B93" s="38">
        <v>0</v>
      </c>
      <c r="C93" s="247">
        <v>336000</v>
      </c>
      <c r="D93" s="247">
        <v>336000</v>
      </c>
      <c r="E93" s="221">
        <f t="shared" si="2"/>
        <v>100</v>
      </c>
    </row>
    <row r="94" spans="1:6">
      <c r="A94" s="284"/>
      <c r="B94" s="38"/>
      <c r="C94" s="247"/>
      <c r="D94" s="247"/>
      <c r="E94" s="221"/>
    </row>
    <row r="95" spans="1:6">
      <c r="A95" s="10" t="s">
        <v>306</v>
      </c>
      <c r="B95" s="11">
        <f t="shared" ref="B95:D96" si="3">B96</f>
        <v>6445897</v>
      </c>
      <c r="C95" s="11">
        <f t="shared" si="3"/>
        <v>6445897</v>
      </c>
      <c r="D95" s="11">
        <f t="shared" si="3"/>
        <v>0</v>
      </c>
      <c r="E95" s="222">
        <f t="shared" si="2"/>
        <v>0</v>
      </c>
    </row>
    <row r="96" spans="1:6">
      <c r="A96" s="13" t="s">
        <v>307</v>
      </c>
      <c r="B96" s="54">
        <f t="shared" si="3"/>
        <v>6445897</v>
      </c>
      <c r="C96" s="54">
        <f t="shared" si="3"/>
        <v>6445897</v>
      </c>
      <c r="D96" s="54">
        <f t="shared" si="3"/>
        <v>0</v>
      </c>
      <c r="E96" s="277">
        <f t="shared" si="2"/>
        <v>0</v>
      </c>
    </row>
    <row r="97" spans="1:5">
      <c r="A97" s="66" t="s">
        <v>308</v>
      </c>
      <c r="B97" s="38">
        <v>6445897</v>
      </c>
      <c r="C97" s="247">
        <v>6445897</v>
      </c>
      <c r="D97" s="247">
        <v>0</v>
      </c>
      <c r="E97" s="221">
        <f t="shared" si="2"/>
        <v>0</v>
      </c>
    </row>
    <row r="98" spans="1:5">
      <c r="A98" s="66"/>
      <c r="B98" s="38"/>
      <c r="C98" s="247"/>
      <c r="D98" s="247"/>
      <c r="E98" s="221"/>
    </row>
    <row r="99" spans="1:5">
      <c r="A99" s="10" t="s">
        <v>303</v>
      </c>
      <c r="B99" s="11">
        <f>B100</f>
        <v>8171348</v>
      </c>
      <c r="C99" s="11">
        <f>C100</f>
        <v>8171348</v>
      </c>
      <c r="D99" s="11">
        <f>D100</f>
        <v>6361000</v>
      </c>
      <c r="E99" s="222">
        <f t="shared" si="2"/>
        <v>77.845173158700376</v>
      </c>
    </row>
    <row r="100" spans="1:5">
      <c r="A100" s="13" t="s">
        <v>304</v>
      </c>
      <c r="B100" s="54">
        <f>SUM(B101)</f>
        <v>8171348</v>
      </c>
      <c r="C100" s="54">
        <f>SUM(C101)</f>
        <v>8171348</v>
      </c>
      <c r="D100" s="54">
        <f>SUM(D101)</f>
        <v>6361000</v>
      </c>
      <c r="E100" s="277">
        <f t="shared" si="2"/>
        <v>77.845173158700376</v>
      </c>
    </row>
    <row r="101" spans="1:5">
      <c r="A101" s="12" t="s">
        <v>305</v>
      </c>
      <c r="B101" s="38">
        <f>5326560+2844788</f>
        <v>8171348</v>
      </c>
      <c r="C101" s="247">
        <v>8171348</v>
      </c>
      <c r="D101" s="247">
        <v>6361000</v>
      </c>
      <c r="E101" s="221">
        <f t="shared" si="2"/>
        <v>77.845173158700376</v>
      </c>
    </row>
    <row r="102" spans="1:5">
      <c r="A102" s="21"/>
      <c r="B102" s="22"/>
      <c r="C102" s="230"/>
      <c r="D102" s="230"/>
      <c r="E102" s="225">
        <v>0</v>
      </c>
    </row>
    <row r="103" spans="1:5" s="141" customFormat="1">
      <c r="A103" s="10" t="s">
        <v>413</v>
      </c>
      <c r="B103" s="39">
        <f t="shared" ref="B103:D104" si="4">B104</f>
        <v>0</v>
      </c>
      <c r="C103" s="39">
        <f t="shared" si="4"/>
        <v>0</v>
      </c>
      <c r="D103" s="39">
        <f t="shared" si="4"/>
        <v>25000</v>
      </c>
      <c r="E103" s="221">
        <v>0</v>
      </c>
    </row>
    <row r="104" spans="1:5">
      <c r="A104" s="13" t="s">
        <v>414</v>
      </c>
      <c r="B104" s="54">
        <f t="shared" si="4"/>
        <v>0</v>
      </c>
      <c r="C104" s="54">
        <f t="shared" si="4"/>
        <v>0</v>
      </c>
      <c r="D104" s="54">
        <f t="shared" si="4"/>
        <v>25000</v>
      </c>
      <c r="E104" s="221">
        <v>0</v>
      </c>
    </row>
    <row r="105" spans="1:5">
      <c r="A105" s="284" t="s">
        <v>415</v>
      </c>
      <c r="B105" s="38">
        <v>0</v>
      </c>
      <c r="C105" s="247">
        <v>0</v>
      </c>
      <c r="D105" s="247">
        <v>25000</v>
      </c>
      <c r="E105" s="221">
        <v>0</v>
      </c>
    </row>
    <row r="106" spans="1:5">
      <c r="A106" s="284"/>
      <c r="B106" s="38"/>
      <c r="C106" s="247"/>
      <c r="D106" s="247"/>
      <c r="E106" s="221"/>
    </row>
    <row r="107" spans="1:5">
      <c r="A107" s="284"/>
      <c r="B107" s="38"/>
      <c r="C107" s="247"/>
      <c r="D107" s="247"/>
      <c r="E107" s="221"/>
    </row>
    <row r="108" spans="1:5">
      <c r="A108" s="284"/>
      <c r="B108" s="38"/>
      <c r="C108" s="247"/>
      <c r="D108" s="247"/>
      <c r="E108" s="221"/>
    </row>
    <row r="109" spans="1:5">
      <c r="A109" s="284"/>
      <c r="B109" s="38"/>
      <c r="C109" s="247"/>
      <c r="D109" s="247"/>
      <c r="E109" s="221"/>
    </row>
    <row r="110" spans="1:5">
      <c r="A110" s="12"/>
      <c r="B110" s="58"/>
      <c r="C110" s="289"/>
      <c r="D110" s="289"/>
      <c r="E110" s="287"/>
    </row>
    <row r="111" spans="1:5">
      <c r="A111" s="12"/>
      <c r="B111" s="58"/>
      <c r="C111" s="289"/>
      <c r="D111" s="289"/>
      <c r="E111" s="287"/>
    </row>
    <row r="112" spans="1:5" ht="13.5" thickBot="1">
      <c r="A112" s="12"/>
      <c r="B112" s="56"/>
      <c r="C112" s="288"/>
      <c r="D112" s="288"/>
      <c r="E112" s="283"/>
    </row>
    <row r="113" spans="1:6" ht="13.5" thickBot="1">
      <c r="A113" s="8" t="s">
        <v>50</v>
      </c>
      <c r="B113" s="65">
        <f>B114+B115+B116</f>
        <v>23000000</v>
      </c>
      <c r="C113" s="65">
        <f>C114+C115+C116</f>
        <v>23000000</v>
      </c>
      <c r="D113" s="65">
        <f>D114+D115+D116</f>
        <v>672236</v>
      </c>
      <c r="E113" s="285">
        <f t="shared" si="2"/>
        <v>2.9227652173913041</v>
      </c>
    </row>
    <row r="114" spans="1:6">
      <c r="A114" s="12" t="s">
        <v>52</v>
      </c>
      <c r="B114" s="38">
        <v>20000000</v>
      </c>
      <c r="C114" s="247">
        <v>20000000</v>
      </c>
      <c r="D114" s="247">
        <v>100000</v>
      </c>
      <c r="E114" s="221">
        <f t="shared" si="2"/>
        <v>0.5</v>
      </c>
    </row>
    <row r="115" spans="1:6">
      <c r="A115" s="12" t="s">
        <v>83</v>
      </c>
      <c r="B115" s="38">
        <v>3000000</v>
      </c>
      <c r="C115" s="247">
        <v>3000000</v>
      </c>
      <c r="D115" s="247">
        <v>462000</v>
      </c>
      <c r="E115" s="221">
        <f t="shared" si="2"/>
        <v>15.4</v>
      </c>
    </row>
    <row r="116" spans="1:6">
      <c r="A116" s="12" t="s">
        <v>416</v>
      </c>
      <c r="B116" s="38">
        <v>0</v>
      </c>
      <c r="C116" s="247">
        <v>0</v>
      </c>
      <c r="D116" s="247">
        <v>110236</v>
      </c>
      <c r="E116" s="221">
        <v>0</v>
      </c>
    </row>
    <row r="117" spans="1:6" ht="13.5" thickBot="1">
      <c r="A117" s="12"/>
      <c r="B117" s="12"/>
      <c r="C117" s="288"/>
      <c r="D117" s="288"/>
      <c r="E117" s="283"/>
    </row>
    <row r="118" spans="1:6" ht="13.5" thickBot="1">
      <c r="A118" s="8" t="s">
        <v>51</v>
      </c>
      <c r="B118" s="48">
        <f>B83+B113</f>
        <v>1422662469</v>
      </c>
      <c r="C118" s="294">
        <f>C83+C113</f>
        <v>1407575225</v>
      </c>
      <c r="D118" s="294">
        <f>D83+D113</f>
        <v>1391017350</v>
      </c>
      <c r="E118" s="285">
        <f t="shared" si="2"/>
        <v>98.823659673322254</v>
      </c>
      <c r="F118" s="43"/>
    </row>
    <row r="119" spans="1:6" ht="13.5" thickBot="1">
      <c r="A119" s="12"/>
      <c r="B119" s="56"/>
      <c r="C119" s="295"/>
      <c r="D119" s="295"/>
      <c r="E119" s="283"/>
    </row>
    <row r="120" spans="1:6" ht="13.5" thickBot="1">
      <c r="A120" s="72" t="s">
        <v>53</v>
      </c>
      <c r="B120" s="48">
        <f>B118+B81</f>
        <v>1979641636</v>
      </c>
      <c r="C120" s="294">
        <f>C118+C81</f>
        <v>2051786440</v>
      </c>
      <c r="D120" s="294">
        <f>D118+D81</f>
        <v>2012421563.45</v>
      </c>
      <c r="E120" s="285">
        <f t="shared" si="2"/>
        <v>98.081434023416207</v>
      </c>
    </row>
    <row r="121" spans="1:6">
      <c r="A121" s="15"/>
      <c r="B121" s="71"/>
      <c r="C121" s="348"/>
      <c r="D121" s="348"/>
      <c r="E121" s="349"/>
    </row>
    <row r="122" spans="1:6" ht="13.5" thickBot="1">
      <c r="A122" s="151"/>
      <c r="B122" s="142"/>
      <c r="C122" s="288"/>
      <c r="D122" s="288"/>
      <c r="E122" s="283"/>
    </row>
    <row r="123" spans="1:6" ht="13.5" thickBot="1">
      <c r="A123" s="172" t="s">
        <v>54</v>
      </c>
      <c r="B123" s="100">
        <f>B124+B126</f>
        <v>300000000</v>
      </c>
      <c r="C123" s="100">
        <f>C124+C126</f>
        <v>495039190</v>
      </c>
      <c r="D123" s="100">
        <f>D124+D126</f>
        <v>491093483</v>
      </c>
      <c r="E123" s="285">
        <f t="shared" si="2"/>
        <v>99.202950578518852</v>
      </c>
    </row>
    <row r="124" spans="1:6">
      <c r="A124" s="144" t="s">
        <v>89</v>
      </c>
      <c r="B124" s="158">
        <f>SUM(B125:B130)</f>
        <v>300000000</v>
      </c>
      <c r="C124" s="158">
        <f>C125</f>
        <v>327986900</v>
      </c>
      <c r="D124" s="158">
        <f>D125</f>
        <v>324041193</v>
      </c>
      <c r="E124" s="221">
        <f t="shared" si="2"/>
        <v>98.79699250183468</v>
      </c>
    </row>
    <row r="125" spans="1:6">
      <c r="A125" s="144" t="s">
        <v>231</v>
      </c>
      <c r="B125" s="158">
        <v>300000000</v>
      </c>
      <c r="C125" s="289">
        <v>327986900</v>
      </c>
      <c r="D125" s="289">
        <v>324041193</v>
      </c>
      <c r="E125" s="287">
        <f t="shared" si="2"/>
        <v>98.79699250183468</v>
      </c>
    </row>
    <row r="126" spans="1:6">
      <c r="A126" s="290" t="s">
        <v>417</v>
      </c>
      <c r="B126" s="158">
        <f>SUM(B127:B130)</f>
        <v>0</v>
      </c>
      <c r="C126" s="158">
        <f>SUM(C127:C130)</f>
        <v>167052290</v>
      </c>
      <c r="D126" s="158">
        <f>SUM(D127:D130)</f>
        <v>167052290</v>
      </c>
      <c r="E126" s="287">
        <f t="shared" si="2"/>
        <v>100</v>
      </c>
    </row>
    <row r="127" spans="1:6">
      <c r="A127" s="290" t="s">
        <v>418</v>
      </c>
      <c r="B127" s="158">
        <v>0</v>
      </c>
      <c r="C127" s="289">
        <v>5000000</v>
      </c>
      <c r="D127" s="289">
        <v>5000000</v>
      </c>
      <c r="E127" s="287">
        <f t="shared" si="2"/>
        <v>100</v>
      </c>
    </row>
    <row r="128" spans="1:6">
      <c r="A128" s="290" t="s">
        <v>419</v>
      </c>
      <c r="B128" s="158">
        <v>0</v>
      </c>
      <c r="C128" s="289">
        <v>27718142</v>
      </c>
      <c r="D128" s="289">
        <v>27718142</v>
      </c>
      <c r="E128" s="287">
        <f t="shared" si="2"/>
        <v>100</v>
      </c>
    </row>
    <row r="129" spans="1:5">
      <c r="A129" s="290" t="s">
        <v>431</v>
      </c>
      <c r="B129" s="158">
        <v>0</v>
      </c>
      <c r="C129" s="289">
        <v>122746814</v>
      </c>
      <c r="D129" s="289">
        <v>122746814</v>
      </c>
      <c r="E129" s="287">
        <f t="shared" si="2"/>
        <v>100</v>
      </c>
    </row>
    <row r="130" spans="1:5">
      <c r="A130" s="290" t="s">
        <v>420</v>
      </c>
      <c r="B130" s="158">
        <v>0</v>
      </c>
      <c r="C130" s="289">
        <v>11587334</v>
      </c>
      <c r="D130" s="289">
        <v>11587334</v>
      </c>
      <c r="E130" s="287">
        <f t="shared" si="2"/>
        <v>100</v>
      </c>
    </row>
    <row r="131" spans="1:5" ht="13.5" thickBot="1">
      <c r="A131" s="291"/>
      <c r="B131" s="142"/>
      <c r="C131" s="288"/>
      <c r="D131" s="288"/>
      <c r="E131" s="283"/>
    </row>
    <row r="132" spans="1:5" ht="13.5" thickBot="1">
      <c r="A132" s="143" t="s">
        <v>55</v>
      </c>
      <c r="B132" s="100">
        <f>B125</f>
        <v>300000000</v>
      </c>
      <c r="C132" s="296">
        <f>C125+C126</f>
        <v>495039190</v>
      </c>
      <c r="D132" s="296">
        <f>D123</f>
        <v>491093483</v>
      </c>
      <c r="E132" s="285">
        <f t="shared" si="2"/>
        <v>99.202950578518852</v>
      </c>
    </row>
    <row r="133" spans="1:5" ht="13.5" thickBot="1">
      <c r="A133" s="15"/>
      <c r="B133" s="71"/>
      <c r="C133" s="295"/>
      <c r="D133" s="295"/>
      <c r="E133" s="283"/>
    </row>
    <row r="134" spans="1:5" ht="13.5" thickBot="1">
      <c r="A134" s="8" t="s">
        <v>22</v>
      </c>
      <c r="B134" s="57">
        <f>SUM(B135:B139)</f>
        <v>47774052</v>
      </c>
      <c r="C134" s="297">
        <f>SUM(C135:C139)</f>
        <v>57244364</v>
      </c>
      <c r="D134" s="297">
        <f>SUM(D135:D139)</f>
        <v>57244364</v>
      </c>
      <c r="E134" s="285">
        <f t="shared" si="2"/>
        <v>100</v>
      </c>
    </row>
    <row r="135" spans="1:5">
      <c r="A135" s="66" t="s">
        <v>293</v>
      </c>
      <c r="B135" s="58">
        <f>40332579-9470312</f>
        <v>30862267</v>
      </c>
      <c r="C135" s="247">
        <v>40332579</v>
      </c>
      <c r="D135" s="247">
        <v>40332579</v>
      </c>
      <c r="E135" s="221">
        <f t="shared" si="2"/>
        <v>100</v>
      </c>
    </row>
    <row r="136" spans="1:5">
      <c r="A136" s="12" t="s">
        <v>116</v>
      </c>
      <c r="B136" s="38">
        <v>9785826</v>
      </c>
      <c r="C136" s="247">
        <v>9785826</v>
      </c>
      <c r="D136" s="247">
        <v>9785826</v>
      </c>
      <c r="E136" s="221">
        <f t="shared" si="2"/>
        <v>100</v>
      </c>
    </row>
    <row r="137" spans="1:5">
      <c r="A137" s="12" t="s">
        <v>117</v>
      </c>
      <c r="B137" s="58">
        <v>483817</v>
      </c>
      <c r="C137" s="247">
        <v>483817</v>
      </c>
      <c r="D137" s="247">
        <v>483817</v>
      </c>
      <c r="E137" s="221">
        <f t="shared" si="2"/>
        <v>100</v>
      </c>
    </row>
    <row r="138" spans="1:5">
      <c r="A138" s="12" t="s">
        <v>262</v>
      </c>
      <c r="B138" s="58">
        <v>3720072</v>
      </c>
      <c r="C138" s="247">
        <v>3720072</v>
      </c>
      <c r="D138" s="247">
        <v>3720072</v>
      </c>
      <c r="E138" s="221">
        <f t="shared" si="2"/>
        <v>100</v>
      </c>
    </row>
    <row r="139" spans="1:5">
      <c r="A139" s="12" t="s">
        <v>261</v>
      </c>
      <c r="B139" s="152">
        <v>2922070</v>
      </c>
      <c r="C139" s="289">
        <v>2922070</v>
      </c>
      <c r="D139" s="289">
        <v>2922070</v>
      </c>
      <c r="E139" s="287">
        <f t="shared" si="2"/>
        <v>100</v>
      </c>
    </row>
    <row r="140" spans="1:5" ht="13.5" thickBot="1">
      <c r="A140" s="12"/>
      <c r="B140" s="152"/>
      <c r="C140" s="288"/>
      <c r="D140" s="288"/>
      <c r="E140" s="283"/>
    </row>
    <row r="141" spans="1:5" ht="13.5" thickBot="1">
      <c r="A141" s="8" t="s">
        <v>56</v>
      </c>
      <c r="B141" s="55">
        <f>B120+B134+B132</f>
        <v>2327415688</v>
      </c>
      <c r="C141" s="298">
        <f>C120+C134+C132</f>
        <v>2604069994</v>
      </c>
      <c r="D141" s="298">
        <f>D120+D134+D132</f>
        <v>2560759410.4499998</v>
      </c>
      <c r="E141" s="285">
        <f t="shared" si="2"/>
        <v>98.336811850303889</v>
      </c>
    </row>
    <row r="142" spans="1:5" hidden="1">
      <c r="A142" s="15"/>
      <c r="B142" s="71">
        <f>B141-kiadások!B109</f>
        <v>0</v>
      </c>
      <c r="C142" s="247"/>
      <c r="D142" s="247"/>
      <c r="E142" s="221"/>
    </row>
    <row r="143" spans="1:5" hidden="1">
      <c r="A143" s="15"/>
      <c r="B143" s="71"/>
      <c r="C143" s="247"/>
      <c r="D143" s="247"/>
      <c r="E143" s="221"/>
    </row>
    <row r="144" spans="1:5" hidden="1">
      <c r="A144" s="176" t="s">
        <v>84</v>
      </c>
      <c r="B144" s="45">
        <f>B115</f>
        <v>3000000</v>
      </c>
      <c r="C144" s="247"/>
      <c r="D144" s="247"/>
      <c r="E144" s="221"/>
    </row>
    <row r="145" spans="1:21" hidden="1">
      <c r="A145" s="159" t="s">
        <v>57</v>
      </c>
      <c r="B145" s="160">
        <v>20000000</v>
      </c>
      <c r="C145" s="247"/>
      <c r="D145" s="247"/>
      <c r="E145" s="221"/>
    </row>
    <row r="146" spans="1:21" hidden="1">
      <c r="A146" s="161" t="s">
        <v>76</v>
      </c>
      <c r="B146" s="140">
        <f>B134</f>
        <v>47774052</v>
      </c>
      <c r="C146" s="247"/>
      <c r="D146" s="247"/>
      <c r="E146" s="221"/>
    </row>
    <row r="147" spans="1:21" hidden="1">
      <c r="A147" s="138" t="s">
        <v>77</v>
      </c>
      <c r="B147" s="140">
        <f>B87+B101+B97-kiadások!B86-kiadások!B55</f>
        <v>-17097552</v>
      </c>
      <c r="C147" s="247"/>
      <c r="D147" s="247"/>
      <c r="E147" s="221"/>
    </row>
    <row r="148" spans="1:21" hidden="1">
      <c r="A148" s="138" t="s">
        <v>78</v>
      </c>
      <c r="B148" s="140">
        <f>B125+B88+B89-kiadások!B56</f>
        <v>-12916753</v>
      </c>
      <c r="C148" s="247"/>
      <c r="D148" s="247"/>
      <c r="E148" s="221"/>
    </row>
    <row r="149" spans="1:21" hidden="1">
      <c r="A149" s="138" t="s">
        <v>79</v>
      </c>
      <c r="B149" s="140">
        <f>B81-kiadások!B5</f>
        <v>-26484947</v>
      </c>
      <c r="C149" s="247"/>
      <c r="D149" s="247"/>
      <c r="E149" s="221"/>
    </row>
    <row r="150" spans="1:21" hidden="1">
      <c r="A150" s="138" t="s">
        <v>80</v>
      </c>
      <c r="B150" s="140">
        <f>-(kiadások!B57+kiadások!B58+kiadások!B68+kiadások!B70+kiadások!B72+kiadások!B75+kiadások!B80)-kiadások!B81-kiadások!B59</f>
        <v>-4274800</v>
      </c>
      <c r="C150" s="247"/>
      <c r="D150" s="247"/>
      <c r="E150" s="221"/>
    </row>
    <row r="151" spans="1:21" hidden="1">
      <c r="A151" s="162" t="s">
        <v>325</v>
      </c>
      <c r="B151" s="163">
        <f>-kiadások!B89</f>
        <v>-10000000</v>
      </c>
      <c r="C151" s="247"/>
      <c r="D151" s="247"/>
      <c r="E151" s="221"/>
    </row>
    <row r="152" spans="1:21" hidden="1">
      <c r="A152" s="141" t="s">
        <v>81</v>
      </c>
      <c r="B152" s="77">
        <f>SUM(B144:B151)</f>
        <v>0</v>
      </c>
      <c r="C152" s="247"/>
      <c r="D152" s="247"/>
      <c r="E152" s="221"/>
      <c r="T152" s="121"/>
    </row>
    <row r="153" spans="1:21" hidden="1">
      <c r="A153" s="44"/>
      <c r="B153" s="45"/>
      <c r="C153" s="247"/>
      <c r="D153" s="247"/>
      <c r="E153" s="221"/>
      <c r="T153" s="121"/>
    </row>
    <row r="154" spans="1:21" hidden="1">
      <c r="A154" s="44"/>
      <c r="B154" s="45"/>
      <c r="C154" s="247"/>
      <c r="D154" s="247"/>
      <c r="E154" s="221"/>
      <c r="U154" s="122"/>
    </row>
    <row r="155" spans="1:21" hidden="1">
      <c r="A155" s="44"/>
      <c r="B155" s="45"/>
      <c r="C155" s="247"/>
      <c r="D155" s="247"/>
      <c r="E155" s="221"/>
    </row>
    <row r="156" spans="1:21" hidden="1">
      <c r="A156" s="44"/>
      <c r="B156" s="45"/>
      <c r="C156" s="247"/>
      <c r="D156" s="247"/>
      <c r="E156" s="221"/>
    </row>
    <row r="157" spans="1:21" hidden="1">
      <c r="A157" s="44" t="s">
        <v>19</v>
      </c>
      <c r="B157" s="45">
        <f>B144+B145+B147+B148+B150</f>
        <v>-11289105</v>
      </c>
      <c r="C157" s="247"/>
      <c r="D157" s="247"/>
      <c r="E157" s="221"/>
    </row>
    <row r="158" spans="1:21" hidden="1">
      <c r="A158" s="44" t="s">
        <v>20</v>
      </c>
      <c r="B158" s="45">
        <f>B149+B151</f>
        <v>-36484947</v>
      </c>
      <c r="C158" s="247"/>
      <c r="D158" s="247"/>
      <c r="E158" s="221"/>
    </row>
    <row r="159" spans="1:21" hidden="1">
      <c r="A159" s="80"/>
      <c r="B159" s="45">
        <f>SUM(B157:B158)</f>
        <v>-47774052</v>
      </c>
      <c r="C159" s="247"/>
      <c r="D159" s="247"/>
      <c r="E159" s="221"/>
    </row>
    <row r="160" spans="1:21" hidden="1">
      <c r="A160" s="44"/>
      <c r="B160" s="152"/>
      <c r="C160" s="247"/>
      <c r="D160" s="247"/>
      <c r="E160" s="221"/>
    </row>
    <row r="161" spans="1:5" hidden="1">
      <c r="A161" s="80"/>
      <c r="C161" s="247"/>
      <c r="D161" s="247"/>
      <c r="E161" s="221"/>
    </row>
    <row r="162" spans="1:5">
      <c r="C162" s="247"/>
      <c r="D162" s="247"/>
      <c r="E162" s="221"/>
    </row>
    <row r="163" spans="1:5">
      <c r="C163" s="247"/>
      <c r="D163" s="247"/>
    </row>
    <row r="164" spans="1:5">
      <c r="C164" s="6"/>
      <c r="D164" s="6"/>
    </row>
    <row r="165" spans="1:5">
      <c r="C165" s="247"/>
      <c r="D165" s="247"/>
    </row>
  </sheetData>
  <mergeCells count="1">
    <mergeCell ref="B3:C3"/>
  </mergeCells>
  <phoneticPr fontId="4" type="noConversion"/>
  <printOptions gridLines="1"/>
  <pageMargins left="0.25" right="0.25" top="0.98611111111111116" bottom="0.98402777777777783" header="0.5" footer="0.51180555555555562"/>
  <pageSetup paperSize="9" firstPageNumber="0" orientation="portrait" horizontalDpi="300" verticalDpi="300" r:id="rId1"/>
  <headerFooter alignWithMargins="0">
    <oddHeader>&amp;L&amp;8Nagyszénás Nagyközség Önkormányzata &amp;C&amp;8 2015. évi költségvetés
bevételek&amp;R&amp;8 1. melléklet
adatok Ft-ban</oddHeader>
    <oddFooter xml:space="preserve">&amp;C&amp;P&amp;R         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M12" sqref="M12"/>
    </sheetView>
  </sheetViews>
  <sheetFormatPr defaultRowHeight="12.75"/>
  <cols>
    <col min="1" max="1" width="38.140625" customWidth="1"/>
    <col min="2" max="3" width="9.42578125" customWidth="1"/>
    <col min="4" max="4" width="9.7109375" customWidth="1"/>
    <col min="5" max="5" width="9.85546875" customWidth="1"/>
    <col min="6" max="6" width="9.28515625" customWidth="1"/>
    <col min="7" max="7" width="9.5703125" customWidth="1"/>
    <col min="8" max="9" width="9.42578125" customWidth="1"/>
    <col min="10" max="10" width="9.28515625" customWidth="1"/>
    <col min="11" max="11" width="9.42578125" customWidth="1"/>
  </cols>
  <sheetData>
    <row r="1" spans="1:11">
      <c r="J1" s="667" t="s">
        <v>669</v>
      </c>
      <c r="K1" s="667"/>
    </row>
    <row r="3" spans="1:11">
      <c r="A3" s="665" t="s">
        <v>774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</row>
    <row r="4" spans="1:11">
      <c r="A4" s="666" t="s">
        <v>775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</row>
    <row r="5" spans="1:11">
      <c r="A5" s="411"/>
      <c r="B5" s="411"/>
      <c r="C5" s="411"/>
      <c r="D5" s="411"/>
      <c r="E5" s="411"/>
      <c r="F5" s="411"/>
      <c r="G5" s="347"/>
      <c r="H5" s="347"/>
      <c r="I5" s="347"/>
      <c r="J5" s="347"/>
      <c r="K5" s="347"/>
    </row>
    <row r="6" spans="1:11">
      <c r="A6" s="411"/>
      <c r="B6" s="411"/>
      <c r="C6" s="411"/>
      <c r="D6" s="411"/>
      <c r="E6" s="411"/>
      <c r="F6" s="411"/>
      <c r="G6" s="347"/>
      <c r="H6" s="347"/>
      <c r="I6" s="347"/>
      <c r="J6" s="347"/>
      <c r="K6" s="347"/>
    </row>
    <row r="7" spans="1:11">
      <c r="A7" s="411"/>
      <c r="B7" s="412"/>
      <c r="C7" s="411"/>
      <c r="D7" s="411"/>
      <c r="E7" s="411"/>
      <c r="F7" s="411"/>
      <c r="G7" s="347"/>
      <c r="H7" s="347"/>
      <c r="I7" s="347"/>
      <c r="J7" s="347"/>
      <c r="K7" s="347"/>
    </row>
    <row r="8" spans="1:11">
      <c r="A8" s="411"/>
      <c r="B8" s="411"/>
      <c r="C8" s="411"/>
      <c r="D8" s="411"/>
      <c r="E8" s="411"/>
      <c r="F8" s="411"/>
      <c r="G8" s="347"/>
      <c r="H8" s="347"/>
      <c r="I8" s="347"/>
      <c r="J8" s="347"/>
      <c r="K8" s="413" t="s">
        <v>671</v>
      </c>
    </row>
    <row r="9" spans="1:11">
      <c r="A9" s="429"/>
      <c r="B9" s="414" t="s">
        <v>776</v>
      </c>
      <c r="C9" s="414" t="s">
        <v>777</v>
      </c>
      <c r="D9" s="415" t="s">
        <v>778</v>
      </c>
      <c r="E9" s="416" t="s">
        <v>779</v>
      </c>
      <c r="F9" s="416" t="s">
        <v>780</v>
      </c>
      <c r="G9" s="416" t="s">
        <v>781</v>
      </c>
      <c r="H9" s="417" t="s">
        <v>782</v>
      </c>
      <c r="I9" s="417" t="s">
        <v>783</v>
      </c>
      <c r="J9" s="417" t="s">
        <v>784</v>
      </c>
      <c r="K9" s="417" t="s">
        <v>785</v>
      </c>
    </row>
    <row r="10" spans="1:11">
      <c r="A10" s="418" t="s">
        <v>786</v>
      </c>
      <c r="B10" s="419">
        <v>1048083034</v>
      </c>
      <c r="C10" s="419">
        <f>904479689+158433550</f>
        <v>1062913239</v>
      </c>
      <c r="D10" s="419">
        <v>1074392886</v>
      </c>
      <c r="E10" s="419">
        <v>1145331000</v>
      </c>
      <c r="F10" s="419">
        <v>1226993000</v>
      </c>
      <c r="G10" s="419">
        <v>1225836000</v>
      </c>
      <c r="H10" s="419">
        <v>1227792000</v>
      </c>
      <c r="I10" s="419">
        <v>1233188000</v>
      </c>
      <c r="J10" s="419">
        <v>1365044000</v>
      </c>
      <c r="K10" s="419">
        <v>3472410000</v>
      </c>
    </row>
    <row r="11" spans="1:11">
      <c r="A11" s="420" t="s">
        <v>787</v>
      </c>
      <c r="B11" s="421"/>
      <c r="C11" s="421"/>
      <c r="D11" s="422"/>
      <c r="E11" s="421"/>
      <c r="F11" s="421"/>
      <c r="G11" s="421"/>
      <c r="H11" s="421"/>
      <c r="I11" s="421"/>
      <c r="J11" s="421"/>
      <c r="K11" s="421"/>
    </row>
    <row r="12" spans="1:11">
      <c r="A12" s="420" t="s">
        <v>788</v>
      </c>
      <c r="B12" s="421">
        <v>0</v>
      </c>
      <c r="C12" s="421">
        <v>0</v>
      </c>
      <c r="D12" s="421">
        <v>0</v>
      </c>
      <c r="E12" s="421">
        <v>0</v>
      </c>
      <c r="F12" s="421">
        <v>0</v>
      </c>
      <c r="G12" s="421">
        <v>0</v>
      </c>
      <c r="H12" s="421">
        <v>0</v>
      </c>
      <c r="I12" s="421">
        <v>0</v>
      </c>
      <c r="J12" s="421">
        <v>0</v>
      </c>
      <c r="K12" s="421">
        <v>0</v>
      </c>
    </row>
    <row r="13" spans="1:11">
      <c r="A13" s="418" t="s">
        <v>789</v>
      </c>
      <c r="B13" s="419">
        <v>37049788</v>
      </c>
      <c r="C13" s="419">
        <f>18094933+22610906</f>
        <v>40705839</v>
      </c>
      <c r="D13" s="419">
        <v>44664108</v>
      </c>
      <c r="E13" s="419">
        <v>48525000</v>
      </c>
      <c r="F13" s="419">
        <v>43396000</v>
      </c>
      <c r="G13" s="419">
        <v>54445000</v>
      </c>
      <c r="H13" s="419">
        <v>59432000</v>
      </c>
      <c r="I13" s="419">
        <v>58688000</v>
      </c>
      <c r="J13" s="419">
        <v>97812000</v>
      </c>
      <c r="K13" s="419">
        <v>412755000</v>
      </c>
    </row>
    <row r="14" spans="1:11">
      <c r="A14" s="420" t="s">
        <v>790</v>
      </c>
      <c r="B14" s="421"/>
      <c r="C14" s="421"/>
      <c r="D14" s="421"/>
      <c r="E14" s="421"/>
      <c r="F14" s="421"/>
      <c r="G14" s="421"/>
      <c r="H14" s="421"/>
      <c r="I14" s="421"/>
      <c r="J14" s="421"/>
      <c r="K14" s="421"/>
    </row>
    <row r="15" spans="1:11">
      <c r="A15" s="423" t="s">
        <v>791</v>
      </c>
      <c r="B15" s="424">
        <v>24956276</v>
      </c>
      <c r="C15" s="424">
        <f>12488186+14070240</f>
        <v>26558426</v>
      </c>
      <c r="D15" s="424">
        <v>28605323</v>
      </c>
      <c r="E15" s="424">
        <v>30262000</v>
      </c>
      <c r="F15" s="424">
        <v>28971000</v>
      </c>
      <c r="G15" s="424">
        <v>32636000</v>
      </c>
      <c r="H15" s="424">
        <v>37800000</v>
      </c>
      <c r="I15" s="424">
        <v>31104000</v>
      </c>
      <c r="J15" s="424">
        <v>67178000</v>
      </c>
      <c r="K15" s="424">
        <v>65522000</v>
      </c>
    </row>
    <row r="16" spans="1:11">
      <c r="A16" s="425" t="s">
        <v>792</v>
      </c>
      <c r="B16" s="419">
        <v>14785285</v>
      </c>
      <c r="C16" s="419">
        <f>7891675+2250972</f>
        <v>10142647</v>
      </c>
      <c r="D16" s="419">
        <v>13814647</v>
      </c>
      <c r="E16" s="421">
        <v>23209000</v>
      </c>
      <c r="F16" s="421">
        <v>23209000</v>
      </c>
      <c r="G16" s="421">
        <v>23209000</v>
      </c>
      <c r="H16" s="421">
        <v>23735000</v>
      </c>
      <c r="I16" s="421">
        <v>32936000</v>
      </c>
      <c r="J16" s="421"/>
      <c r="K16" s="421"/>
    </row>
    <row r="17" spans="1:11">
      <c r="A17" s="420" t="s">
        <v>793</v>
      </c>
      <c r="B17" s="424">
        <v>14247952</v>
      </c>
      <c r="C17" s="424">
        <f>7354342+2250972</f>
        <v>9605314</v>
      </c>
      <c r="D17" s="424">
        <v>10142647</v>
      </c>
      <c r="E17" s="421">
        <v>9717000</v>
      </c>
      <c r="F17" s="421">
        <v>9717000</v>
      </c>
      <c r="G17" s="421">
        <v>9717000</v>
      </c>
      <c r="H17" s="421">
        <v>8948000</v>
      </c>
      <c r="I17" s="421">
        <v>12620000</v>
      </c>
      <c r="J17" s="421"/>
      <c r="K17" s="421"/>
    </row>
    <row r="18" spans="1:11">
      <c r="A18" s="418" t="s">
        <v>794</v>
      </c>
      <c r="B18" s="419">
        <v>8775937</v>
      </c>
      <c r="C18" s="419">
        <f>8128022+647915</f>
        <v>8775937</v>
      </c>
      <c r="D18" s="419">
        <v>12127937</v>
      </c>
      <c r="E18" s="419">
        <v>18732000</v>
      </c>
      <c r="F18" s="419">
        <v>16024000</v>
      </c>
      <c r="G18" s="419">
        <v>24373000</v>
      </c>
      <c r="H18" s="419">
        <v>24373000</v>
      </c>
      <c r="I18" s="419">
        <v>18699000</v>
      </c>
      <c r="J18" s="419">
        <v>18448000</v>
      </c>
      <c r="K18" s="419">
        <v>18079000</v>
      </c>
    </row>
    <row r="19" spans="1:11">
      <c r="A19" s="423" t="s">
        <v>795</v>
      </c>
      <c r="B19" s="424">
        <v>8584777</v>
      </c>
      <c r="C19" s="424">
        <f>7936862+647915</f>
        <v>8584777</v>
      </c>
      <c r="D19" s="424">
        <v>8510377</v>
      </c>
      <c r="E19" s="424">
        <v>8702000</v>
      </c>
      <c r="F19" s="424">
        <v>8347000</v>
      </c>
      <c r="G19" s="424">
        <v>9373000</v>
      </c>
      <c r="H19" s="424">
        <v>15474000</v>
      </c>
      <c r="I19" s="424">
        <v>8764000</v>
      </c>
      <c r="J19" s="424">
        <v>16014000</v>
      </c>
      <c r="K19" s="424">
        <v>16129000</v>
      </c>
    </row>
    <row r="20" spans="1:11">
      <c r="A20" s="425" t="s">
        <v>796</v>
      </c>
      <c r="B20" s="419">
        <v>118329066</v>
      </c>
      <c r="C20" s="419">
        <v>118329066</v>
      </c>
      <c r="D20" s="421">
        <v>118329066</v>
      </c>
      <c r="E20" s="421">
        <v>88231000</v>
      </c>
      <c r="F20" s="421">
        <v>88617000</v>
      </c>
      <c r="G20" s="421">
        <v>88893000</v>
      </c>
      <c r="H20" s="421">
        <v>90890000</v>
      </c>
      <c r="I20" s="421">
        <v>126294000</v>
      </c>
      <c r="J20" s="421"/>
      <c r="K20" s="421"/>
    </row>
    <row r="21" spans="1:11">
      <c r="A21" s="420" t="s">
        <v>797</v>
      </c>
      <c r="B21" s="421">
        <v>703860</v>
      </c>
      <c r="C21" s="421">
        <v>845168</v>
      </c>
      <c r="D21" s="421">
        <v>845168</v>
      </c>
      <c r="E21" s="421">
        <v>845000</v>
      </c>
      <c r="F21" s="421">
        <v>945000</v>
      </c>
      <c r="G21" s="421">
        <v>845000</v>
      </c>
      <c r="H21" s="421">
        <v>845000</v>
      </c>
      <c r="I21" s="421">
        <v>1883000</v>
      </c>
      <c r="J21" s="421"/>
      <c r="K21" s="421"/>
    </row>
    <row r="22" spans="1:11">
      <c r="A22" s="426" t="s">
        <v>798</v>
      </c>
      <c r="B22" s="427">
        <f>B10+B13+B16+B18+B20</f>
        <v>1227023110</v>
      </c>
      <c r="C22" s="427">
        <f>C10+C13+C16+C18+C20</f>
        <v>1240866728</v>
      </c>
      <c r="D22" s="427">
        <f>D10+D13+D16+D18+D20</f>
        <v>1263328644</v>
      </c>
      <c r="E22" s="427">
        <f>E10+E13+E16+E18+E20</f>
        <v>1324028000</v>
      </c>
      <c r="F22" s="427">
        <v>1398239000</v>
      </c>
      <c r="G22" s="427">
        <v>1416846000</v>
      </c>
      <c r="H22" s="427">
        <v>1426322000</v>
      </c>
      <c r="I22" s="427">
        <v>1469805000</v>
      </c>
      <c r="J22" s="427">
        <f>J10+J13+J16+J18</f>
        <v>1481304000</v>
      </c>
      <c r="K22" s="427">
        <f>K10+K13+K16+K18</f>
        <v>3903244000</v>
      </c>
    </row>
    <row r="23" spans="1:11">
      <c r="A23" s="347"/>
      <c r="B23" s="347"/>
      <c r="C23" s="347"/>
      <c r="D23" s="347"/>
      <c r="E23" s="347"/>
      <c r="F23" s="347"/>
      <c r="G23" s="347"/>
      <c r="H23" s="347"/>
      <c r="I23" s="347"/>
      <c r="J23" s="347"/>
      <c r="K23" s="347"/>
    </row>
    <row r="24" spans="1:11">
      <c r="A24" s="428" t="s">
        <v>799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47"/>
    </row>
    <row r="25" spans="1:11">
      <c r="A25" s="428" t="s">
        <v>800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</row>
    <row r="26" spans="1:11">
      <c r="A26" s="428" t="s">
        <v>801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>
      <c r="A27" s="428" t="s">
        <v>802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7"/>
    </row>
  </sheetData>
  <mergeCells count="3">
    <mergeCell ref="A3:K3"/>
    <mergeCell ref="A4:K4"/>
    <mergeCell ref="J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96"/>
  <sheetViews>
    <sheetView topLeftCell="A91" workbookViewId="0">
      <selection activeCell="B72" sqref="B72"/>
    </sheetView>
  </sheetViews>
  <sheetFormatPr defaultRowHeight="12.75"/>
  <cols>
    <col min="1" max="1" width="63.28515625" customWidth="1"/>
    <col min="2" max="2" width="13" customWidth="1"/>
    <col min="3" max="3" width="12.5703125" customWidth="1"/>
  </cols>
  <sheetData>
    <row r="1" spans="1:3">
      <c r="A1" s="380"/>
      <c r="B1" s="380"/>
      <c r="C1" s="381" t="s">
        <v>803</v>
      </c>
    </row>
    <row r="2" spans="1:3">
      <c r="A2" s="668" t="s">
        <v>118</v>
      </c>
      <c r="B2" s="668"/>
      <c r="C2" s="668"/>
    </row>
    <row r="3" spans="1:3">
      <c r="A3" s="668" t="s">
        <v>681</v>
      </c>
      <c r="B3" s="668"/>
      <c r="C3" s="668"/>
    </row>
    <row r="4" spans="1:3">
      <c r="A4" s="382"/>
      <c r="B4" s="382"/>
      <c r="C4" s="382"/>
    </row>
    <row r="5" spans="1:3">
      <c r="A5" s="383"/>
      <c r="B5" s="669" t="s">
        <v>682</v>
      </c>
      <c r="C5" s="669"/>
    </row>
    <row r="6" spans="1:3">
      <c r="A6" s="384" t="s">
        <v>683</v>
      </c>
      <c r="B6" s="384" t="s">
        <v>684</v>
      </c>
      <c r="C6" s="384" t="s">
        <v>685</v>
      </c>
    </row>
    <row r="7" spans="1:3">
      <c r="A7" s="387" t="s">
        <v>686</v>
      </c>
      <c r="B7" s="386">
        <f>SUM(B8:B11)</f>
        <v>18079</v>
      </c>
      <c r="C7" s="386">
        <f>SUM(C8:C11)</f>
        <v>762</v>
      </c>
    </row>
    <row r="8" spans="1:3">
      <c r="A8" s="392" t="s">
        <v>687</v>
      </c>
      <c r="B8" s="388">
        <f>D8+F8+H8+J8+L8</f>
        <v>0</v>
      </c>
      <c r="C8" s="388">
        <f>E8+I8+K8+M8+G8</f>
        <v>0</v>
      </c>
    </row>
    <row r="9" spans="1:3">
      <c r="A9" s="392" t="s">
        <v>688</v>
      </c>
      <c r="B9" s="388">
        <f>D9+F9+H9+J9+L9</f>
        <v>0</v>
      </c>
      <c r="C9" s="388">
        <f>E9+I9+K9+M9+G9</f>
        <v>0</v>
      </c>
    </row>
    <row r="10" spans="1:3">
      <c r="A10" s="392" t="s">
        <v>689</v>
      </c>
      <c r="B10" s="388">
        <v>1950</v>
      </c>
      <c r="C10" s="388">
        <v>762</v>
      </c>
    </row>
    <row r="11" spans="1:3">
      <c r="A11" s="392" t="s">
        <v>690</v>
      </c>
      <c r="B11" s="388">
        <v>16129</v>
      </c>
      <c r="C11" s="388">
        <f>E11+I11+K11+M11+G11</f>
        <v>0</v>
      </c>
    </row>
    <row r="12" spans="1:3">
      <c r="A12" s="387" t="s">
        <v>691</v>
      </c>
      <c r="B12" s="386">
        <f>B13+B18+B23+B27</f>
        <v>5165103</v>
      </c>
      <c r="C12" s="386">
        <f>C13+C18+C23</f>
        <v>4624664</v>
      </c>
    </row>
    <row r="13" spans="1:3">
      <c r="A13" s="410" t="s">
        <v>692</v>
      </c>
      <c r="B13" s="389">
        <f>SUM(B14:B17)</f>
        <v>3472410</v>
      </c>
      <c r="C13" s="389">
        <f>C14+C15+C16+C17</f>
        <v>3057521</v>
      </c>
    </row>
    <row r="14" spans="1:3">
      <c r="A14" s="392" t="s">
        <v>693</v>
      </c>
      <c r="B14" s="388">
        <v>730965</v>
      </c>
      <c r="C14" s="388">
        <v>551327</v>
      </c>
    </row>
    <row r="15" spans="1:3" ht="25.5">
      <c r="A15" s="392" t="s">
        <v>694</v>
      </c>
      <c r="B15" s="388">
        <v>2599907</v>
      </c>
      <c r="C15" s="388">
        <v>2392245</v>
      </c>
    </row>
    <row r="16" spans="1:3" ht="25.5">
      <c r="A16" s="392" t="s">
        <v>695</v>
      </c>
      <c r="B16" s="388">
        <v>141538</v>
      </c>
      <c r="C16" s="388">
        <v>113949</v>
      </c>
    </row>
    <row r="17" spans="1:3">
      <c r="A17" s="392" t="s">
        <v>696</v>
      </c>
      <c r="B17" s="388">
        <f>D17+F17+H17+J17+L17</f>
        <v>0</v>
      </c>
      <c r="C17" s="388">
        <f>E17+I17+K17+M17+G17</f>
        <v>0</v>
      </c>
    </row>
    <row r="18" spans="1:3">
      <c r="A18" s="410" t="s">
        <v>697</v>
      </c>
      <c r="B18" s="389">
        <f>SUM(B19:B22)</f>
        <v>412755</v>
      </c>
      <c r="C18" s="389">
        <f>SUM(C19:C22)</f>
        <v>287205</v>
      </c>
    </row>
    <row r="19" spans="1:3">
      <c r="A19" s="392" t="s">
        <v>698</v>
      </c>
      <c r="B19" s="388">
        <v>22</v>
      </c>
      <c r="C19" s="388">
        <v>22</v>
      </c>
    </row>
    <row r="20" spans="1:3" ht="25.5">
      <c r="A20" s="392" t="s">
        <v>699</v>
      </c>
      <c r="B20" s="388">
        <v>319034</v>
      </c>
      <c r="C20" s="388">
        <v>270460</v>
      </c>
    </row>
    <row r="21" spans="1:3" ht="25.5">
      <c r="A21" s="392" t="s">
        <v>700</v>
      </c>
      <c r="B21" s="388">
        <v>27988</v>
      </c>
      <c r="C21" s="388">
        <v>16723</v>
      </c>
    </row>
    <row r="22" spans="1:3">
      <c r="A22" s="392" t="s">
        <v>701</v>
      </c>
      <c r="B22" s="388">
        <v>65711</v>
      </c>
      <c r="C22" s="388">
        <f>E22+I22+K22+M22+G22</f>
        <v>0</v>
      </c>
    </row>
    <row r="23" spans="1:3">
      <c r="A23" s="410" t="s">
        <v>702</v>
      </c>
      <c r="B23" s="389">
        <f>SUM(B24:B27)</f>
        <v>1279938</v>
      </c>
      <c r="C23" s="389">
        <f>SUM(C24:C27)</f>
        <v>1279938</v>
      </c>
    </row>
    <row r="24" spans="1:3">
      <c r="A24" s="392" t="s">
        <v>703</v>
      </c>
      <c r="B24" s="388">
        <v>4722</v>
      </c>
      <c r="C24" s="388">
        <v>4722</v>
      </c>
    </row>
    <row r="25" spans="1:3">
      <c r="A25" s="392" t="s">
        <v>704</v>
      </c>
      <c r="B25" s="388">
        <v>5227</v>
      </c>
      <c r="C25" s="388">
        <v>5227</v>
      </c>
    </row>
    <row r="26" spans="1:3">
      <c r="A26" s="392" t="s">
        <v>705</v>
      </c>
      <c r="B26" s="388">
        <v>1269989</v>
      </c>
      <c r="C26" s="388">
        <v>1269989</v>
      </c>
    </row>
    <row r="27" spans="1:3">
      <c r="A27" s="406" t="s">
        <v>706</v>
      </c>
      <c r="B27" s="388">
        <f>D27+F27+H27+J27+L27</f>
        <v>0</v>
      </c>
      <c r="C27" s="388">
        <f>E27+I27+K27+M27+G27</f>
        <v>0</v>
      </c>
    </row>
    <row r="28" spans="1:3" ht="30.6" customHeight="1">
      <c r="A28" s="387" t="s">
        <v>707</v>
      </c>
      <c r="B28" s="386">
        <f>B30+B31</f>
        <v>29186</v>
      </c>
      <c r="C28" s="386">
        <f>C30+C31</f>
        <v>29186</v>
      </c>
    </row>
    <row r="29" spans="1:3">
      <c r="A29" s="392" t="s">
        <v>708</v>
      </c>
      <c r="B29" s="388">
        <f>D29+F29+H29+J29+L29</f>
        <v>0</v>
      </c>
      <c r="C29" s="388">
        <f>E29+G29+I29+K29+M29</f>
        <v>0</v>
      </c>
    </row>
    <row r="30" spans="1:3">
      <c r="A30" s="392" t="s">
        <v>709</v>
      </c>
      <c r="B30" s="388">
        <v>500</v>
      </c>
      <c r="C30" s="388">
        <v>500</v>
      </c>
    </row>
    <row r="31" spans="1:3">
      <c r="A31" s="392" t="s">
        <v>710</v>
      </c>
      <c r="B31" s="388">
        <v>28686</v>
      </c>
      <c r="C31" s="388">
        <v>28686</v>
      </c>
    </row>
    <row r="32" spans="1:3">
      <c r="A32" s="392" t="s">
        <v>711</v>
      </c>
      <c r="B32" s="388">
        <f>D32+F32+H32+J32+L32</f>
        <v>0</v>
      </c>
      <c r="C32" s="388">
        <f>E32+G32+I32+K32+M32</f>
        <v>0</v>
      </c>
    </row>
    <row r="33" spans="1:3">
      <c r="A33" s="392" t="s">
        <v>712</v>
      </c>
      <c r="B33" s="388">
        <f>D33+F33+H33+J33+L33</f>
        <v>0</v>
      </c>
      <c r="C33" s="388">
        <f>E33+G33+I33+K33+M33</f>
        <v>0</v>
      </c>
    </row>
    <row r="34" spans="1:3">
      <c r="A34" s="392" t="s">
        <v>713</v>
      </c>
      <c r="B34" s="388">
        <v>0</v>
      </c>
      <c r="C34" s="388">
        <v>0</v>
      </c>
    </row>
    <row r="35" spans="1:3" ht="21" customHeight="1">
      <c r="A35" s="407" t="s">
        <v>714</v>
      </c>
      <c r="B35" s="388">
        <f>D35+F35+H35+J35+L35</f>
        <v>0</v>
      </c>
      <c r="C35" s="388">
        <f>E35+G35+I35+K35+M35</f>
        <v>0</v>
      </c>
    </row>
    <row r="36" spans="1:3" ht="25.9" customHeight="1">
      <c r="A36" s="387" t="s">
        <v>715</v>
      </c>
      <c r="B36" s="386">
        <f>D36+F36+H36+J36+L36</f>
        <v>0</v>
      </c>
      <c r="C36" s="386">
        <f>E36+I36+K36+M36+G36</f>
        <v>0</v>
      </c>
    </row>
    <row r="37" spans="1:3" ht="33.6" customHeight="1">
      <c r="A37" s="408" t="s">
        <v>716</v>
      </c>
      <c r="B37" s="386">
        <f>D37+F37+H37+J37+L37</f>
        <v>0</v>
      </c>
      <c r="C37" s="386">
        <f>E37+I37+K37+M37+G37</f>
        <v>0</v>
      </c>
    </row>
    <row r="38" spans="1:3" ht="24" customHeight="1">
      <c r="A38" s="391" t="s">
        <v>717</v>
      </c>
      <c r="B38" s="386">
        <f>D38+F38+H38+J38+L38</f>
        <v>0</v>
      </c>
      <c r="C38" s="386">
        <f>E38+I38+K38+M38+G38</f>
        <v>0</v>
      </c>
    </row>
    <row r="39" spans="1:3" ht="28.15" customHeight="1">
      <c r="A39" s="391" t="s">
        <v>718</v>
      </c>
      <c r="B39" s="386">
        <f>SUM(B40)</f>
        <v>43406</v>
      </c>
      <c r="C39" s="386">
        <f>SUM(C40)</f>
        <v>43406</v>
      </c>
    </row>
    <row r="40" spans="1:3" ht="30" customHeight="1">
      <c r="A40" s="390" t="s">
        <v>719</v>
      </c>
      <c r="B40" s="388">
        <v>43406</v>
      </c>
      <c r="C40" s="388">
        <v>43406</v>
      </c>
    </row>
    <row r="41" spans="1:3" ht="32.450000000000003" customHeight="1">
      <c r="A41" s="387" t="s">
        <v>720</v>
      </c>
      <c r="B41" s="386">
        <f>SUM(B42:B44)</f>
        <v>77575</v>
      </c>
      <c r="C41" s="386">
        <f>SUM(C42:C44)</f>
        <v>77575</v>
      </c>
    </row>
    <row r="42" spans="1:3" ht="36" customHeight="1">
      <c r="A42" s="390" t="s">
        <v>721</v>
      </c>
      <c r="B42" s="388">
        <v>26669</v>
      </c>
      <c r="C42" s="388">
        <v>26669</v>
      </c>
    </row>
    <row r="43" spans="1:3" ht="34.15" customHeight="1">
      <c r="A43" s="390" t="s">
        <v>722</v>
      </c>
      <c r="B43" s="388">
        <v>4232</v>
      </c>
      <c r="C43" s="388">
        <v>4232</v>
      </c>
    </row>
    <row r="44" spans="1:3" ht="30" customHeight="1">
      <c r="A44" s="409" t="s">
        <v>723</v>
      </c>
      <c r="B44" s="388">
        <v>46674</v>
      </c>
      <c r="C44" s="388">
        <v>46674</v>
      </c>
    </row>
    <row r="45" spans="1:3" ht="31.9" customHeight="1">
      <c r="A45" s="387" t="s">
        <v>724</v>
      </c>
      <c r="B45" s="386">
        <f>SUM(B46)</f>
        <v>4952</v>
      </c>
      <c r="C45" s="386">
        <f>SUM(C46)</f>
        <v>4952</v>
      </c>
    </row>
    <row r="46" spans="1:3" ht="29.45" customHeight="1">
      <c r="A46" s="390" t="s">
        <v>725</v>
      </c>
      <c r="B46" s="388">
        <v>4952</v>
      </c>
      <c r="C46" s="388">
        <v>4952</v>
      </c>
    </row>
    <row r="47" spans="1:3" ht="33" customHeight="1">
      <c r="A47" s="387" t="s">
        <v>726</v>
      </c>
      <c r="B47" s="386">
        <f>D47+F47+H47+J47+L47</f>
        <v>0</v>
      </c>
      <c r="C47" s="386">
        <f>E47+G47+I47+K47+M47</f>
        <v>0</v>
      </c>
    </row>
    <row r="48" spans="1:3" ht="25.15" customHeight="1">
      <c r="A48" s="385" t="s">
        <v>727</v>
      </c>
      <c r="B48" s="386">
        <f>B7+B12+B28+B36+B37+B38+B39+B41+B45+B47</f>
        <v>5338301</v>
      </c>
      <c r="C48" s="386">
        <f>C7+C12+C28+C36+C37+C38+C39+C41+C45+C47</f>
        <v>4780545</v>
      </c>
    </row>
    <row r="49" spans="1:3">
      <c r="A49" s="393"/>
      <c r="B49" s="395"/>
      <c r="C49" s="395"/>
    </row>
    <row r="50" spans="1:3">
      <c r="A50" s="393"/>
      <c r="B50" s="394"/>
      <c r="C50" s="394"/>
    </row>
    <row r="51" spans="1:3" ht="26.25" customHeight="1">
      <c r="A51" s="396" t="s">
        <v>507</v>
      </c>
      <c r="B51" s="397" t="s">
        <v>728</v>
      </c>
      <c r="C51" s="394"/>
    </row>
    <row r="52" spans="1:3" ht="29.45" customHeight="1">
      <c r="A52" s="398" t="s">
        <v>729</v>
      </c>
      <c r="B52" s="400">
        <f>SUM(B53:B58)</f>
        <v>4374461</v>
      </c>
      <c r="C52" s="394"/>
    </row>
    <row r="53" spans="1:3" ht="26.45" customHeight="1">
      <c r="A53" s="401" t="s">
        <v>730</v>
      </c>
      <c r="B53" s="402">
        <v>3444209</v>
      </c>
      <c r="C53" s="399"/>
    </row>
    <row r="54" spans="1:3" ht="23.45" customHeight="1">
      <c r="A54" s="401" t="s">
        <v>731</v>
      </c>
      <c r="B54" s="402">
        <v>0</v>
      </c>
      <c r="C54" s="399"/>
    </row>
    <row r="55" spans="1:3" ht="26.45" customHeight="1">
      <c r="A55" s="401" t="s">
        <v>732</v>
      </c>
      <c r="B55" s="402">
        <v>23921</v>
      </c>
      <c r="C55" s="399"/>
    </row>
    <row r="56" spans="1:3" ht="22.15" customHeight="1">
      <c r="A56" s="401" t="s">
        <v>733</v>
      </c>
      <c r="B56" s="402">
        <v>31321</v>
      </c>
      <c r="C56" s="399"/>
    </row>
    <row r="57" spans="1:3" ht="26.45" customHeight="1">
      <c r="A57" s="401" t="s">
        <v>734</v>
      </c>
      <c r="B57" s="402">
        <v>0</v>
      </c>
      <c r="C57" s="399"/>
    </row>
    <row r="58" spans="1:3" ht="27" customHeight="1">
      <c r="A58" s="401" t="s">
        <v>735</v>
      </c>
      <c r="B58" s="402">
        <v>875010</v>
      </c>
      <c r="C58" s="399"/>
    </row>
    <row r="59" spans="1:3" ht="36.6" customHeight="1">
      <c r="A59" s="398" t="s">
        <v>736</v>
      </c>
      <c r="B59" s="400">
        <f>SUM(B60:B68)</f>
        <v>983</v>
      </c>
      <c r="C59" s="399"/>
    </row>
    <row r="60" spans="1:3" ht="40.15" customHeight="1">
      <c r="A60" s="401" t="s">
        <v>737</v>
      </c>
      <c r="B60" s="402">
        <v>0</v>
      </c>
      <c r="C60" s="399"/>
    </row>
    <row r="61" spans="1:3" ht="30.6" customHeight="1">
      <c r="A61" s="401" t="s">
        <v>738</v>
      </c>
      <c r="B61" s="402">
        <v>0</v>
      </c>
      <c r="C61" s="399"/>
    </row>
    <row r="62" spans="1:3" ht="30" customHeight="1">
      <c r="A62" s="401" t="s">
        <v>739</v>
      </c>
      <c r="B62" s="402">
        <v>983</v>
      </c>
      <c r="C62" s="399"/>
    </row>
    <row r="63" spans="1:3" ht="31.15" customHeight="1">
      <c r="A63" s="401" t="s">
        <v>740</v>
      </c>
      <c r="B63" s="402">
        <v>0</v>
      </c>
      <c r="C63" s="399"/>
    </row>
    <row r="64" spans="1:3" ht="33" customHeight="1">
      <c r="A64" s="401" t="s">
        <v>741</v>
      </c>
      <c r="B64" s="402">
        <v>0</v>
      </c>
      <c r="C64" s="399"/>
    </row>
    <row r="65" spans="1:3" ht="26.45" customHeight="1">
      <c r="A65" s="401" t="s">
        <v>742</v>
      </c>
      <c r="B65" s="402">
        <v>0</v>
      </c>
      <c r="C65" s="399"/>
    </row>
    <row r="66" spans="1:3" ht="24.6" customHeight="1">
      <c r="A66" s="401" t="s">
        <v>743</v>
      </c>
      <c r="B66" s="402">
        <v>0</v>
      </c>
      <c r="C66" s="399"/>
    </row>
    <row r="67" spans="1:3" ht="25.5">
      <c r="A67" s="401" t="s">
        <v>744</v>
      </c>
      <c r="B67" s="402">
        <v>0</v>
      </c>
      <c r="C67" s="399"/>
    </row>
    <row r="68" spans="1:3" ht="61.5" customHeight="1">
      <c r="A68" s="401" t="s">
        <v>745</v>
      </c>
      <c r="B68" s="402">
        <v>0</v>
      </c>
      <c r="C68" s="399"/>
    </row>
    <row r="69" spans="1:3">
      <c r="A69" s="398" t="s">
        <v>746</v>
      </c>
      <c r="B69" s="400">
        <f>SUM(B70:B79)</f>
        <v>337470</v>
      </c>
      <c r="C69" s="380"/>
    </row>
    <row r="70" spans="1:3" ht="25.5">
      <c r="A70" s="401" t="s">
        <v>747</v>
      </c>
      <c r="B70" s="402">
        <v>0</v>
      </c>
      <c r="C70" s="380"/>
    </row>
    <row r="71" spans="1:3" ht="25.5">
      <c r="A71" s="401" t="s">
        <v>748</v>
      </c>
      <c r="B71" s="402">
        <v>0</v>
      </c>
      <c r="C71" s="380"/>
    </row>
    <row r="72" spans="1:3" ht="36.6" customHeight="1">
      <c r="A72" s="401" t="s">
        <v>749</v>
      </c>
      <c r="B72" s="402">
        <v>1841</v>
      </c>
      <c r="C72" s="380"/>
    </row>
    <row r="73" spans="1:3" ht="34.9" customHeight="1">
      <c r="A73" s="401" t="s">
        <v>750</v>
      </c>
      <c r="B73" s="402">
        <v>0</v>
      </c>
      <c r="C73" s="380"/>
    </row>
    <row r="74" spans="1:3" ht="33" customHeight="1">
      <c r="A74" s="401" t="s">
        <v>751</v>
      </c>
      <c r="B74" s="402">
        <v>0</v>
      </c>
      <c r="C74" s="380"/>
    </row>
    <row r="75" spans="1:3" ht="37.15" customHeight="1">
      <c r="A75" s="401" t="s">
        <v>752</v>
      </c>
      <c r="B75" s="402">
        <v>0</v>
      </c>
      <c r="C75" s="380"/>
    </row>
    <row r="76" spans="1:3" ht="31.15" customHeight="1">
      <c r="A76" s="401" t="s">
        <v>753</v>
      </c>
      <c r="B76" s="402">
        <v>0</v>
      </c>
      <c r="C76" s="380"/>
    </row>
    <row r="77" spans="1:3" ht="36.6" customHeight="1">
      <c r="A77" s="401" t="s">
        <v>754</v>
      </c>
      <c r="B77" s="402">
        <v>0</v>
      </c>
      <c r="C77" s="380"/>
    </row>
    <row r="78" spans="1:3" ht="37.15" customHeight="1">
      <c r="A78" s="401" t="s">
        <v>755</v>
      </c>
      <c r="B78" s="402">
        <v>335629</v>
      </c>
      <c r="C78" s="380"/>
    </row>
    <row r="79" spans="1:3" ht="33.6" customHeight="1">
      <c r="A79" s="401" t="s">
        <v>756</v>
      </c>
      <c r="B79" s="402">
        <v>0</v>
      </c>
      <c r="C79" s="380"/>
    </row>
    <row r="80" spans="1:3" ht="28.15" customHeight="1">
      <c r="A80" s="398" t="s">
        <v>757</v>
      </c>
      <c r="B80" s="403">
        <f>SUM(B81:B88)</f>
        <v>39379</v>
      </c>
      <c r="C80" s="380"/>
    </row>
    <row r="81" spans="1:3" ht="27" customHeight="1">
      <c r="A81" s="401" t="s">
        <v>758</v>
      </c>
      <c r="B81" s="402">
        <v>10908</v>
      </c>
      <c r="C81" s="380"/>
    </row>
    <row r="82" spans="1:3" ht="33.6" customHeight="1">
      <c r="A82" s="401" t="s">
        <v>759</v>
      </c>
      <c r="B82" s="402">
        <v>0</v>
      </c>
      <c r="C82" s="380"/>
    </row>
    <row r="83" spans="1:3" ht="31.9" customHeight="1">
      <c r="A83" s="401" t="s">
        <v>760</v>
      </c>
      <c r="B83" s="402">
        <v>422</v>
      </c>
      <c r="C83" s="380"/>
    </row>
    <row r="84" spans="1:3" ht="28.15" customHeight="1">
      <c r="A84" s="401" t="s">
        <v>761</v>
      </c>
      <c r="B84" s="402">
        <v>0</v>
      </c>
      <c r="C84" s="380"/>
    </row>
    <row r="85" spans="1:3" ht="29.45" customHeight="1">
      <c r="A85" s="401" t="s">
        <v>762</v>
      </c>
      <c r="B85" s="402">
        <v>0</v>
      </c>
      <c r="C85" s="380"/>
    </row>
    <row r="86" spans="1:3" ht="39" customHeight="1">
      <c r="A86" s="401" t="s">
        <v>763</v>
      </c>
      <c r="B86" s="402">
        <v>0</v>
      </c>
      <c r="C86" s="380"/>
    </row>
    <row r="87" spans="1:3" ht="38.450000000000003" customHeight="1">
      <c r="A87" s="401" t="s">
        <v>764</v>
      </c>
      <c r="B87" s="402">
        <v>0</v>
      </c>
      <c r="C87" s="380"/>
    </row>
    <row r="88" spans="1:3" ht="36" customHeight="1">
      <c r="A88" s="404" t="s">
        <v>765</v>
      </c>
      <c r="B88" s="402">
        <v>28049</v>
      </c>
      <c r="C88" s="380"/>
    </row>
    <row r="89" spans="1:3" ht="28.15" customHeight="1">
      <c r="A89" s="398" t="s">
        <v>766</v>
      </c>
      <c r="B89" s="400">
        <f>B59+B69+B80</f>
        <v>377832</v>
      </c>
      <c r="C89" s="380"/>
    </row>
    <row r="90" spans="1:3" ht="32.450000000000003" customHeight="1">
      <c r="A90" s="398" t="s">
        <v>767</v>
      </c>
      <c r="B90" s="400">
        <v>0</v>
      </c>
      <c r="C90" s="380"/>
    </row>
    <row r="91" spans="1:3" ht="36.6" customHeight="1">
      <c r="A91" s="398" t="s">
        <v>768</v>
      </c>
      <c r="B91" s="400">
        <v>0</v>
      </c>
      <c r="C91" s="380"/>
    </row>
    <row r="92" spans="1:3" ht="34.9" customHeight="1">
      <c r="A92" s="398" t="s">
        <v>769</v>
      </c>
      <c r="B92" s="400">
        <f>B94</f>
        <v>28252</v>
      </c>
      <c r="C92" s="380"/>
    </row>
    <row r="93" spans="1:3" ht="30" customHeight="1">
      <c r="A93" s="401" t="s">
        <v>770</v>
      </c>
      <c r="B93" s="405">
        <v>0</v>
      </c>
      <c r="C93" s="380"/>
    </row>
    <row r="94" spans="1:3" ht="27" customHeight="1">
      <c r="A94" s="401" t="s">
        <v>771</v>
      </c>
      <c r="B94" s="405">
        <v>28252</v>
      </c>
      <c r="C94" s="380"/>
    </row>
    <row r="95" spans="1:3" ht="26.45" customHeight="1">
      <c r="A95" s="401" t="s">
        <v>772</v>
      </c>
      <c r="B95" s="405">
        <v>0</v>
      </c>
      <c r="C95" s="380"/>
    </row>
    <row r="96" spans="1:3" ht="33" customHeight="1">
      <c r="A96" s="398" t="s">
        <v>773</v>
      </c>
      <c r="B96" s="400">
        <f>B52+B59+B69+B80+B92</f>
        <v>4780545</v>
      </c>
      <c r="C96" s="380"/>
    </row>
  </sheetData>
  <mergeCells count="3">
    <mergeCell ref="A2:C2"/>
    <mergeCell ref="A3:C3"/>
    <mergeCell ref="B5:C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5"/>
  <sheetViews>
    <sheetView topLeftCell="A55" workbookViewId="0">
      <selection activeCell="E2" sqref="E2"/>
    </sheetView>
  </sheetViews>
  <sheetFormatPr defaultRowHeight="12.75"/>
  <cols>
    <col min="1" max="1" width="40" customWidth="1"/>
    <col min="2" max="2" width="22.2851562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>
      <c r="A1" s="1" t="s">
        <v>864</v>
      </c>
      <c r="B1" s="1"/>
      <c r="C1" s="1"/>
      <c r="D1" s="1"/>
      <c r="E1" s="670" t="s">
        <v>921</v>
      </c>
      <c r="F1" s="670"/>
      <c r="G1" s="670"/>
    </row>
    <row r="2" spans="1:7">
      <c r="A2" s="1" t="s">
        <v>604</v>
      </c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3" t="s">
        <v>863</v>
      </c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13.5" thickBot="1">
      <c r="A6" s="1"/>
      <c r="B6" s="565"/>
      <c r="C6" s="1"/>
      <c r="D6" s="1"/>
      <c r="E6" s="1"/>
      <c r="F6" s="4" t="s">
        <v>862</v>
      </c>
      <c r="G6" s="1"/>
    </row>
    <row r="7" spans="1:7">
      <c r="A7" s="564" t="s">
        <v>603</v>
      </c>
      <c r="B7" s="562" t="s">
        <v>861</v>
      </c>
      <c r="C7" s="563"/>
      <c r="D7" s="562" t="s">
        <v>860</v>
      </c>
      <c r="E7" s="561"/>
      <c r="F7" s="560"/>
      <c r="G7" s="559" t="s">
        <v>859</v>
      </c>
    </row>
    <row r="8" spans="1:7">
      <c r="A8" s="558"/>
      <c r="B8" s="556"/>
      <c r="C8" s="557"/>
      <c r="D8" s="556" t="s">
        <v>858</v>
      </c>
      <c r="E8" s="555"/>
      <c r="F8" s="554"/>
      <c r="G8" s="553"/>
    </row>
    <row r="9" spans="1:7">
      <c r="A9" s="558"/>
      <c r="B9" s="556"/>
      <c r="C9" s="557"/>
      <c r="D9" s="556"/>
      <c r="E9" s="555"/>
      <c r="F9" s="554"/>
      <c r="G9" s="553"/>
    </row>
    <row r="10" spans="1:7">
      <c r="A10" s="552"/>
      <c r="B10" s="550" t="s">
        <v>857</v>
      </c>
      <c r="C10" s="551" t="s">
        <v>856</v>
      </c>
      <c r="D10" s="550" t="s">
        <v>857</v>
      </c>
      <c r="E10" s="549" t="s">
        <v>856</v>
      </c>
      <c r="F10" s="483" t="s">
        <v>857</v>
      </c>
      <c r="G10" s="548" t="s">
        <v>856</v>
      </c>
    </row>
    <row r="11" spans="1:7" ht="13.5" thickBot="1">
      <c r="A11" s="547"/>
      <c r="B11" s="545"/>
      <c r="C11" s="546"/>
      <c r="D11" s="545"/>
      <c r="E11" s="544"/>
      <c r="F11" s="543"/>
      <c r="G11" s="542"/>
    </row>
    <row r="12" spans="1:7">
      <c r="A12" s="541" t="s">
        <v>855</v>
      </c>
      <c r="B12" s="540"/>
      <c r="C12" s="539"/>
      <c r="D12" s="498"/>
      <c r="E12" s="539"/>
      <c r="F12" s="495"/>
      <c r="G12" s="538"/>
    </row>
    <row r="13" spans="1:7">
      <c r="A13" s="506" t="s">
        <v>854</v>
      </c>
      <c r="B13" s="537"/>
      <c r="C13" s="504"/>
      <c r="D13" s="510"/>
      <c r="E13" s="522"/>
      <c r="F13" s="508"/>
      <c r="G13" s="536"/>
    </row>
    <row r="14" spans="1:7">
      <c r="A14" s="506" t="s">
        <v>853</v>
      </c>
      <c r="B14" s="505">
        <v>771</v>
      </c>
      <c r="C14" s="504">
        <v>2311500</v>
      </c>
      <c r="D14" s="510">
        <v>0</v>
      </c>
      <c r="E14" s="509">
        <v>0</v>
      </c>
      <c r="F14" s="530">
        <f>B14+D14</f>
        <v>771</v>
      </c>
      <c r="G14" s="535">
        <f>C14+E14</f>
        <v>2311500</v>
      </c>
    </row>
    <row r="15" spans="1:7">
      <c r="A15" s="506"/>
      <c r="C15" s="531"/>
      <c r="D15" s="534"/>
      <c r="E15" s="533"/>
      <c r="F15" s="532"/>
      <c r="G15" s="531"/>
    </row>
    <row r="16" spans="1:7">
      <c r="A16" s="506" t="s">
        <v>850</v>
      </c>
      <c r="B16" s="505">
        <v>2</v>
      </c>
      <c r="C16" s="504">
        <v>13500</v>
      </c>
      <c r="D16" s="510">
        <v>0</v>
      </c>
      <c r="E16" s="522">
        <v>0</v>
      </c>
      <c r="F16" s="530">
        <f>B16+D16</f>
        <v>2</v>
      </c>
      <c r="G16" s="529">
        <f>C16+E16</f>
        <v>13500</v>
      </c>
    </row>
    <row r="17" spans="1:7">
      <c r="A17" s="528" t="s">
        <v>852</v>
      </c>
      <c r="B17" s="524"/>
      <c r="C17" s="527"/>
      <c r="D17" s="526"/>
      <c r="E17" s="525"/>
      <c r="F17" s="524"/>
      <c r="G17" s="523"/>
    </row>
    <row r="18" spans="1:7">
      <c r="A18" s="506"/>
      <c r="B18" s="505"/>
      <c r="C18" s="504"/>
      <c r="D18" s="510"/>
      <c r="E18" s="522"/>
      <c r="F18" s="505"/>
      <c r="G18" s="513"/>
    </row>
    <row r="19" spans="1:7">
      <c r="A19" s="506" t="s">
        <v>850</v>
      </c>
      <c r="B19" s="515">
        <v>0</v>
      </c>
      <c r="C19" s="502">
        <v>0</v>
      </c>
      <c r="D19" s="510">
        <v>0</v>
      </c>
      <c r="E19" s="509">
        <v>0</v>
      </c>
      <c r="F19" s="508">
        <v>0</v>
      </c>
      <c r="G19" s="507">
        <v>0</v>
      </c>
    </row>
    <row r="20" spans="1:7">
      <c r="A20" s="521"/>
      <c r="B20" s="517"/>
      <c r="C20" s="520"/>
      <c r="D20" s="519"/>
      <c r="E20" s="518"/>
      <c r="F20" s="517"/>
      <c r="G20" s="516"/>
    </row>
    <row r="21" spans="1:7">
      <c r="A21" s="486" t="s">
        <v>851</v>
      </c>
      <c r="B21" s="505"/>
      <c r="C21" s="504"/>
      <c r="D21" s="503"/>
      <c r="E21" s="502"/>
      <c r="F21" s="505"/>
      <c r="G21" s="513"/>
    </row>
    <row r="22" spans="1:7">
      <c r="A22" s="506"/>
      <c r="B22" s="514"/>
      <c r="C22" s="504"/>
      <c r="D22" s="515"/>
      <c r="E22" s="502"/>
      <c r="F22" s="514"/>
      <c r="G22" s="513"/>
    </row>
    <row r="23" spans="1:7">
      <c r="A23" s="506" t="s">
        <v>850</v>
      </c>
      <c r="B23" s="512">
        <v>0</v>
      </c>
      <c r="C23" s="511">
        <v>0</v>
      </c>
      <c r="D23" s="510">
        <v>0</v>
      </c>
      <c r="E23" s="509">
        <v>0</v>
      </c>
      <c r="F23" s="508">
        <v>0</v>
      </c>
      <c r="G23" s="507">
        <v>0</v>
      </c>
    </row>
    <row r="24" spans="1:7" ht="13.5" thickBot="1">
      <c r="A24" s="506"/>
      <c r="B24" s="505"/>
      <c r="C24" s="504"/>
      <c r="D24" s="503"/>
      <c r="E24" s="502"/>
      <c r="F24" s="501"/>
      <c r="G24" s="500"/>
    </row>
    <row r="25" spans="1:7">
      <c r="A25" s="499"/>
      <c r="B25" s="498"/>
      <c r="C25" s="494"/>
      <c r="D25" s="497"/>
      <c r="E25" s="496"/>
      <c r="F25" s="495"/>
      <c r="G25" s="494"/>
    </row>
    <row r="26" spans="1:7">
      <c r="A26" s="486" t="s">
        <v>849</v>
      </c>
      <c r="B26" s="492">
        <f t="shared" ref="B26:G26" si="0">SUM(B13:B24)</f>
        <v>773</v>
      </c>
      <c r="C26" s="491">
        <f t="shared" si="0"/>
        <v>2325000</v>
      </c>
      <c r="D26" s="491">
        <f t="shared" si="0"/>
        <v>0</v>
      </c>
      <c r="E26" s="493">
        <f t="shared" si="0"/>
        <v>0</v>
      </c>
      <c r="F26" s="492">
        <f t="shared" si="0"/>
        <v>773</v>
      </c>
      <c r="G26" s="491">
        <f t="shared" si="0"/>
        <v>2325000</v>
      </c>
    </row>
    <row r="27" spans="1:7">
      <c r="A27" s="486" t="s">
        <v>848</v>
      </c>
      <c r="B27" s="488"/>
      <c r="C27" s="487"/>
      <c r="D27" s="490"/>
      <c r="E27" s="489"/>
      <c r="F27" s="488"/>
      <c r="G27" s="487"/>
    </row>
    <row r="28" spans="1:7">
      <c r="A28" s="486"/>
      <c r="B28" s="483"/>
      <c r="C28" s="482"/>
      <c r="D28" s="485"/>
      <c r="E28" s="484"/>
      <c r="F28" s="483"/>
      <c r="G28" s="482"/>
    </row>
    <row r="29" spans="1:7" ht="13.5" thickBot="1">
      <c r="A29" s="481" t="s">
        <v>847</v>
      </c>
      <c r="B29" s="480">
        <v>0</v>
      </c>
      <c r="C29" s="479">
        <v>0</v>
      </c>
      <c r="D29" s="476">
        <f>D23</f>
        <v>0</v>
      </c>
      <c r="E29" s="478">
        <f>E23</f>
        <v>0</v>
      </c>
      <c r="F29" s="477">
        <f>F23</f>
        <v>0</v>
      </c>
      <c r="G29" s="476">
        <f>G23</f>
        <v>0</v>
      </c>
    </row>
    <row r="31" spans="1:7">
      <c r="A31" s="141" t="s">
        <v>846</v>
      </c>
    </row>
    <row r="32" spans="1:7">
      <c r="A32" s="141" t="s">
        <v>845</v>
      </c>
      <c r="G32" t="s">
        <v>844</v>
      </c>
    </row>
    <row r="33" spans="1:3" ht="13.5" thickBot="1">
      <c r="A33" s="475"/>
      <c r="B33" s="475"/>
    </row>
    <row r="34" spans="1:3">
      <c r="A34" s="474" t="s">
        <v>603</v>
      </c>
      <c r="B34" s="473" t="s">
        <v>843</v>
      </c>
    </row>
    <row r="35" spans="1:3">
      <c r="A35" s="471"/>
      <c r="B35" s="470"/>
    </row>
    <row r="36" spans="1:3">
      <c r="A36" s="471" t="s">
        <v>842</v>
      </c>
      <c r="B36" s="472">
        <f>2371500+1600200</f>
        <v>3971700</v>
      </c>
    </row>
    <row r="37" spans="1:3">
      <c r="A37" s="471"/>
      <c r="B37" s="470"/>
    </row>
    <row r="38" spans="1:3" ht="13.5" thickBot="1">
      <c r="A38" s="469" t="s">
        <v>841</v>
      </c>
      <c r="B38" s="468">
        <f>12500*127+12500*165</f>
        <v>3650000</v>
      </c>
    </row>
    <row r="40" spans="1:3" hidden="1">
      <c r="A40" t="s">
        <v>840</v>
      </c>
      <c r="B40">
        <f>43*10*3500</f>
        <v>1505000</v>
      </c>
      <c r="C40" t="s">
        <v>839</v>
      </c>
    </row>
    <row r="41" spans="1:3" hidden="1">
      <c r="A41" t="s">
        <v>838</v>
      </c>
      <c r="B41">
        <f>43*7*3000</f>
        <v>903000</v>
      </c>
      <c r="C41" t="s">
        <v>836</v>
      </c>
    </row>
    <row r="42" spans="1:3" hidden="1">
      <c r="A42" t="s">
        <v>837</v>
      </c>
      <c r="B42">
        <f>52*24*3000</f>
        <v>3744000</v>
      </c>
      <c r="C42" t="s">
        <v>836</v>
      </c>
    </row>
    <row r="43" spans="1:3" hidden="1">
      <c r="A43" t="s">
        <v>835</v>
      </c>
      <c r="B43">
        <f>52*6*3000</f>
        <v>936000</v>
      </c>
    </row>
    <row r="44" spans="1:3" hidden="1"/>
    <row r="45" spans="1:3" hidden="1">
      <c r="A45" t="s">
        <v>834</v>
      </c>
      <c r="B45">
        <f>B40+B41+B43</f>
        <v>3344000</v>
      </c>
    </row>
  </sheetData>
  <mergeCells count="1">
    <mergeCell ref="E1:G1"/>
  </mergeCells>
  <pageMargins left="0.74803149606299213" right="0.74803149606299213" top="0.59055118110236227" bottom="0.59055118110236227" header="0.51181102362204722" footer="0.51181102362204722"/>
  <pageSetup paperSize="9" firstPageNumber="0" orientation="landscape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E31" sqref="E31"/>
    </sheetView>
  </sheetViews>
  <sheetFormatPr defaultRowHeight="12.75"/>
  <cols>
    <col min="2" max="2" width="7.140625" customWidth="1"/>
    <col min="4" max="4" width="22.7109375" customWidth="1"/>
    <col min="5" max="5" width="28.5703125" customWidth="1"/>
    <col min="6" max="6" width="17.7109375" customWidth="1"/>
    <col min="7" max="7" width="24.42578125" customWidth="1"/>
  </cols>
  <sheetData>
    <row r="1" spans="1:11">
      <c r="A1" s="430"/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1">
      <c r="A2" s="431" t="s">
        <v>804</v>
      </c>
      <c r="B2" s="431"/>
      <c r="C2" s="431"/>
      <c r="D2" s="431"/>
      <c r="E2" s="432" t="s">
        <v>898</v>
      </c>
      <c r="H2" s="439"/>
      <c r="I2" s="439"/>
      <c r="J2" s="432"/>
      <c r="K2" s="430"/>
    </row>
    <row r="3" spans="1:11">
      <c r="A3" s="431" t="s">
        <v>604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</row>
    <row r="4" spans="1:11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</row>
    <row r="5" spans="1:11">
      <c r="A5" s="430"/>
      <c r="B5" s="430"/>
      <c r="C5" s="433"/>
      <c r="D5" s="433"/>
      <c r="E5" s="433"/>
      <c r="F5" s="433"/>
      <c r="G5" s="433"/>
      <c r="H5" s="433"/>
      <c r="I5" s="433"/>
      <c r="J5" s="433"/>
      <c r="K5" s="433"/>
    </row>
    <row r="6" spans="1:11">
      <c r="A6" s="676" t="s">
        <v>812</v>
      </c>
      <c r="B6" s="676"/>
      <c r="C6" s="676"/>
      <c r="D6" s="676"/>
      <c r="E6" s="676"/>
      <c r="F6" s="439"/>
      <c r="G6" s="439"/>
      <c r="H6" s="439"/>
      <c r="I6" s="439"/>
      <c r="J6" s="440"/>
      <c r="K6" s="440"/>
    </row>
    <row r="7" spans="1:11">
      <c r="A7" s="439" t="s">
        <v>813</v>
      </c>
      <c r="B7" s="439"/>
      <c r="C7" s="439"/>
      <c r="D7" s="439"/>
      <c r="E7" s="439"/>
      <c r="F7" s="439"/>
      <c r="G7" s="439"/>
      <c r="H7" s="439"/>
      <c r="I7" s="439"/>
      <c r="J7" s="440"/>
      <c r="K7" s="440"/>
    </row>
    <row r="8" spans="1:11">
      <c r="A8" s="439"/>
      <c r="B8" s="439"/>
      <c r="C8" s="439"/>
      <c r="D8" s="439"/>
      <c r="E8" s="439"/>
      <c r="F8" s="439"/>
      <c r="G8" s="439"/>
      <c r="H8" s="439"/>
      <c r="I8" s="439"/>
      <c r="J8" s="440"/>
      <c r="K8" s="440"/>
    </row>
    <row r="9" spans="1:11">
      <c r="A9" s="430"/>
      <c r="B9" s="430"/>
      <c r="C9" s="430"/>
      <c r="D9" s="430"/>
      <c r="E9" s="430"/>
      <c r="F9" s="430"/>
      <c r="G9" s="430"/>
      <c r="H9" s="430"/>
      <c r="I9" s="430"/>
      <c r="J9" s="430"/>
      <c r="K9" s="430"/>
    </row>
    <row r="10" spans="1:11">
      <c r="A10" s="434" t="s">
        <v>805</v>
      </c>
      <c r="B10" s="430"/>
      <c r="C10" s="430"/>
      <c r="D10" s="430"/>
      <c r="E10" s="430"/>
      <c r="F10" s="430"/>
      <c r="G10" s="430"/>
      <c r="H10" s="430"/>
      <c r="I10" s="430"/>
    </row>
    <row r="11" spans="1:11">
      <c r="A11" s="430"/>
      <c r="B11" s="430"/>
      <c r="C11" s="430"/>
      <c r="D11" s="430"/>
      <c r="E11" s="430"/>
      <c r="F11" s="430"/>
      <c r="G11" s="430"/>
      <c r="H11" s="430"/>
      <c r="I11" s="430"/>
    </row>
    <row r="12" spans="1:11">
      <c r="A12" s="672" t="s">
        <v>806</v>
      </c>
      <c r="B12" s="672"/>
      <c r="C12" s="672"/>
      <c r="D12" s="672"/>
      <c r="E12" s="435" t="s">
        <v>807</v>
      </c>
      <c r="F12" s="430"/>
      <c r="G12" s="430"/>
      <c r="H12" s="430"/>
      <c r="I12" s="430"/>
    </row>
    <row r="13" spans="1:11">
      <c r="A13" s="673" t="s">
        <v>808</v>
      </c>
      <c r="B13" s="674"/>
      <c r="C13" s="674"/>
      <c r="D13" s="675"/>
      <c r="E13" s="436">
        <v>28686000</v>
      </c>
      <c r="F13" s="430"/>
      <c r="G13" s="430"/>
      <c r="H13" s="430"/>
      <c r="I13" s="430"/>
    </row>
    <row r="14" spans="1:11">
      <c r="A14" s="673" t="s">
        <v>809</v>
      </c>
      <c r="B14" s="674"/>
      <c r="C14" s="674"/>
      <c r="D14" s="675"/>
      <c r="E14" s="436">
        <v>500000</v>
      </c>
      <c r="F14" s="430"/>
      <c r="G14" s="430"/>
      <c r="H14" s="430"/>
      <c r="I14" s="430"/>
    </row>
    <row r="15" spans="1:11">
      <c r="A15" s="671" t="s">
        <v>798</v>
      </c>
      <c r="B15" s="671"/>
      <c r="C15" s="671"/>
      <c r="D15" s="671"/>
      <c r="E15" s="437">
        <f>SUM(E13:E14)</f>
        <v>29186000</v>
      </c>
      <c r="F15" s="430"/>
      <c r="G15" s="430"/>
      <c r="H15" s="430"/>
      <c r="I15" s="430"/>
    </row>
    <row r="16" spans="1:11">
      <c r="A16" s="441"/>
      <c r="B16" s="441"/>
      <c r="C16" s="441"/>
      <c r="D16" s="441"/>
      <c r="E16" s="442"/>
      <c r="F16" s="430"/>
      <c r="G16" s="430"/>
      <c r="H16" s="430"/>
      <c r="I16" s="430"/>
    </row>
    <row r="17" spans="1:9">
      <c r="A17" s="430"/>
      <c r="B17" s="430"/>
      <c r="C17" s="430"/>
      <c r="D17" s="430"/>
      <c r="E17" s="430"/>
      <c r="F17" s="430"/>
      <c r="G17" s="430"/>
      <c r="H17" s="430"/>
      <c r="I17" s="430"/>
    </row>
    <row r="18" spans="1:9">
      <c r="A18" s="677"/>
      <c r="B18" s="677"/>
      <c r="C18" s="438"/>
      <c r="D18" s="438"/>
      <c r="E18" s="438"/>
      <c r="F18" s="430"/>
      <c r="G18" s="430"/>
      <c r="H18" s="430"/>
      <c r="I18" s="430"/>
    </row>
    <row r="19" spans="1:9">
      <c r="A19" s="678" t="s">
        <v>811</v>
      </c>
      <c r="B19" s="678"/>
      <c r="C19" s="678"/>
      <c r="D19" s="678"/>
      <c r="E19" s="678"/>
      <c r="F19" s="430"/>
      <c r="G19" s="430"/>
      <c r="H19" s="430"/>
      <c r="I19" s="430"/>
    </row>
    <row r="20" spans="1:9">
      <c r="A20" s="430"/>
      <c r="B20" s="430"/>
      <c r="C20" s="430"/>
      <c r="D20" s="430"/>
      <c r="E20" s="430"/>
      <c r="F20" s="430"/>
      <c r="G20" s="430"/>
      <c r="H20" s="430"/>
      <c r="I20" s="430"/>
    </row>
    <row r="21" spans="1:9">
      <c r="A21" s="672" t="s">
        <v>806</v>
      </c>
      <c r="B21" s="672"/>
      <c r="C21" s="672"/>
      <c r="D21" s="672"/>
      <c r="E21" s="435" t="s">
        <v>810</v>
      </c>
      <c r="F21" s="430"/>
      <c r="G21" s="430"/>
      <c r="H21" s="430"/>
      <c r="I21" s="430"/>
    </row>
    <row r="22" spans="1:9">
      <c r="A22" s="673" t="s">
        <v>809</v>
      </c>
      <c r="B22" s="674"/>
      <c r="C22" s="674"/>
      <c r="D22" s="675"/>
      <c r="E22" s="436">
        <v>0</v>
      </c>
      <c r="F22" s="430"/>
      <c r="G22" s="430"/>
      <c r="H22" s="430"/>
      <c r="I22" s="430"/>
    </row>
    <row r="23" spans="1:9">
      <c r="A23" s="671" t="s">
        <v>798</v>
      </c>
      <c r="B23" s="671"/>
      <c r="C23" s="671"/>
      <c r="D23" s="671"/>
      <c r="E23" s="437">
        <f>SUM(E22:E22)</f>
        <v>0</v>
      </c>
      <c r="F23" s="430"/>
      <c r="G23" s="430"/>
      <c r="H23" s="430"/>
      <c r="I23" s="430"/>
    </row>
  </sheetData>
  <mergeCells count="10">
    <mergeCell ref="A6:E6"/>
    <mergeCell ref="A18:B18"/>
    <mergeCell ref="A19:E19"/>
    <mergeCell ref="A21:D21"/>
    <mergeCell ref="A22:D22"/>
    <mergeCell ref="A23:D23"/>
    <mergeCell ref="A12:D12"/>
    <mergeCell ref="A13:D13"/>
    <mergeCell ref="A14:D14"/>
    <mergeCell ref="A15:D1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0"/>
  <sheetViews>
    <sheetView topLeftCell="A28" workbookViewId="0">
      <selection activeCell="D2" sqref="D2"/>
    </sheetView>
  </sheetViews>
  <sheetFormatPr defaultRowHeight="12.75"/>
  <cols>
    <col min="2" max="2" width="44" customWidth="1"/>
    <col min="3" max="3" width="8.85546875" customWidth="1"/>
    <col min="4" max="4" width="8.42578125" customWidth="1"/>
    <col min="5" max="6" width="8.28515625" customWidth="1"/>
  </cols>
  <sheetData>
    <row r="1" spans="1:8">
      <c r="A1" s="1" t="s">
        <v>864</v>
      </c>
      <c r="B1" s="1"/>
      <c r="C1" s="1"/>
      <c r="D1" s="682" t="s">
        <v>922</v>
      </c>
      <c r="E1" s="682"/>
      <c r="F1" s="682"/>
      <c r="G1" s="570"/>
      <c r="H1" s="570"/>
    </row>
    <row r="2" spans="1:8">
      <c r="A2" s="1" t="s">
        <v>604</v>
      </c>
      <c r="B2" s="1"/>
      <c r="C2" s="1"/>
      <c r="D2" s="25"/>
      <c r="E2" s="25"/>
      <c r="F2" s="25"/>
      <c r="G2" s="570"/>
      <c r="H2" s="570"/>
    </row>
    <row r="3" spans="1:8">
      <c r="A3" s="1"/>
      <c r="B3" s="1"/>
      <c r="C3" s="1"/>
      <c r="D3" s="25"/>
      <c r="E3" s="25"/>
      <c r="F3" s="25"/>
      <c r="G3" s="570"/>
      <c r="H3" s="570"/>
    </row>
    <row r="4" spans="1:8">
      <c r="A4" s="680" t="s">
        <v>896</v>
      </c>
      <c r="B4" s="681"/>
      <c r="C4" s="681"/>
      <c r="D4" s="681"/>
      <c r="E4" s="681"/>
      <c r="F4" s="681"/>
      <c r="G4" s="570"/>
      <c r="H4" s="570"/>
    </row>
    <row r="5" spans="1:8">
      <c r="A5" s="680" t="s">
        <v>899</v>
      </c>
      <c r="B5" s="681"/>
      <c r="C5" s="681"/>
      <c r="D5" s="681"/>
      <c r="E5" s="681"/>
      <c r="F5" s="681"/>
      <c r="G5" s="570"/>
      <c r="H5" s="570"/>
    </row>
    <row r="6" spans="1:8">
      <c r="A6" s="569"/>
      <c r="B6" s="568"/>
      <c r="C6" s="568"/>
      <c r="D6" s="25"/>
      <c r="E6" s="566"/>
      <c r="F6" s="25"/>
      <c r="G6" s="570"/>
      <c r="H6" s="570"/>
    </row>
    <row r="7" spans="1:8">
      <c r="A7" s="569"/>
      <c r="B7" s="568"/>
      <c r="C7" s="568"/>
      <c r="D7" s="25"/>
      <c r="E7" s="566"/>
      <c r="F7" s="25"/>
      <c r="G7" s="570"/>
      <c r="H7" s="570"/>
    </row>
    <row r="8" spans="1:8">
      <c r="A8" s="569"/>
      <c r="B8" s="568"/>
      <c r="C8" s="568"/>
      <c r="D8" s="25"/>
      <c r="E8" s="566"/>
      <c r="F8" s="25"/>
      <c r="G8" s="570"/>
      <c r="H8" s="570"/>
    </row>
    <row r="9" spans="1:8">
      <c r="A9" s="605" t="s">
        <v>895</v>
      </c>
      <c r="B9" s="605" t="s">
        <v>603</v>
      </c>
      <c r="C9" s="605"/>
      <c r="D9" s="606"/>
      <c r="E9" s="607"/>
      <c r="F9" s="619" t="s">
        <v>894</v>
      </c>
      <c r="G9" s="570"/>
      <c r="H9" s="570"/>
    </row>
    <row r="10" spans="1:8">
      <c r="A10" s="608"/>
      <c r="B10" s="609"/>
      <c r="C10" s="609"/>
      <c r="D10" s="606"/>
      <c r="E10" s="607"/>
      <c r="F10" s="606"/>
      <c r="G10" s="570"/>
      <c r="H10" s="570"/>
    </row>
    <row r="11" spans="1:8">
      <c r="A11" s="620"/>
      <c r="B11" s="621" t="s">
        <v>893</v>
      </c>
      <c r="C11" s="605"/>
      <c r="D11" s="618"/>
      <c r="E11" s="607" t="s">
        <v>844</v>
      </c>
      <c r="F11" s="606"/>
      <c r="G11" s="570"/>
      <c r="H11" s="570"/>
    </row>
    <row r="12" spans="1:8">
      <c r="A12" s="608"/>
      <c r="B12" s="609"/>
      <c r="C12" s="610" t="s">
        <v>897</v>
      </c>
      <c r="D12" s="611" t="s">
        <v>892</v>
      </c>
      <c r="E12" s="611" t="s">
        <v>891</v>
      </c>
      <c r="F12" s="611" t="s">
        <v>890</v>
      </c>
      <c r="G12" s="44"/>
      <c r="H12" s="44"/>
    </row>
    <row r="13" spans="1:8">
      <c r="A13" s="608">
        <v>1</v>
      </c>
      <c r="B13" s="609" t="s">
        <v>889</v>
      </c>
      <c r="C13" s="612">
        <v>140821</v>
      </c>
      <c r="D13" s="612">
        <f>141000+18750</f>
        <v>159750</v>
      </c>
      <c r="E13" s="612">
        <f>141000+25000</f>
        <v>166000</v>
      </c>
      <c r="F13" s="612">
        <f>141000+25000</f>
        <v>166000</v>
      </c>
      <c r="G13" s="44"/>
      <c r="H13" s="44"/>
    </row>
    <row r="14" spans="1:8">
      <c r="A14" s="608">
        <v>2</v>
      </c>
      <c r="B14" s="609" t="s">
        <v>888</v>
      </c>
      <c r="C14" s="612">
        <v>148620</v>
      </c>
      <c r="D14" s="612">
        <v>149000</v>
      </c>
      <c r="E14" s="612">
        <v>150000</v>
      </c>
      <c r="F14" s="612">
        <v>151000</v>
      </c>
      <c r="G14" s="44"/>
      <c r="H14" s="44"/>
    </row>
    <row r="15" spans="1:8" ht="12" customHeight="1">
      <c r="A15" s="613">
        <v>3</v>
      </c>
      <c r="B15" s="614" t="s">
        <v>887</v>
      </c>
      <c r="C15" s="612">
        <v>349534</v>
      </c>
      <c r="D15" s="612">
        <v>350000</v>
      </c>
      <c r="E15" s="612">
        <v>350000</v>
      </c>
      <c r="F15" s="612">
        <v>350000</v>
      </c>
      <c r="G15" s="44"/>
      <c r="H15" s="44"/>
    </row>
    <row r="16" spans="1:8">
      <c r="A16" s="608">
        <v>5</v>
      </c>
      <c r="B16" s="609" t="s">
        <v>886</v>
      </c>
      <c r="C16" s="612">
        <v>0</v>
      </c>
      <c r="D16" s="612">
        <v>0</v>
      </c>
      <c r="E16" s="612">
        <v>0</v>
      </c>
      <c r="F16" s="612">
        <v>0</v>
      </c>
      <c r="G16" s="44"/>
      <c r="H16" s="44"/>
    </row>
    <row r="17" spans="1:8">
      <c r="A17" s="608">
        <v>6</v>
      </c>
      <c r="B17" s="609" t="s">
        <v>885</v>
      </c>
      <c r="C17" s="612">
        <v>55660</v>
      </c>
      <c r="D17" s="612">
        <v>0</v>
      </c>
      <c r="E17" s="612">
        <f>D24</f>
        <v>0</v>
      </c>
      <c r="F17" s="612">
        <f>E24</f>
        <v>0</v>
      </c>
      <c r="G17" s="44"/>
      <c r="H17" s="44"/>
    </row>
    <row r="18" spans="1:8">
      <c r="A18" s="605">
        <v>7</v>
      </c>
      <c r="B18" s="615" t="s">
        <v>884</v>
      </c>
      <c r="C18" s="616">
        <f>SUM(C13:C17)</f>
        <v>694635</v>
      </c>
      <c r="D18" s="616">
        <f>SUM(D13:D17)</f>
        <v>658750</v>
      </c>
      <c r="E18" s="616">
        <f>SUM(E13:E17)</f>
        <v>666000</v>
      </c>
      <c r="F18" s="616">
        <f>SUM(F13:F17)</f>
        <v>667000</v>
      </c>
      <c r="G18" s="44"/>
      <c r="H18" s="45"/>
    </row>
    <row r="19" spans="1:8">
      <c r="A19" s="608">
        <v>8</v>
      </c>
      <c r="B19" s="609" t="s">
        <v>883</v>
      </c>
      <c r="C19" s="612">
        <v>262721</v>
      </c>
      <c r="D19" s="612">
        <v>262000</v>
      </c>
      <c r="E19" s="612">
        <v>263000</v>
      </c>
      <c r="F19" s="612">
        <v>264000</v>
      </c>
      <c r="G19" s="44"/>
      <c r="H19" s="44"/>
    </row>
    <row r="20" spans="1:8">
      <c r="A20" s="608">
        <v>9</v>
      </c>
      <c r="B20" s="609" t="s">
        <v>882</v>
      </c>
      <c r="C20" s="612">
        <v>69086</v>
      </c>
      <c r="D20" s="612">
        <v>69000</v>
      </c>
      <c r="E20" s="612">
        <v>69000</v>
      </c>
      <c r="F20" s="612">
        <v>69500</v>
      </c>
      <c r="G20" s="44"/>
      <c r="H20" s="44"/>
    </row>
    <row r="21" spans="1:8">
      <c r="A21" s="608">
        <v>10</v>
      </c>
      <c r="B21" s="609" t="s">
        <v>881</v>
      </c>
      <c r="C21" s="612">
        <v>233539</v>
      </c>
      <c r="D21" s="612">
        <v>228000</v>
      </c>
      <c r="E21" s="612">
        <v>227000</v>
      </c>
      <c r="F21" s="612">
        <v>225500</v>
      </c>
      <c r="G21" s="44"/>
      <c r="H21" s="44"/>
    </row>
    <row r="22" spans="1:8">
      <c r="A22" s="608">
        <v>11</v>
      </c>
      <c r="B22" s="609" t="s">
        <v>880</v>
      </c>
      <c r="C22" s="612">
        <v>77289</v>
      </c>
      <c r="D22" s="612">
        <v>72000</v>
      </c>
      <c r="E22" s="612">
        <v>73000</v>
      </c>
      <c r="F22" s="612">
        <v>74000</v>
      </c>
      <c r="G22" s="44"/>
      <c r="H22" s="44"/>
    </row>
    <row r="23" spans="1:8">
      <c r="A23" s="608">
        <v>12</v>
      </c>
      <c r="B23" s="609" t="s">
        <v>879</v>
      </c>
      <c r="C23" s="612">
        <v>11587</v>
      </c>
      <c r="D23" s="612">
        <v>0</v>
      </c>
      <c r="E23" s="612">
        <v>0</v>
      </c>
      <c r="F23" s="612">
        <v>0</v>
      </c>
      <c r="G23" s="44"/>
      <c r="H23" s="44"/>
    </row>
    <row r="24" spans="1:8">
      <c r="A24" s="608">
        <v>13</v>
      </c>
      <c r="B24" s="609" t="s">
        <v>878</v>
      </c>
      <c r="C24" s="612">
        <v>0</v>
      </c>
      <c r="D24" s="612">
        <v>0</v>
      </c>
      <c r="E24" s="612">
        <v>0</v>
      </c>
      <c r="F24" s="612">
        <v>0</v>
      </c>
      <c r="G24" s="567"/>
      <c r="H24" s="44"/>
    </row>
    <row r="25" spans="1:8">
      <c r="A25" s="605">
        <v>14</v>
      </c>
      <c r="B25" s="615" t="s">
        <v>877</v>
      </c>
      <c r="C25" s="616">
        <f>SUM(C19:C24)</f>
        <v>654222</v>
      </c>
      <c r="D25" s="616">
        <f>SUM(D19:D24)</f>
        <v>631000</v>
      </c>
      <c r="E25" s="616">
        <f>SUM(E19:E24)</f>
        <v>632000</v>
      </c>
      <c r="F25" s="616">
        <f>SUM(F19:F24)</f>
        <v>633000</v>
      </c>
      <c r="G25" s="44"/>
      <c r="H25" s="45"/>
    </row>
    <row r="26" spans="1:8">
      <c r="A26" s="608"/>
      <c r="B26" s="609"/>
      <c r="C26" s="606"/>
      <c r="D26" s="606"/>
      <c r="E26" s="607"/>
      <c r="F26" s="606"/>
      <c r="G26" s="44"/>
      <c r="H26" s="44"/>
    </row>
    <row r="27" spans="1:8">
      <c r="A27" s="679" t="s">
        <v>876</v>
      </c>
      <c r="B27" s="679"/>
      <c r="C27" s="606"/>
      <c r="D27" s="606"/>
      <c r="E27" s="607"/>
      <c r="F27" s="606"/>
      <c r="G27" s="44"/>
      <c r="H27" s="45"/>
    </row>
    <row r="28" spans="1:8">
      <c r="A28" s="608"/>
      <c r="B28" s="609"/>
      <c r="C28" s="606"/>
      <c r="D28" s="606"/>
      <c r="E28" s="607"/>
      <c r="F28" s="606"/>
      <c r="G28" s="44"/>
      <c r="H28" s="44"/>
    </row>
    <row r="29" spans="1:8">
      <c r="A29" s="608">
        <v>15</v>
      </c>
      <c r="B29" s="609" t="s">
        <v>875</v>
      </c>
      <c r="C29" s="612">
        <v>52519</v>
      </c>
      <c r="D29" s="612">
        <v>0</v>
      </c>
      <c r="E29" s="612">
        <v>0</v>
      </c>
      <c r="F29" s="612">
        <v>0</v>
      </c>
      <c r="G29" s="44"/>
      <c r="H29" s="44"/>
    </row>
    <row r="30" spans="1:8">
      <c r="A30" s="608">
        <f t="shared" ref="A30:A40" si="0">A29+1</f>
        <v>16</v>
      </c>
      <c r="B30" s="609" t="s">
        <v>874</v>
      </c>
      <c r="C30" s="612">
        <v>0</v>
      </c>
      <c r="D30" s="612">
        <v>0</v>
      </c>
      <c r="E30" s="612">
        <v>0</v>
      </c>
      <c r="F30" s="606">
        <v>0</v>
      </c>
      <c r="G30" s="44"/>
      <c r="H30" s="44"/>
    </row>
    <row r="31" spans="1:8">
      <c r="A31" s="608">
        <f t="shared" si="0"/>
        <v>17</v>
      </c>
      <c r="B31" s="609" t="s">
        <v>873</v>
      </c>
      <c r="C31" s="612">
        <v>0</v>
      </c>
      <c r="D31" s="612">
        <v>0</v>
      </c>
      <c r="E31" s="612">
        <v>0</v>
      </c>
      <c r="F31" s="606">
        <v>0</v>
      </c>
      <c r="G31" s="44"/>
      <c r="H31" s="44"/>
    </row>
    <row r="32" spans="1:8">
      <c r="A32" s="617">
        <f t="shared" si="0"/>
        <v>18</v>
      </c>
      <c r="B32" s="615" t="s">
        <v>872</v>
      </c>
      <c r="C32" s="616">
        <f>SUM(C29:C31)</f>
        <v>52519</v>
      </c>
      <c r="D32" s="616">
        <f>SUM(D29:D31)</f>
        <v>0</v>
      </c>
      <c r="E32" s="616">
        <f>SUM(E29:E31)</f>
        <v>0</v>
      </c>
      <c r="F32" s="616">
        <f>SUM(F29:F31)</f>
        <v>0</v>
      </c>
      <c r="G32" s="44"/>
      <c r="H32" s="44"/>
    </row>
    <row r="33" spans="1:8">
      <c r="A33" s="608">
        <f t="shared" si="0"/>
        <v>19</v>
      </c>
      <c r="B33" s="609" t="s">
        <v>871</v>
      </c>
      <c r="C33" s="612">
        <v>7142</v>
      </c>
      <c r="D33" s="612">
        <v>5000</v>
      </c>
      <c r="E33" s="612">
        <v>5000</v>
      </c>
      <c r="F33" s="612">
        <v>5000</v>
      </c>
      <c r="G33" s="44"/>
      <c r="H33" s="44"/>
    </row>
    <row r="34" spans="1:8">
      <c r="A34" s="608">
        <f t="shared" si="0"/>
        <v>20</v>
      </c>
      <c r="B34" s="609" t="s">
        <v>870</v>
      </c>
      <c r="C34" s="612">
        <v>2803</v>
      </c>
      <c r="D34" s="612">
        <v>4000</v>
      </c>
      <c r="E34" s="612">
        <v>4000</v>
      </c>
      <c r="F34" s="612">
        <v>4000</v>
      </c>
      <c r="G34" s="44"/>
      <c r="H34" s="44"/>
    </row>
    <row r="35" spans="1:8">
      <c r="A35" s="608">
        <f t="shared" si="0"/>
        <v>21</v>
      </c>
      <c r="B35" s="609" t="s">
        <v>869</v>
      </c>
      <c r="C35" s="612">
        <v>3000</v>
      </c>
      <c r="D35" s="612">
        <v>0</v>
      </c>
      <c r="E35" s="607">
        <v>0</v>
      </c>
      <c r="F35" s="606">
        <v>0</v>
      </c>
      <c r="G35" s="44"/>
      <c r="H35" s="44"/>
    </row>
    <row r="36" spans="1:8">
      <c r="A36" s="608">
        <f t="shared" si="0"/>
        <v>22</v>
      </c>
      <c r="B36" s="609" t="s">
        <v>868</v>
      </c>
      <c r="C36" s="612">
        <v>27987</v>
      </c>
      <c r="D36" s="612">
        <v>18750</v>
      </c>
      <c r="E36" s="607">
        <v>25000</v>
      </c>
      <c r="F36" s="607">
        <v>25000</v>
      </c>
      <c r="G36" s="44"/>
      <c r="H36" s="44"/>
    </row>
    <row r="37" spans="1:8">
      <c r="A37" s="608">
        <f t="shared" si="0"/>
        <v>23</v>
      </c>
      <c r="B37" s="609" t="s">
        <v>325</v>
      </c>
      <c r="C37" s="612">
        <v>52000</v>
      </c>
      <c r="D37" s="612">
        <v>0</v>
      </c>
      <c r="E37" s="607">
        <v>0</v>
      </c>
      <c r="F37" s="607">
        <v>0</v>
      </c>
      <c r="G37" s="44"/>
      <c r="H37" s="44"/>
    </row>
    <row r="38" spans="1:8">
      <c r="A38" s="617">
        <f t="shared" si="0"/>
        <v>24</v>
      </c>
      <c r="B38" s="615" t="s">
        <v>867</v>
      </c>
      <c r="C38" s="616">
        <f>SUM(C33:C37)</f>
        <v>92932</v>
      </c>
      <c r="D38" s="616">
        <f>SUM(D33:D37)</f>
        <v>27750</v>
      </c>
      <c r="E38" s="616">
        <f>SUM(E33:E37)</f>
        <v>34000</v>
      </c>
      <c r="F38" s="616">
        <f>SUM(F33:F37)</f>
        <v>34000</v>
      </c>
      <c r="G38" s="44"/>
      <c r="H38" s="44"/>
    </row>
    <row r="39" spans="1:8">
      <c r="A39" s="617">
        <f t="shared" si="0"/>
        <v>25</v>
      </c>
      <c r="B39" s="615" t="s">
        <v>866</v>
      </c>
      <c r="C39" s="616">
        <f>C18+C32</f>
        <v>747154</v>
      </c>
      <c r="D39" s="616">
        <f>D18+D32</f>
        <v>658750</v>
      </c>
      <c r="E39" s="616">
        <f>E18+E32</f>
        <v>666000</v>
      </c>
      <c r="F39" s="616">
        <f>F18+F32</f>
        <v>667000</v>
      </c>
      <c r="G39" s="44"/>
      <c r="H39" s="44"/>
    </row>
    <row r="40" spans="1:8">
      <c r="A40" s="617">
        <f t="shared" si="0"/>
        <v>26</v>
      </c>
      <c r="B40" s="615" t="s">
        <v>865</v>
      </c>
      <c r="C40" s="616">
        <f>C25+C38</f>
        <v>747154</v>
      </c>
      <c r="D40" s="616">
        <f>D25+D38</f>
        <v>658750</v>
      </c>
      <c r="E40" s="616">
        <f>SUM(E25,E38)</f>
        <v>666000</v>
      </c>
      <c r="F40" s="616">
        <f>SUM(F25,F38)</f>
        <v>667000</v>
      </c>
      <c r="G40" s="44"/>
      <c r="H40" s="44"/>
    </row>
  </sheetData>
  <mergeCells count="4">
    <mergeCell ref="A27:B27"/>
    <mergeCell ref="A4:F4"/>
    <mergeCell ref="A5:F5"/>
    <mergeCell ref="D1:F1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78"/>
  <sheetViews>
    <sheetView topLeftCell="A34" workbookViewId="0">
      <selection activeCell="C22" sqref="C22:F22"/>
    </sheetView>
  </sheetViews>
  <sheetFormatPr defaultRowHeight="12.75"/>
  <cols>
    <col min="1" max="1" width="29.42578125" customWidth="1"/>
    <col min="2" max="2" width="12.140625" customWidth="1"/>
    <col min="3" max="4" width="11.85546875" customWidth="1"/>
    <col min="5" max="5" width="12" customWidth="1"/>
    <col min="6" max="6" width="11.85546875" customWidth="1"/>
    <col min="7" max="7" width="17.7109375" customWidth="1"/>
    <col min="8" max="8" width="13.42578125" customWidth="1"/>
    <col min="9" max="9" width="14.42578125" customWidth="1"/>
    <col min="10" max="10" width="13.7109375" customWidth="1"/>
  </cols>
  <sheetData>
    <row r="1" spans="1:12" ht="24" customHeight="1">
      <c r="A1" s="177"/>
      <c r="B1" s="177"/>
      <c r="I1" t="s">
        <v>833</v>
      </c>
    </row>
    <row r="3" spans="1:12">
      <c r="A3" s="684" t="s">
        <v>832</v>
      </c>
      <c r="B3" s="684"/>
      <c r="C3" s="684"/>
      <c r="D3" s="684"/>
      <c r="E3" s="684"/>
      <c r="F3" s="684"/>
      <c r="G3" s="684"/>
      <c r="H3" s="684"/>
      <c r="I3" s="684"/>
      <c r="J3" s="346"/>
    </row>
    <row r="4" spans="1:12">
      <c r="A4" s="684" t="s">
        <v>831</v>
      </c>
      <c r="B4" s="684"/>
      <c r="C4" s="684"/>
      <c r="D4" s="684"/>
      <c r="E4" s="684"/>
      <c r="F4" s="684"/>
      <c r="G4" s="684"/>
      <c r="H4" s="684"/>
      <c r="I4" s="684"/>
      <c r="J4" s="346"/>
      <c r="K4" s="141"/>
      <c r="L4" s="141"/>
    </row>
    <row r="5" spans="1:12" ht="25.5" customHeight="1">
      <c r="A5" s="17"/>
      <c r="B5" s="371"/>
      <c r="C5" s="632" t="s">
        <v>830</v>
      </c>
      <c r="D5" s="632"/>
      <c r="E5" s="632"/>
      <c r="F5" s="632"/>
      <c r="G5" s="371"/>
      <c r="H5" s="371"/>
      <c r="I5" s="371"/>
      <c r="J5" s="371"/>
      <c r="K5" s="141"/>
      <c r="L5" s="141"/>
    </row>
    <row r="6" spans="1:12">
      <c r="A6" s="17"/>
      <c r="B6" s="17"/>
      <c r="C6" s="17"/>
      <c r="D6" s="17"/>
      <c r="E6" s="17"/>
      <c r="F6" s="17"/>
      <c r="G6" s="17"/>
      <c r="H6" s="17"/>
      <c r="I6" s="458"/>
      <c r="J6" s="458"/>
    </row>
    <row r="7" spans="1:12">
      <c r="A7" s="17"/>
      <c r="B7" s="17"/>
      <c r="C7" s="461" t="s">
        <v>829</v>
      </c>
      <c r="D7" s="346"/>
      <c r="E7" s="346"/>
      <c r="F7" s="346"/>
      <c r="G7" s="346"/>
      <c r="H7" s="17"/>
      <c r="I7" s="458"/>
    </row>
    <row r="8" spans="1:12">
      <c r="A8" s="17"/>
      <c r="B8" s="17"/>
      <c r="C8" s="17"/>
      <c r="D8" s="17"/>
      <c r="E8" s="17"/>
      <c r="F8" s="17"/>
      <c r="G8" s="17"/>
      <c r="I8" s="459" t="s">
        <v>671</v>
      </c>
    </row>
    <row r="9" spans="1:12">
      <c r="A9" s="467" t="s">
        <v>828</v>
      </c>
      <c r="B9" s="453" t="s">
        <v>824</v>
      </c>
      <c r="C9" s="453" t="s">
        <v>823</v>
      </c>
      <c r="D9" s="453" t="s">
        <v>822</v>
      </c>
      <c r="E9" s="453" t="s">
        <v>821</v>
      </c>
      <c r="F9" s="453">
        <v>2020</v>
      </c>
      <c r="G9" s="453">
        <v>2021</v>
      </c>
      <c r="H9" s="453">
        <v>2022</v>
      </c>
      <c r="I9" s="453">
        <v>2023</v>
      </c>
    </row>
    <row r="10" spans="1:12" ht="33.75">
      <c r="A10" s="449" t="s">
        <v>920</v>
      </c>
      <c r="B10" s="466">
        <v>0</v>
      </c>
      <c r="C10" s="466">
        <v>18750000</v>
      </c>
      <c r="D10" s="466">
        <v>25000000</v>
      </c>
      <c r="E10" s="466">
        <v>25000000</v>
      </c>
      <c r="F10" s="466">
        <v>25000000</v>
      </c>
      <c r="G10" s="466">
        <v>25000000</v>
      </c>
      <c r="H10" s="466">
        <v>25000000</v>
      </c>
      <c r="I10" s="466">
        <v>25000000</v>
      </c>
    </row>
    <row r="11" spans="1:12" ht="22.5">
      <c r="A11" s="449" t="s">
        <v>826</v>
      </c>
      <c r="B11" s="466">
        <v>16608644</v>
      </c>
      <c r="C11" s="466">
        <v>15907394</v>
      </c>
      <c r="D11" s="466">
        <v>14154269</v>
      </c>
      <c r="E11" s="466">
        <v>13453019</v>
      </c>
      <c r="F11" s="466">
        <v>12050519</v>
      </c>
      <c r="G11" s="466">
        <v>10648019</v>
      </c>
      <c r="H11" s="466">
        <v>9245519</v>
      </c>
      <c r="I11" s="448">
        <v>7843019</v>
      </c>
    </row>
    <row r="12" spans="1:12" ht="22.5">
      <c r="A12" s="449" t="s">
        <v>904</v>
      </c>
      <c r="B12" s="466">
        <v>27986933</v>
      </c>
      <c r="C12" s="466"/>
      <c r="D12" s="466"/>
      <c r="E12" s="466"/>
      <c r="F12" s="466"/>
      <c r="G12" s="466"/>
      <c r="H12" s="466"/>
      <c r="I12" s="448"/>
    </row>
    <row r="13" spans="1:12" ht="26.25" customHeight="1">
      <c r="A13" s="465" t="s">
        <v>798</v>
      </c>
      <c r="B13" s="445">
        <f t="shared" ref="B13:I13" si="0">SUM(B10:B11)</f>
        <v>16608644</v>
      </c>
      <c r="C13" s="445">
        <f t="shared" si="0"/>
        <v>34657394</v>
      </c>
      <c r="D13" s="445">
        <f t="shared" si="0"/>
        <v>39154269</v>
      </c>
      <c r="E13" s="445">
        <f t="shared" si="0"/>
        <v>38453019</v>
      </c>
      <c r="F13" s="445">
        <f t="shared" si="0"/>
        <v>37050519</v>
      </c>
      <c r="G13" s="445">
        <f t="shared" si="0"/>
        <v>35648019</v>
      </c>
      <c r="H13" s="445">
        <f t="shared" si="0"/>
        <v>34245519</v>
      </c>
      <c r="I13" s="445">
        <f t="shared" si="0"/>
        <v>32843019</v>
      </c>
    </row>
    <row r="14" spans="1:12" ht="24" customHeight="1">
      <c r="A14" s="464"/>
      <c r="B14" s="463"/>
      <c r="C14" s="463"/>
      <c r="D14" s="463"/>
      <c r="E14" s="463"/>
      <c r="F14" s="463"/>
      <c r="G14" s="463"/>
      <c r="H14" s="463"/>
      <c r="I14" s="460"/>
    </row>
    <row r="15" spans="1:12" ht="37.15" customHeight="1">
      <c r="A15" s="467" t="s">
        <v>828</v>
      </c>
      <c r="B15" s="453">
        <v>2024</v>
      </c>
      <c r="C15" s="453">
        <v>2025</v>
      </c>
      <c r="D15" s="453">
        <v>2026</v>
      </c>
      <c r="E15" s="453">
        <v>2027</v>
      </c>
      <c r="F15" s="453">
        <v>2028</v>
      </c>
      <c r="G15" s="453">
        <v>2029</v>
      </c>
      <c r="H15" s="685" t="s">
        <v>919</v>
      </c>
      <c r="I15" s="685"/>
    </row>
    <row r="16" spans="1:12" ht="24" customHeight="1">
      <c r="A16" s="449" t="s">
        <v>827</v>
      </c>
      <c r="B16" s="466">
        <v>25000000</v>
      </c>
      <c r="C16" s="466">
        <v>25000000</v>
      </c>
      <c r="D16" s="466">
        <v>25000000</v>
      </c>
      <c r="E16" s="466">
        <v>25000000</v>
      </c>
      <c r="F16" s="466">
        <v>25000000</v>
      </c>
      <c r="G16" s="448">
        <v>2304260</v>
      </c>
      <c r="H16" s="686">
        <f>B10+C10+D10+E10+F10+G10+H10+I10+B16+C16+D16+E16+F16+G16</f>
        <v>296054260</v>
      </c>
      <c r="I16" s="686"/>
    </row>
    <row r="17" spans="1:9" ht="24" customHeight="1">
      <c r="A17" s="449" t="s">
        <v>826</v>
      </c>
      <c r="B17" s="448">
        <v>6440519</v>
      </c>
      <c r="C17" s="448">
        <v>5038019</v>
      </c>
      <c r="D17" s="448">
        <v>3635519</v>
      </c>
      <c r="E17" s="448">
        <v>2233019</v>
      </c>
      <c r="F17" s="448">
        <v>830519</v>
      </c>
      <c r="G17" s="448">
        <v>32317</v>
      </c>
      <c r="H17" s="687">
        <f>B11+C11+D11+E11+F11+G11+H11+I11+B17+C17+D17+E17+F17+G17</f>
        <v>118120314</v>
      </c>
      <c r="I17" s="687"/>
    </row>
    <row r="18" spans="1:9" ht="24" customHeight="1">
      <c r="A18" s="449" t="s">
        <v>904</v>
      </c>
      <c r="B18" s="448"/>
      <c r="C18" s="448"/>
      <c r="D18" s="448"/>
      <c r="E18" s="448"/>
      <c r="F18" s="448"/>
      <c r="G18" s="448"/>
      <c r="H18" s="687">
        <f>B12</f>
        <v>27986933</v>
      </c>
      <c r="I18" s="687"/>
    </row>
    <row r="19" spans="1:9" ht="24" customHeight="1">
      <c r="A19" s="465" t="s">
        <v>798</v>
      </c>
      <c r="B19" s="445">
        <f>SUM(B16:B17)</f>
        <v>31440519</v>
      </c>
      <c r="C19" s="445">
        <f t="shared" ref="C19:H19" si="1">SUM(C16:C17)</f>
        <v>30038019</v>
      </c>
      <c r="D19" s="445">
        <f t="shared" si="1"/>
        <v>28635519</v>
      </c>
      <c r="E19" s="445">
        <f t="shared" si="1"/>
        <v>27233019</v>
      </c>
      <c r="F19" s="445">
        <f t="shared" si="1"/>
        <v>25830519</v>
      </c>
      <c r="G19" s="445">
        <f t="shared" si="1"/>
        <v>2336577</v>
      </c>
      <c r="H19" s="688">
        <f t="shared" si="1"/>
        <v>414174574</v>
      </c>
      <c r="I19" s="688"/>
    </row>
    <row r="20" spans="1:9" ht="24" customHeight="1">
      <c r="A20" s="464"/>
      <c r="B20" s="443"/>
      <c r="C20" s="443"/>
      <c r="D20" s="443"/>
      <c r="E20" s="443"/>
      <c r="F20" s="443"/>
      <c r="G20" s="443"/>
      <c r="H20" s="443"/>
    </row>
    <row r="21" spans="1:9" ht="24" customHeight="1">
      <c r="A21" s="464"/>
      <c r="B21" s="443"/>
      <c r="C21" s="443"/>
      <c r="D21" s="443"/>
      <c r="E21" s="443"/>
      <c r="F21" s="443"/>
      <c r="G21" s="443"/>
      <c r="H21" s="443"/>
    </row>
    <row r="22" spans="1:9" ht="24" customHeight="1">
      <c r="A22" s="464"/>
      <c r="B22" s="443"/>
      <c r="C22" s="443"/>
      <c r="D22" s="443"/>
      <c r="E22" s="443"/>
      <c r="F22" s="443"/>
      <c r="G22" s="443"/>
      <c r="H22" s="443"/>
    </row>
    <row r="23" spans="1:9" ht="24" customHeight="1">
      <c r="A23" s="17"/>
      <c r="B23" s="17"/>
      <c r="C23" s="683" t="s">
        <v>825</v>
      </c>
      <c r="D23" s="683"/>
      <c r="E23" s="683"/>
      <c r="F23" s="683"/>
      <c r="G23" s="461"/>
      <c r="H23" s="17"/>
      <c r="I23" t="s">
        <v>833</v>
      </c>
    </row>
    <row r="24" spans="1:9" ht="16.149999999999999" customHeight="1">
      <c r="A24" s="17"/>
      <c r="B24" s="17"/>
      <c r="C24" s="462"/>
      <c r="D24" s="462"/>
      <c r="E24" s="462"/>
      <c r="F24" s="462"/>
      <c r="G24" s="461"/>
      <c r="H24" s="17"/>
      <c r="I24" s="458"/>
    </row>
    <row r="25" spans="1:9">
      <c r="A25" s="454" t="s">
        <v>820</v>
      </c>
      <c r="B25" s="453" t="s">
        <v>824</v>
      </c>
      <c r="C25" s="453" t="s">
        <v>823</v>
      </c>
      <c r="D25" s="453" t="s">
        <v>822</v>
      </c>
      <c r="E25" s="453" t="s">
        <v>821</v>
      </c>
      <c r="F25" s="453">
        <v>2020</v>
      </c>
      <c r="G25" s="453">
        <v>2021</v>
      </c>
      <c r="H25" s="453">
        <v>2022</v>
      </c>
      <c r="I25" s="453">
        <v>2023</v>
      </c>
    </row>
    <row r="26" spans="1:9">
      <c r="A26" s="449" t="s">
        <v>819</v>
      </c>
      <c r="B26" s="450">
        <v>137200000</v>
      </c>
      <c r="C26" s="450">
        <v>137200000</v>
      </c>
      <c r="D26" s="450">
        <v>137200000</v>
      </c>
      <c r="E26" s="450">
        <v>137200000</v>
      </c>
      <c r="F26" s="450">
        <v>137200000</v>
      </c>
      <c r="G26" s="450">
        <v>137200000</v>
      </c>
      <c r="H26" s="450">
        <v>137200000</v>
      </c>
      <c r="I26" s="450">
        <v>137200000</v>
      </c>
    </row>
    <row r="27" spans="1:9" ht="23.25" customHeight="1">
      <c r="A27" s="449" t="s">
        <v>818</v>
      </c>
      <c r="B27" s="450">
        <v>14555000</v>
      </c>
      <c r="C27" s="450">
        <v>14555000</v>
      </c>
      <c r="D27" s="450">
        <v>14555000</v>
      </c>
      <c r="E27" s="450">
        <v>14555000</v>
      </c>
      <c r="F27" s="450">
        <v>14555000</v>
      </c>
      <c r="G27" s="450">
        <v>14555000</v>
      </c>
      <c r="H27" s="450">
        <v>14555000</v>
      </c>
      <c r="I27" s="450">
        <v>14555000</v>
      </c>
    </row>
    <row r="28" spans="1:9" ht="27" customHeight="1">
      <c r="A28" s="449" t="s">
        <v>817</v>
      </c>
      <c r="B28" s="450">
        <v>0</v>
      </c>
      <c r="C28" s="450">
        <v>0</v>
      </c>
      <c r="D28" s="450">
        <v>0</v>
      </c>
      <c r="E28" s="450">
        <v>0</v>
      </c>
      <c r="F28" s="450">
        <v>0</v>
      </c>
      <c r="G28" s="450">
        <v>0</v>
      </c>
      <c r="H28" s="457">
        <v>0</v>
      </c>
      <c r="I28" s="448">
        <v>0</v>
      </c>
    </row>
    <row r="29" spans="1:9" ht="33.75">
      <c r="A29" s="449" t="s">
        <v>816</v>
      </c>
      <c r="B29" s="450">
        <v>0</v>
      </c>
      <c r="C29" s="450">
        <v>0</v>
      </c>
      <c r="D29" s="450">
        <v>0</v>
      </c>
      <c r="E29" s="450">
        <v>0</v>
      </c>
      <c r="F29" s="450">
        <v>0</v>
      </c>
      <c r="G29" s="450">
        <v>0</v>
      </c>
      <c r="H29" s="457">
        <v>0</v>
      </c>
      <c r="I29" s="448">
        <v>0</v>
      </c>
    </row>
    <row r="30" spans="1:9" ht="46.5" customHeight="1">
      <c r="A30" s="449" t="s">
        <v>815</v>
      </c>
      <c r="B30" s="450">
        <v>1400000</v>
      </c>
      <c r="C30" s="450">
        <v>1400000</v>
      </c>
      <c r="D30" s="450">
        <v>1400000</v>
      </c>
      <c r="E30" s="450">
        <v>1400000</v>
      </c>
      <c r="F30" s="450">
        <v>1400000</v>
      </c>
      <c r="G30" s="450">
        <v>1400000</v>
      </c>
      <c r="H30" s="450">
        <v>1400000</v>
      </c>
      <c r="I30" s="450">
        <v>1400000</v>
      </c>
    </row>
    <row r="31" spans="1:9" ht="23.25" customHeight="1">
      <c r="A31" s="449" t="s">
        <v>814</v>
      </c>
      <c r="B31" s="448">
        <v>0</v>
      </c>
      <c r="C31" s="448">
        <v>0</v>
      </c>
      <c r="D31" s="448">
        <v>0</v>
      </c>
      <c r="E31" s="448">
        <v>0</v>
      </c>
      <c r="F31" s="448">
        <v>0</v>
      </c>
      <c r="G31" s="448">
        <v>0</v>
      </c>
      <c r="H31" s="456">
        <v>0</v>
      </c>
      <c r="I31" s="448">
        <v>0</v>
      </c>
    </row>
    <row r="32" spans="1:9">
      <c r="A32" s="446" t="s">
        <v>798</v>
      </c>
      <c r="B32" s="445">
        <f t="shared" ref="B32:H32" si="2">SUM(B26:B31)</f>
        <v>153155000</v>
      </c>
      <c r="C32" s="445">
        <f t="shared" si="2"/>
        <v>153155000</v>
      </c>
      <c r="D32" s="445">
        <f t="shared" si="2"/>
        <v>153155000</v>
      </c>
      <c r="E32" s="445">
        <f t="shared" si="2"/>
        <v>153155000</v>
      </c>
      <c r="F32" s="445">
        <f t="shared" si="2"/>
        <v>153155000</v>
      </c>
      <c r="G32" s="445">
        <f t="shared" si="2"/>
        <v>153155000</v>
      </c>
      <c r="H32" s="445">
        <f t="shared" si="2"/>
        <v>153155000</v>
      </c>
      <c r="I32" s="445">
        <f>SUM(I26:I31)</f>
        <v>153155000</v>
      </c>
    </row>
    <row r="33" spans="1:10" ht="22.5" customHeight="1">
      <c r="A33" s="455"/>
      <c r="B33" s="17"/>
      <c r="C33" s="17"/>
      <c r="D33" s="17"/>
      <c r="E33" s="17"/>
      <c r="F33" s="17"/>
      <c r="G33" s="17"/>
      <c r="H33" s="17"/>
    </row>
    <row r="34" spans="1:10" ht="27.75" customHeight="1">
      <c r="A34" s="454" t="s">
        <v>820</v>
      </c>
      <c r="B34" s="453">
        <v>2024</v>
      </c>
      <c r="C34" s="453">
        <v>2025</v>
      </c>
      <c r="D34" s="453">
        <v>2026</v>
      </c>
      <c r="E34" s="453">
        <v>2027</v>
      </c>
      <c r="F34" s="453">
        <v>2028</v>
      </c>
      <c r="G34" s="453">
        <v>2029</v>
      </c>
      <c r="H34" s="452"/>
    </row>
    <row r="35" spans="1:10">
      <c r="A35" s="449" t="s">
        <v>819</v>
      </c>
      <c r="B35" s="450">
        <v>137200000</v>
      </c>
      <c r="C35" s="450">
        <v>137200000</v>
      </c>
      <c r="D35" s="450">
        <v>137200000</v>
      </c>
      <c r="E35" s="450">
        <v>137200000</v>
      </c>
      <c r="F35" s="450">
        <v>137200000</v>
      </c>
      <c r="G35" s="450">
        <v>137200000</v>
      </c>
      <c r="H35" s="451"/>
      <c r="I35" s="452"/>
    </row>
    <row r="36" spans="1:10" ht="22.5">
      <c r="A36" s="449" t="s">
        <v>818</v>
      </c>
      <c r="B36" s="450">
        <v>14555000</v>
      </c>
      <c r="C36" s="450">
        <v>14555000</v>
      </c>
      <c r="D36" s="450">
        <v>14555000</v>
      </c>
      <c r="E36" s="450">
        <v>14555000</v>
      </c>
      <c r="F36" s="450">
        <v>14555000</v>
      </c>
      <c r="G36" s="450">
        <v>14555000</v>
      </c>
      <c r="H36" s="447"/>
      <c r="I36" s="451"/>
    </row>
    <row r="37" spans="1:10" ht="22.5">
      <c r="A37" s="449" t="s">
        <v>817</v>
      </c>
      <c r="B37" s="448">
        <v>0</v>
      </c>
      <c r="C37" s="448">
        <v>0</v>
      </c>
      <c r="D37" s="448">
        <v>0</v>
      </c>
      <c r="E37" s="448">
        <v>0</v>
      </c>
      <c r="F37" s="448">
        <v>0</v>
      </c>
      <c r="G37" s="448">
        <v>0</v>
      </c>
      <c r="H37" s="444"/>
      <c r="I37" s="447"/>
    </row>
    <row r="38" spans="1:10" ht="33.75">
      <c r="A38" s="449" t="s">
        <v>816</v>
      </c>
      <c r="B38" s="448">
        <v>0</v>
      </c>
      <c r="C38" s="448">
        <v>0</v>
      </c>
      <c r="D38" s="448">
        <v>0</v>
      </c>
      <c r="E38" s="448">
        <v>0</v>
      </c>
      <c r="F38" s="448">
        <v>0</v>
      </c>
      <c r="G38" s="448">
        <v>0</v>
      </c>
      <c r="H38" s="444"/>
      <c r="I38" s="444"/>
    </row>
    <row r="39" spans="1:10">
      <c r="A39" s="449" t="s">
        <v>815</v>
      </c>
      <c r="B39" s="450">
        <v>1400000</v>
      </c>
      <c r="C39" s="450">
        <v>1400000</v>
      </c>
      <c r="D39" s="450">
        <v>1400000</v>
      </c>
      <c r="E39" s="450">
        <v>1400000</v>
      </c>
      <c r="F39" s="450">
        <v>1400000</v>
      </c>
      <c r="G39" s="450">
        <v>1400000</v>
      </c>
      <c r="H39" s="447"/>
      <c r="I39" s="444"/>
    </row>
    <row r="40" spans="1:10" ht="22.5">
      <c r="A40" s="449" t="s">
        <v>814</v>
      </c>
      <c r="B40" s="448">
        <v>0</v>
      </c>
      <c r="C40" s="448">
        <v>0</v>
      </c>
      <c r="D40" s="448">
        <v>0</v>
      </c>
      <c r="E40" s="448">
        <v>0</v>
      </c>
      <c r="F40" s="448">
        <v>0</v>
      </c>
      <c r="G40" s="448">
        <v>0</v>
      </c>
      <c r="H40" s="444"/>
      <c r="I40" s="447"/>
    </row>
    <row r="41" spans="1:10">
      <c r="A41" s="446" t="s">
        <v>798</v>
      </c>
      <c r="B41" s="445">
        <f t="shared" ref="B41:G41" si="3">SUM(B35:B40)</f>
        <v>153155000</v>
      </c>
      <c r="C41" s="445">
        <f t="shared" si="3"/>
        <v>153155000</v>
      </c>
      <c r="D41" s="445">
        <f t="shared" si="3"/>
        <v>153155000</v>
      </c>
      <c r="E41" s="445">
        <f t="shared" si="3"/>
        <v>153155000</v>
      </c>
      <c r="F41" s="445">
        <f t="shared" si="3"/>
        <v>153155000</v>
      </c>
      <c r="G41" s="445">
        <f t="shared" si="3"/>
        <v>153155000</v>
      </c>
      <c r="H41" s="443"/>
      <c r="I41" s="444"/>
    </row>
    <row r="42" spans="1:10">
      <c r="A42" s="17"/>
      <c r="B42" s="17"/>
      <c r="C42" s="17"/>
      <c r="D42" s="17"/>
      <c r="E42" s="17"/>
      <c r="F42" s="17"/>
      <c r="G42" s="17"/>
      <c r="H42" s="17"/>
      <c r="J42" s="443"/>
    </row>
    <row r="43" spans="1:10">
      <c r="A43" s="17"/>
      <c r="B43" s="17"/>
      <c r="C43" s="17"/>
      <c r="D43" s="17"/>
      <c r="E43" s="17"/>
      <c r="F43" s="17"/>
      <c r="G43" s="17"/>
      <c r="H43" s="17"/>
    </row>
    <row r="44" spans="1:10">
      <c r="A44" s="17"/>
      <c r="B44" s="17"/>
      <c r="C44" s="17"/>
      <c r="D44" s="17"/>
      <c r="E44" s="17"/>
      <c r="F44" s="17"/>
      <c r="G44" s="17"/>
      <c r="H44" s="17"/>
    </row>
    <row r="45" spans="1:10">
      <c r="A45" s="17"/>
      <c r="B45" s="17"/>
      <c r="C45" s="17"/>
      <c r="D45" s="17"/>
      <c r="E45" s="17"/>
      <c r="F45" s="17"/>
      <c r="G45" s="17"/>
      <c r="H45" s="17"/>
    </row>
    <row r="46" spans="1:10">
      <c r="A46" s="17"/>
      <c r="B46" s="17"/>
      <c r="C46" s="17"/>
      <c r="D46" s="17"/>
      <c r="E46" s="17"/>
      <c r="F46" s="17"/>
      <c r="G46" s="17"/>
      <c r="H46" s="17"/>
    </row>
    <row r="47" spans="1:10">
      <c r="A47" s="17"/>
      <c r="B47" s="17"/>
      <c r="C47" s="17"/>
      <c r="D47" s="17"/>
      <c r="E47" s="17"/>
      <c r="F47" s="17"/>
      <c r="G47" s="17"/>
      <c r="H47" s="17"/>
    </row>
    <row r="48" spans="1:10">
      <c r="A48" s="17"/>
      <c r="B48" s="17"/>
      <c r="C48" s="17"/>
      <c r="D48" s="17"/>
      <c r="E48" s="17"/>
      <c r="F48" s="17"/>
      <c r="G48" s="17"/>
      <c r="H48" s="17"/>
    </row>
    <row r="49" spans="1:8">
      <c r="A49" s="17"/>
      <c r="B49" s="17"/>
      <c r="C49" s="17"/>
      <c r="D49" s="17"/>
      <c r="E49" s="17"/>
      <c r="F49" s="17"/>
      <c r="G49" s="17"/>
      <c r="H49" s="17"/>
    </row>
    <row r="50" spans="1:8">
      <c r="A50" s="17"/>
      <c r="B50" s="17"/>
      <c r="C50" s="17"/>
      <c r="D50" s="17"/>
      <c r="E50" s="17"/>
      <c r="F50" s="17"/>
      <c r="G50" s="17"/>
      <c r="H50" s="17"/>
    </row>
    <row r="51" spans="1:8">
      <c r="A51" s="17"/>
      <c r="B51" s="17"/>
      <c r="C51" s="17"/>
      <c r="D51" s="17"/>
      <c r="E51" s="17"/>
      <c r="F51" s="17"/>
      <c r="G51" s="17"/>
      <c r="H51" s="17"/>
    </row>
    <row r="52" spans="1:8">
      <c r="A52" s="17"/>
      <c r="B52" s="17"/>
      <c r="C52" s="17"/>
      <c r="D52" s="17"/>
      <c r="E52" s="17"/>
      <c r="F52" s="17"/>
      <c r="G52" s="17"/>
      <c r="H52" s="17"/>
    </row>
    <row r="53" spans="1:8">
      <c r="A53" s="17"/>
      <c r="B53" s="17"/>
      <c r="C53" s="17"/>
      <c r="D53" s="17"/>
      <c r="E53" s="17"/>
      <c r="F53" s="17"/>
      <c r="G53" s="17"/>
      <c r="H53" s="17"/>
    </row>
    <row r="54" spans="1:8">
      <c r="A54" s="17"/>
      <c r="B54" s="17"/>
      <c r="C54" s="17"/>
      <c r="D54" s="17"/>
      <c r="E54" s="17"/>
      <c r="F54" s="17"/>
      <c r="G54" s="17"/>
      <c r="H54" s="17"/>
    </row>
    <row r="55" spans="1:8">
      <c r="A55" s="17"/>
      <c r="B55" s="17"/>
      <c r="C55" s="17"/>
      <c r="D55" s="17"/>
      <c r="E55" s="17"/>
      <c r="F55" s="17"/>
      <c r="G55" s="17"/>
      <c r="H55" s="17"/>
    </row>
    <row r="56" spans="1:8">
      <c r="A56" s="17"/>
      <c r="B56" s="17"/>
      <c r="C56" s="17"/>
      <c r="D56" s="17"/>
      <c r="E56" s="17"/>
      <c r="F56" s="17"/>
      <c r="G56" s="17"/>
      <c r="H56" s="17"/>
    </row>
    <row r="57" spans="1:8">
      <c r="A57" s="17"/>
      <c r="B57" s="17"/>
      <c r="C57" s="17"/>
      <c r="D57" s="17"/>
      <c r="E57" s="17"/>
      <c r="F57" s="17"/>
      <c r="G57" s="17"/>
      <c r="H57" s="17"/>
    </row>
    <row r="58" spans="1:8">
      <c r="A58" s="17"/>
      <c r="B58" s="17"/>
      <c r="C58" s="17"/>
      <c r="D58" s="17"/>
      <c r="E58" s="17"/>
      <c r="F58" s="17"/>
      <c r="G58" s="17"/>
      <c r="H58" s="17"/>
    </row>
    <row r="59" spans="1:8">
      <c r="A59" s="17"/>
      <c r="B59" s="17"/>
      <c r="C59" s="17"/>
      <c r="D59" s="17"/>
      <c r="E59" s="17"/>
      <c r="F59" s="17"/>
      <c r="G59" s="17"/>
      <c r="H59" s="17"/>
    </row>
    <row r="60" spans="1:8">
      <c r="A60" s="17"/>
      <c r="B60" s="17"/>
      <c r="C60" s="17"/>
      <c r="D60" s="17"/>
      <c r="E60" s="17"/>
      <c r="F60" s="17"/>
      <c r="G60" s="17"/>
      <c r="H60" s="17"/>
    </row>
    <row r="61" spans="1:8">
      <c r="A61" s="17"/>
      <c r="B61" s="17"/>
      <c r="C61" s="17"/>
      <c r="D61" s="17"/>
      <c r="E61" s="17"/>
      <c r="F61" s="17"/>
      <c r="G61" s="17"/>
      <c r="H61" s="17"/>
    </row>
    <row r="62" spans="1:8">
      <c r="A62" s="17"/>
      <c r="B62" s="17"/>
      <c r="C62" s="17"/>
      <c r="D62" s="17"/>
      <c r="E62" s="17"/>
      <c r="F62" s="17"/>
      <c r="G62" s="17"/>
      <c r="H62" s="17"/>
    </row>
    <row r="63" spans="1:8">
      <c r="A63" s="17"/>
      <c r="B63" s="17"/>
      <c r="C63" s="17"/>
      <c r="D63" s="17"/>
      <c r="E63" s="17"/>
      <c r="F63" s="17"/>
      <c r="G63" s="17"/>
      <c r="H63" s="17"/>
    </row>
    <row r="64" spans="1:8">
      <c r="A64" s="17"/>
      <c r="B64" s="17"/>
      <c r="C64" s="17"/>
      <c r="D64" s="17"/>
      <c r="E64" s="17"/>
      <c r="F64" s="17"/>
      <c r="G64" s="17"/>
      <c r="H64" s="17"/>
    </row>
    <row r="65" spans="1:8">
      <c r="A65" s="17"/>
      <c r="B65" s="17"/>
      <c r="C65" s="17"/>
      <c r="D65" s="17"/>
      <c r="E65" s="17"/>
      <c r="F65" s="17"/>
      <c r="G65" s="17"/>
      <c r="H65" s="17"/>
    </row>
    <row r="66" spans="1:8">
      <c r="A66" s="17"/>
      <c r="B66" s="17"/>
      <c r="C66" s="17"/>
      <c r="D66" s="17"/>
      <c r="E66" s="17"/>
      <c r="F66" s="17"/>
      <c r="G66" s="17"/>
      <c r="H66" s="17"/>
    </row>
    <row r="67" spans="1:8">
      <c r="A67" s="17"/>
      <c r="B67" s="17"/>
      <c r="C67" s="17"/>
      <c r="D67" s="17"/>
      <c r="E67" s="17"/>
      <c r="F67" s="17"/>
      <c r="G67" s="17"/>
      <c r="H67" s="17"/>
    </row>
    <row r="68" spans="1:8">
      <c r="A68" s="17"/>
      <c r="B68" s="17"/>
      <c r="C68" s="17"/>
      <c r="D68" s="17"/>
      <c r="E68" s="17"/>
      <c r="F68" s="17"/>
      <c r="G68" s="17"/>
      <c r="H68" s="17"/>
    </row>
    <row r="69" spans="1:8">
      <c r="A69" s="17"/>
      <c r="B69" s="17"/>
      <c r="C69" s="17"/>
      <c r="D69" s="17"/>
      <c r="E69" s="17"/>
      <c r="F69" s="17"/>
      <c r="G69" s="17"/>
      <c r="H69" s="17"/>
    </row>
    <row r="70" spans="1:8">
      <c r="A70" s="17"/>
      <c r="B70" s="17"/>
      <c r="C70" s="17"/>
      <c r="D70" s="17"/>
      <c r="E70" s="17"/>
      <c r="F70" s="17"/>
      <c r="G70" s="17"/>
      <c r="H70" s="17"/>
    </row>
    <row r="71" spans="1:8">
      <c r="A71" s="17"/>
      <c r="B71" s="17"/>
      <c r="C71" s="17"/>
      <c r="D71" s="17"/>
      <c r="E71" s="17"/>
      <c r="F71" s="17"/>
      <c r="G71" s="17"/>
      <c r="H71" s="17"/>
    </row>
    <row r="72" spans="1:8">
      <c r="A72" s="17"/>
      <c r="B72" s="17"/>
      <c r="C72" s="17"/>
      <c r="D72" s="17"/>
      <c r="E72" s="17"/>
      <c r="F72" s="17"/>
      <c r="G72" s="17"/>
      <c r="H72" s="17"/>
    </row>
    <row r="73" spans="1:8">
      <c r="A73" s="17"/>
      <c r="B73" s="17"/>
      <c r="C73" s="17"/>
      <c r="D73" s="17"/>
      <c r="E73" s="17"/>
      <c r="F73" s="17"/>
      <c r="G73" s="17"/>
      <c r="H73" s="17"/>
    </row>
    <row r="74" spans="1:8">
      <c r="A74" s="17"/>
      <c r="B74" s="17"/>
      <c r="C74" s="17"/>
      <c r="D74" s="17"/>
      <c r="E74" s="17"/>
      <c r="F74" s="17"/>
      <c r="G74" s="17"/>
      <c r="H74" s="17"/>
    </row>
    <row r="75" spans="1:8">
      <c r="A75" s="17"/>
      <c r="B75" s="17"/>
      <c r="C75" s="17"/>
      <c r="D75" s="17"/>
      <c r="E75" s="17"/>
      <c r="F75" s="17"/>
      <c r="G75" s="17"/>
      <c r="H75" s="17"/>
    </row>
    <row r="76" spans="1:8">
      <c r="A76" s="17"/>
      <c r="B76" s="17"/>
      <c r="C76" s="17"/>
      <c r="D76" s="17"/>
      <c r="E76" s="17"/>
      <c r="F76" s="17"/>
      <c r="G76" s="17"/>
      <c r="H76" s="17"/>
    </row>
    <row r="77" spans="1:8">
      <c r="A77" s="17"/>
      <c r="B77" s="17"/>
      <c r="C77" s="17"/>
      <c r="D77" s="17"/>
      <c r="E77" s="17"/>
      <c r="F77" s="17"/>
      <c r="G77" s="17"/>
      <c r="H77" s="17"/>
    </row>
    <row r="78" spans="1:8">
      <c r="A78" s="17"/>
      <c r="B78" s="17"/>
      <c r="C78" s="17"/>
      <c r="D78" s="17"/>
      <c r="E78" s="17"/>
      <c r="F78" s="17"/>
      <c r="G78" s="17"/>
      <c r="H78" s="17"/>
    </row>
  </sheetData>
  <mergeCells count="9">
    <mergeCell ref="C5:F5"/>
    <mergeCell ref="C23:F23"/>
    <mergeCell ref="A3:I3"/>
    <mergeCell ref="A4:I4"/>
    <mergeCell ref="H15:I15"/>
    <mergeCell ref="H16:I16"/>
    <mergeCell ref="H17:I17"/>
    <mergeCell ref="H18:I18"/>
    <mergeCell ref="H19:I19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:H366"/>
  <sheetViews>
    <sheetView topLeftCell="A13" workbookViewId="0">
      <selection activeCell="D19" sqref="D19"/>
    </sheetView>
  </sheetViews>
  <sheetFormatPr defaultColWidth="11.5703125" defaultRowHeight="12.75"/>
  <cols>
    <col min="1" max="1" width="44.85546875" customWidth="1"/>
    <col min="2" max="2" width="12.140625" customWidth="1"/>
    <col min="3" max="3" width="12.42578125" customWidth="1"/>
    <col min="4" max="4" width="11.42578125" customWidth="1"/>
    <col min="5" max="5" width="6.140625" style="204" customWidth="1"/>
    <col min="6" max="6" width="11.5703125" customWidth="1"/>
    <col min="7" max="7" width="18.42578125" customWidth="1"/>
    <col min="8" max="8" width="15" customWidth="1"/>
    <col min="9" max="9" width="11.5703125" customWidth="1"/>
  </cols>
  <sheetData>
    <row r="1" spans="1:5" ht="25.5">
      <c r="A1" s="600" t="s">
        <v>134</v>
      </c>
      <c r="B1" s="590"/>
      <c r="C1" s="591"/>
      <c r="D1" s="591"/>
      <c r="E1" s="578"/>
    </row>
    <row r="2" spans="1:5">
      <c r="A2" s="589"/>
      <c r="B2" s="590"/>
      <c r="C2" s="591"/>
      <c r="D2" s="591"/>
      <c r="E2" s="578"/>
    </row>
    <row r="3" spans="1:5">
      <c r="A3" s="589"/>
      <c r="B3" s="622" t="s">
        <v>909</v>
      </c>
      <c r="C3" s="622"/>
      <c r="D3" s="592"/>
      <c r="E3" s="593"/>
    </row>
    <row r="4" spans="1:5">
      <c r="A4" s="594"/>
      <c r="B4" s="584" t="s">
        <v>905</v>
      </c>
      <c r="C4" s="585" t="s">
        <v>906</v>
      </c>
      <c r="D4" s="585" t="s">
        <v>907</v>
      </c>
      <c r="E4" s="585" t="s">
        <v>908</v>
      </c>
    </row>
    <row r="5" spans="1:5" ht="13.5" thickBot="1">
      <c r="A5" s="308" t="s">
        <v>268</v>
      </c>
      <c r="B5" s="588">
        <f>B6+B7+B8+B9+B10</f>
        <v>583464114</v>
      </c>
      <c r="C5" s="588">
        <f>C6+C7+C8+C9+C10</f>
        <v>660649290</v>
      </c>
      <c r="D5" s="588">
        <f>D6+D7+D8+D9+D10</f>
        <v>622828106</v>
      </c>
      <c r="E5" s="209">
        <f t="shared" ref="E5:E10" si="0">D5/C5*100</f>
        <v>94.275149527520114</v>
      </c>
    </row>
    <row r="6" spans="1:5">
      <c r="A6" s="301" t="s">
        <v>293</v>
      </c>
      <c r="B6" s="6">
        <f>B13+B20+B29+B37</f>
        <v>161904784</v>
      </c>
      <c r="C6" s="6">
        <f>C13+C20+C29+C37</f>
        <v>215178973</v>
      </c>
      <c r="D6" s="6">
        <f>D13+D20+D29+D37</f>
        <v>193030121</v>
      </c>
      <c r="E6" s="205">
        <f t="shared" si="0"/>
        <v>89.706776786224367</v>
      </c>
    </row>
    <row r="7" spans="1:5">
      <c r="A7" s="302" t="s">
        <v>116</v>
      </c>
      <c r="B7" s="6">
        <f>B14+B21+B30+B44</f>
        <v>154760810</v>
      </c>
      <c r="C7" s="6">
        <f>C14+C21+C30+C44</f>
        <v>158514012</v>
      </c>
      <c r="D7" s="6">
        <f>D14+D21+D30+D44</f>
        <v>154736108</v>
      </c>
      <c r="E7" s="205">
        <f t="shared" si="0"/>
        <v>97.616675048260078</v>
      </c>
    </row>
    <row r="8" spans="1:5">
      <c r="A8" s="302" t="s">
        <v>117</v>
      </c>
      <c r="B8" s="6">
        <f t="shared" ref="B8:D10" si="1">B15+B22+B31</f>
        <v>110367550</v>
      </c>
      <c r="C8" s="6">
        <f t="shared" si="1"/>
        <v>127981942</v>
      </c>
      <c r="D8" s="6">
        <f t="shared" si="1"/>
        <v>124194593</v>
      </c>
      <c r="E8" s="205">
        <f t="shared" si="0"/>
        <v>97.040716103526549</v>
      </c>
    </row>
    <row r="9" spans="1:5">
      <c r="A9" s="302" t="s">
        <v>262</v>
      </c>
      <c r="B9" s="152">
        <f t="shared" si="1"/>
        <v>125686040</v>
      </c>
      <c r="C9" s="152">
        <f t="shared" si="1"/>
        <v>127099279</v>
      </c>
      <c r="D9" s="152">
        <f t="shared" si="1"/>
        <v>120836719</v>
      </c>
      <c r="E9" s="205">
        <f t="shared" si="0"/>
        <v>95.072702182677219</v>
      </c>
    </row>
    <row r="10" spans="1:5">
      <c r="A10" s="302" t="s">
        <v>261</v>
      </c>
      <c r="B10" s="152">
        <f t="shared" si="1"/>
        <v>30744930</v>
      </c>
      <c r="C10" s="152">
        <f t="shared" si="1"/>
        <v>31875084</v>
      </c>
      <c r="D10" s="152">
        <f t="shared" si="1"/>
        <v>30030565</v>
      </c>
      <c r="E10" s="205">
        <f t="shared" si="0"/>
        <v>94.213288975175729</v>
      </c>
    </row>
    <row r="11" spans="1:5" ht="13.5" thickBot="1">
      <c r="A11" s="303"/>
      <c r="B11" s="152"/>
      <c r="C11" s="196"/>
      <c r="D11" s="196"/>
      <c r="E11" s="206"/>
    </row>
    <row r="12" spans="1:5" ht="13.5" thickBot="1">
      <c r="A12" s="300" t="s">
        <v>135</v>
      </c>
      <c r="B12" s="9">
        <f>SUM(B13:B17)</f>
        <v>239851000</v>
      </c>
      <c r="C12" s="9">
        <f>SUM(C13:C17)</f>
        <v>306132708</v>
      </c>
      <c r="D12" s="9">
        <f>SUM(D13:D17)</f>
        <v>302153587</v>
      </c>
      <c r="E12" s="209">
        <f t="shared" ref="E12:E17" si="2">D12/C12*100</f>
        <v>98.70019736669235</v>
      </c>
    </row>
    <row r="13" spans="1:5">
      <c r="A13" s="301" t="s">
        <v>293</v>
      </c>
      <c r="B13" s="152">
        <f>'5_melléklet'!B214</f>
        <v>41066000</v>
      </c>
      <c r="C13" s="152">
        <f>'5_melléklet'!C214</f>
        <v>88214670</v>
      </c>
      <c r="D13" s="152">
        <f>'5_melléklet'!D214</f>
        <v>88163920</v>
      </c>
      <c r="E13" s="205">
        <f t="shared" si="2"/>
        <v>99.942469886244538</v>
      </c>
    </row>
    <row r="14" spans="1:5">
      <c r="A14" s="302" t="s">
        <v>116</v>
      </c>
      <c r="B14" s="152">
        <f>'5_melléklet'!B353</f>
        <v>69955000</v>
      </c>
      <c r="C14" s="152">
        <f>'5_melléklet'!C353</f>
        <v>72488501</v>
      </c>
      <c r="D14" s="152">
        <f>'5_melléklet'!D353</f>
        <v>71479368</v>
      </c>
      <c r="E14" s="205">
        <f t="shared" si="2"/>
        <v>98.607871612629978</v>
      </c>
    </row>
    <row r="15" spans="1:5">
      <c r="A15" s="302" t="s">
        <v>117</v>
      </c>
      <c r="B15" s="152">
        <f>'5_melléklet'!B657</f>
        <v>61334000</v>
      </c>
      <c r="C15" s="152">
        <f>'5_melléklet'!C657</f>
        <v>75871037</v>
      </c>
      <c r="D15" s="152">
        <f>'5_melléklet'!D657</f>
        <v>72967444</v>
      </c>
      <c r="E15" s="205">
        <f t="shared" si="2"/>
        <v>96.17298891011599</v>
      </c>
    </row>
    <row r="16" spans="1:5">
      <c r="A16" s="302" t="s">
        <v>262</v>
      </c>
      <c r="B16" s="152">
        <f>'5_melléklet'!B758</f>
        <v>55917000</v>
      </c>
      <c r="C16" s="152">
        <f>'5_melléklet'!C758</f>
        <v>57119700</v>
      </c>
      <c r="D16" s="152">
        <f>'5_melléklet'!D758</f>
        <v>57115098</v>
      </c>
      <c r="E16" s="205">
        <f t="shared" si="2"/>
        <v>99.991943234995986</v>
      </c>
    </row>
    <row r="17" spans="1:5">
      <c r="A17" s="302" t="s">
        <v>261</v>
      </c>
      <c r="B17" s="152">
        <f>'5_melléklet'!B869</f>
        <v>11579000</v>
      </c>
      <c r="C17" s="152">
        <f>'5_melléklet'!C869</f>
        <v>12438800</v>
      </c>
      <c r="D17" s="152">
        <f>'5_melléklet'!D869</f>
        <v>12427757</v>
      </c>
      <c r="E17" s="205">
        <f t="shared" si="2"/>
        <v>99.911221339679074</v>
      </c>
    </row>
    <row r="18" spans="1:5" ht="13.5" thickBot="1">
      <c r="A18" s="303"/>
      <c r="B18" s="152"/>
      <c r="C18" s="194"/>
      <c r="D18" s="194"/>
      <c r="E18" s="207"/>
    </row>
    <row r="19" spans="1:5" ht="13.5" thickBot="1">
      <c r="A19" s="300" t="s">
        <v>136</v>
      </c>
      <c r="B19" s="9">
        <f>SUM(B20:B24)</f>
        <v>61796400</v>
      </c>
      <c r="C19" s="9">
        <f>SUM(C20:C24)</f>
        <v>73494678</v>
      </c>
      <c r="D19" s="9">
        <f>SUM(D20:D24)</f>
        <v>72495723</v>
      </c>
      <c r="E19" s="209">
        <f t="shared" ref="E19:E24" si="3">D19/C19*100</f>
        <v>98.640779132333904</v>
      </c>
    </row>
    <row r="20" spans="1:5">
      <c r="A20" s="301" t="s">
        <v>293</v>
      </c>
      <c r="B20" s="152">
        <f>'5_melléklet'!B215</f>
        <v>6843400</v>
      </c>
      <c r="C20" s="152">
        <f>'5_melléklet'!C215</f>
        <v>14245133</v>
      </c>
      <c r="D20" s="152">
        <f>'5_melléklet'!D215</f>
        <v>14244525</v>
      </c>
      <c r="E20" s="205">
        <f t="shared" si="3"/>
        <v>99.995731875581654</v>
      </c>
    </row>
    <row r="21" spans="1:5">
      <c r="A21" s="302" t="s">
        <v>116</v>
      </c>
      <c r="B21" s="152">
        <f>'5_melléklet'!B354</f>
        <v>19650000</v>
      </c>
      <c r="C21" s="152">
        <f>'5_melléklet'!C354</f>
        <v>20176245</v>
      </c>
      <c r="D21" s="152">
        <f>'5_melléklet'!D354</f>
        <v>19724015</v>
      </c>
      <c r="E21" s="205">
        <f t="shared" si="3"/>
        <v>97.75860176162611</v>
      </c>
    </row>
    <row r="22" spans="1:5">
      <c r="A22" s="302" t="s">
        <v>117</v>
      </c>
      <c r="B22" s="152">
        <f>'5_melléklet'!B658</f>
        <v>16810000</v>
      </c>
      <c r="C22" s="152">
        <f>'5_melléklet'!C658</f>
        <v>19887355</v>
      </c>
      <c r="D22" s="152">
        <f>'5_melléklet'!D658</f>
        <v>19359103</v>
      </c>
      <c r="E22" s="205">
        <f t="shared" si="3"/>
        <v>97.343779502100702</v>
      </c>
    </row>
    <row r="23" spans="1:5">
      <c r="A23" s="302" t="s">
        <v>262</v>
      </c>
      <c r="B23" s="152">
        <f>'5_melléklet'!B759</f>
        <v>15297000</v>
      </c>
      <c r="C23" s="152">
        <f>'5_melléklet'!C759</f>
        <v>15714539</v>
      </c>
      <c r="D23" s="152">
        <f>'5_melléklet'!D759</f>
        <v>15711866</v>
      </c>
      <c r="E23" s="205">
        <f t="shared" si="3"/>
        <v>99.982990274165857</v>
      </c>
    </row>
    <row r="24" spans="1:5">
      <c r="A24" s="302" t="s">
        <v>261</v>
      </c>
      <c r="B24" s="152">
        <f>'5_melléklet'!B870</f>
        <v>3196000</v>
      </c>
      <c r="C24" s="152">
        <f>'5_melléklet'!C870</f>
        <v>3471406</v>
      </c>
      <c r="D24" s="152">
        <f>'5_melléklet'!D870</f>
        <v>3456214</v>
      </c>
      <c r="E24" s="205">
        <f t="shared" si="3"/>
        <v>99.562367524858814</v>
      </c>
    </row>
    <row r="25" spans="1:5" ht="13.5" thickBot="1">
      <c r="A25" s="303"/>
      <c r="B25" s="152"/>
      <c r="C25" s="194"/>
      <c r="D25" s="194"/>
      <c r="E25" s="207"/>
    </row>
    <row r="26" spans="1:5" ht="13.5" thickBot="1">
      <c r="A26" s="300" t="s">
        <v>137</v>
      </c>
      <c r="B26" s="9">
        <f>SUM(B29:B33)</f>
        <v>198482120</v>
      </c>
      <c r="C26" s="9">
        <f>SUM(C29:C33)</f>
        <v>197460249</v>
      </c>
      <c r="D26" s="9">
        <f>SUM(D29:D33)</f>
        <v>186629334</v>
      </c>
      <c r="E26" s="209">
        <f>D26/C26*100</f>
        <v>94.514888411793706</v>
      </c>
    </row>
    <row r="27" spans="1:5" ht="22.5">
      <c r="A27" s="303" t="s">
        <v>283</v>
      </c>
      <c r="B27" s="152"/>
      <c r="E27" s="205"/>
    </row>
    <row r="28" spans="1:5" ht="22.5">
      <c r="A28" s="303" t="s">
        <v>321</v>
      </c>
      <c r="B28" s="152"/>
      <c r="E28" s="205"/>
    </row>
    <row r="29" spans="1:5">
      <c r="A29" s="301" t="s">
        <v>293</v>
      </c>
      <c r="B29" s="152">
        <f>'5_melléklet'!B216</f>
        <v>45994990</v>
      </c>
      <c r="C29" s="152">
        <f>'5_melléklet'!C216</f>
        <v>44491715</v>
      </c>
      <c r="D29" s="152">
        <f>'5_melléklet'!D216</f>
        <v>43236777</v>
      </c>
      <c r="E29" s="205">
        <f>D29/C29*100</f>
        <v>97.179389466106215</v>
      </c>
    </row>
    <row r="30" spans="1:5">
      <c r="A30" s="302" t="s">
        <v>116</v>
      </c>
      <c r="B30" s="152">
        <f>'5_melléklet'!B355</f>
        <v>49821610</v>
      </c>
      <c r="C30" s="152">
        <f>'5_melléklet'!C355</f>
        <v>50515066</v>
      </c>
      <c r="D30" s="152">
        <f>'5_melléklet'!D355</f>
        <v>49368162</v>
      </c>
      <c r="E30" s="205">
        <f>D30/C30*100</f>
        <v>97.729580319661466</v>
      </c>
    </row>
    <row r="31" spans="1:5">
      <c r="A31" s="302" t="s">
        <v>117</v>
      </c>
      <c r="B31" s="152">
        <f>'5_melléklet'!B659</f>
        <v>32223550</v>
      </c>
      <c r="C31" s="152">
        <f>'5_melléklet'!C659</f>
        <v>32223550</v>
      </c>
      <c r="D31" s="152">
        <f>'5_melléklet'!D659</f>
        <v>31868046</v>
      </c>
      <c r="E31" s="205">
        <f>D31/C31*100</f>
        <v>98.896757185350467</v>
      </c>
    </row>
    <row r="32" spans="1:5">
      <c r="A32" s="302" t="s">
        <v>262</v>
      </c>
      <c r="B32" s="152">
        <f>'5_melléklet'!B760</f>
        <v>54472040</v>
      </c>
      <c r="C32" s="152">
        <f>'5_melléklet'!C760</f>
        <v>54265040</v>
      </c>
      <c r="D32" s="152">
        <f>'5_melléklet'!D760</f>
        <v>48009755</v>
      </c>
      <c r="E32" s="205">
        <f>D32/C32*100</f>
        <v>88.472716504032803</v>
      </c>
    </row>
    <row r="33" spans="1:5">
      <c r="A33" s="302" t="s">
        <v>261</v>
      </c>
      <c r="B33" s="152">
        <f>'5_melléklet'!B871</f>
        <v>15969930</v>
      </c>
      <c r="C33" s="152">
        <f>'5_melléklet'!C871</f>
        <v>15964878</v>
      </c>
      <c r="D33" s="152">
        <f>'5_melléklet'!D871</f>
        <v>14146594</v>
      </c>
      <c r="E33" s="205">
        <f>D33/C33*100</f>
        <v>88.610724115774644</v>
      </c>
    </row>
    <row r="34" spans="1:5" ht="13.5" thickBot="1">
      <c r="A34" s="303"/>
      <c r="B34" s="152"/>
      <c r="C34" s="194"/>
      <c r="D34" s="194"/>
      <c r="E34" s="207"/>
    </row>
    <row r="35" spans="1:5" ht="23.25" thickBot="1">
      <c r="A35" s="300" t="s">
        <v>269</v>
      </c>
      <c r="B35" s="9">
        <f>B36</f>
        <v>83334594</v>
      </c>
      <c r="C35" s="9">
        <f>C36</f>
        <v>83561655</v>
      </c>
      <c r="D35" s="9">
        <f>D36</f>
        <v>61549462</v>
      </c>
      <c r="E35" s="209">
        <f>D35/C35*100</f>
        <v>73.657543044115144</v>
      </c>
    </row>
    <row r="36" spans="1:5">
      <c r="A36" s="304" t="s">
        <v>146</v>
      </c>
      <c r="B36" s="11">
        <f>B37+B44</f>
        <v>83334594</v>
      </c>
      <c r="C36" s="11">
        <f>C37+C44</f>
        <v>83561655</v>
      </c>
      <c r="D36" s="11">
        <f>D37+D44</f>
        <v>61549462</v>
      </c>
      <c r="E36" s="210">
        <f t="shared" ref="E36:E45" si="4">D36/C36*100</f>
        <v>73.657543044115144</v>
      </c>
    </row>
    <row r="37" spans="1:5">
      <c r="A37" s="305" t="s">
        <v>294</v>
      </c>
      <c r="B37" s="14">
        <f>SUM(B38:B43)</f>
        <v>68000394</v>
      </c>
      <c r="C37" s="14">
        <f>SUM(C38:C43)</f>
        <v>68227455</v>
      </c>
      <c r="D37" s="14">
        <f>SUM(D38:D43)</f>
        <v>47384899</v>
      </c>
      <c r="E37" s="211">
        <f t="shared" si="4"/>
        <v>69.45136528982357</v>
      </c>
    </row>
    <row r="38" spans="1:5">
      <c r="A38" s="303" t="s">
        <v>147</v>
      </c>
      <c r="B38" s="152">
        <f>'4_ melléklet'!B10</f>
        <v>4200000</v>
      </c>
      <c r="C38" s="152">
        <f>'4_ melléklet'!C10</f>
        <v>4058000</v>
      </c>
      <c r="D38" s="152">
        <f>'4_ melléklet'!D10</f>
        <v>4058000</v>
      </c>
      <c r="E38" s="205">
        <f t="shared" si="4"/>
        <v>100</v>
      </c>
    </row>
    <row r="39" spans="1:5">
      <c r="A39" s="303" t="s">
        <v>148</v>
      </c>
      <c r="B39" s="152">
        <f>'4_ melléklet'!B14</f>
        <v>34340394</v>
      </c>
      <c r="C39" s="152">
        <f>'4_ melléklet'!C14</f>
        <v>34624805</v>
      </c>
      <c r="D39" s="152">
        <f>'4_ melléklet'!D14</f>
        <v>28191018</v>
      </c>
      <c r="E39" s="205">
        <f t="shared" si="4"/>
        <v>81.418561057600186</v>
      </c>
    </row>
    <row r="40" spans="1:5">
      <c r="A40" s="303" t="s">
        <v>234</v>
      </c>
      <c r="B40" s="152">
        <f>'4_ melléklet'!B21</f>
        <v>22500000</v>
      </c>
      <c r="C40" s="152">
        <f>'4_ melléklet'!C21</f>
        <v>5000000</v>
      </c>
      <c r="D40" s="152">
        <f>'4_ melléklet'!D21</f>
        <v>3232420</v>
      </c>
      <c r="E40" s="205">
        <f t="shared" si="4"/>
        <v>64.648399999999995</v>
      </c>
    </row>
    <row r="41" spans="1:5">
      <c r="A41" s="303" t="s">
        <v>235</v>
      </c>
      <c r="B41" s="152">
        <f>'4_ melléklet'!B23+'4_ melléklet'!B34</f>
        <v>6960000</v>
      </c>
      <c r="C41" s="152">
        <f>'4_ melléklet'!C23+'4_ melléklet'!C34</f>
        <v>12199301</v>
      </c>
      <c r="D41" s="152">
        <f>'4_ melléklet'!D23+'4_ melléklet'!D34</f>
        <v>10781711</v>
      </c>
      <c r="E41" s="205">
        <f t="shared" si="4"/>
        <v>88.379744052548574</v>
      </c>
    </row>
    <row r="42" spans="1:5">
      <c r="A42" s="303" t="s">
        <v>421</v>
      </c>
      <c r="B42" s="152">
        <f>'4_ melléklet'!B29</f>
        <v>0</v>
      </c>
      <c r="C42" s="152">
        <f>'4_ melléklet'!C29</f>
        <v>12108599</v>
      </c>
      <c r="D42" s="152">
        <f>'4_ melléklet'!D29</f>
        <v>885000</v>
      </c>
      <c r="E42" s="205">
        <f t="shared" si="4"/>
        <v>7.3088554670940873</v>
      </c>
    </row>
    <row r="43" spans="1:5">
      <c r="A43" s="303" t="s">
        <v>422</v>
      </c>
      <c r="B43" s="152">
        <f>'4_ melléklet'!B30</f>
        <v>0</v>
      </c>
      <c r="C43" s="152">
        <f>'4_ melléklet'!C30</f>
        <v>236750</v>
      </c>
      <c r="D43" s="152">
        <f>'4_ melléklet'!D30</f>
        <v>236750</v>
      </c>
      <c r="E43" s="205">
        <f t="shared" si="4"/>
        <v>100</v>
      </c>
    </row>
    <row r="44" spans="1:5">
      <c r="A44" s="305" t="s">
        <v>169</v>
      </c>
      <c r="B44" s="14">
        <f>B45</f>
        <v>15334200</v>
      </c>
      <c r="C44" s="14">
        <f>C45</f>
        <v>15334200</v>
      </c>
      <c r="D44" s="14">
        <f>D45</f>
        <v>14164563</v>
      </c>
      <c r="E44" s="211">
        <f t="shared" si="4"/>
        <v>92.37236373596275</v>
      </c>
    </row>
    <row r="45" spans="1:5">
      <c r="A45" s="303" t="s">
        <v>170</v>
      </c>
      <c r="B45" s="152">
        <f>'4_ melléklet'!B45</f>
        <v>15334200</v>
      </c>
      <c r="C45" s="152">
        <f>'4_ melléklet'!C45</f>
        <v>15334200</v>
      </c>
      <c r="D45" s="152">
        <f>'4_ melléklet'!D45</f>
        <v>14164563</v>
      </c>
      <c r="E45" s="205">
        <f t="shared" si="4"/>
        <v>92.37236373596275</v>
      </c>
    </row>
    <row r="46" spans="1:5">
      <c r="A46" s="303"/>
      <c r="B46" s="152"/>
      <c r="C46" s="586"/>
      <c r="D46" s="586"/>
      <c r="E46" s="587"/>
    </row>
    <row r="47" spans="1:5">
      <c r="A47" s="303"/>
      <c r="B47" s="152"/>
      <c r="C47" s="586"/>
      <c r="D47" s="586"/>
      <c r="E47" s="587"/>
    </row>
    <row r="48" spans="1:5">
      <c r="A48" s="303"/>
      <c r="B48" s="152"/>
      <c r="C48" s="586"/>
      <c r="D48" s="586"/>
      <c r="E48" s="587"/>
    </row>
    <row r="49" spans="1:8">
      <c r="A49" s="303"/>
      <c r="B49" s="152"/>
      <c r="C49" s="586"/>
      <c r="D49" s="586"/>
      <c r="E49" s="587"/>
    </row>
    <row r="50" spans="1:8" ht="13.5" thickBot="1">
      <c r="A50" s="303"/>
      <c r="B50" s="152"/>
      <c r="C50" s="194"/>
      <c r="D50" s="194"/>
      <c r="E50" s="207"/>
    </row>
    <row r="51" spans="1:8" ht="13.5" thickBot="1">
      <c r="A51" s="306" t="s">
        <v>164</v>
      </c>
      <c r="B51" s="40">
        <f>B53+B78+B84</f>
        <v>1733951574</v>
      </c>
      <c r="C51" s="40">
        <f>C53+C78+C84</f>
        <v>1748569505</v>
      </c>
      <c r="D51" s="40">
        <f>D53+D78+D84</f>
        <v>1717334594</v>
      </c>
      <c r="E51" s="209">
        <f>D51/C51*100</f>
        <v>98.213687765302765</v>
      </c>
    </row>
    <row r="52" spans="1:8" ht="13.5" thickBot="1">
      <c r="A52" s="307"/>
      <c r="B52" s="164"/>
      <c r="C52" s="197"/>
      <c r="D52" s="197"/>
      <c r="E52" s="208"/>
    </row>
    <row r="53" spans="1:8" ht="13.5" thickBot="1">
      <c r="A53" s="308" t="s">
        <v>91</v>
      </c>
      <c r="B53" s="64">
        <f>B54+B67+B69+B71+B74</f>
        <v>1671595209</v>
      </c>
      <c r="C53" s="64">
        <f>C54+C67+C69+C71+C74</f>
        <v>1685951990</v>
      </c>
      <c r="D53" s="64">
        <f>D54+D67+D69+D71+D74</f>
        <v>1656589736</v>
      </c>
      <c r="E53" s="209">
        <f>D53/C53*100</f>
        <v>98.258416955277596</v>
      </c>
    </row>
    <row r="54" spans="1:8">
      <c r="A54" s="90" t="s">
        <v>293</v>
      </c>
      <c r="B54" s="145">
        <f>SUM(B55:B59)</f>
        <v>1670147409</v>
      </c>
      <c r="C54" s="145">
        <f>SUM(C55:C66)</f>
        <v>1682097124</v>
      </c>
      <c r="D54" s="145">
        <f>SUM(D55:D66)</f>
        <v>1652819933</v>
      </c>
      <c r="E54" s="212">
        <f t="shared" ref="E54:E75" si="5">D54/C54*100</f>
        <v>98.259482726515856</v>
      </c>
    </row>
    <row r="55" spans="1:8">
      <c r="A55" s="309" t="s">
        <v>276</v>
      </c>
      <c r="B55" s="146">
        <f>87434741+5326560</f>
        <v>92761301</v>
      </c>
      <c r="C55" s="247">
        <v>92761301</v>
      </c>
      <c r="D55" s="247">
        <v>92761301</v>
      </c>
      <c r="E55" s="205">
        <f t="shared" si="5"/>
        <v>100</v>
      </c>
    </row>
    <row r="56" spans="1:8">
      <c r="A56" s="310" t="s">
        <v>228</v>
      </c>
      <c r="B56" s="6">
        <f>1585259108-9000000</f>
        <v>1576259108</v>
      </c>
      <c r="C56" s="247">
        <v>1573719108</v>
      </c>
      <c r="D56" s="247">
        <v>1542639176</v>
      </c>
      <c r="E56" s="205">
        <f t="shared" si="5"/>
        <v>98.025064838953455</v>
      </c>
      <c r="G56" s="121"/>
    </row>
    <row r="57" spans="1:8">
      <c r="A57" s="310" t="s">
        <v>326</v>
      </c>
      <c r="B57" s="6">
        <v>127000</v>
      </c>
      <c r="C57" s="247">
        <v>748798</v>
      </c>
      <c r="D57" s="247">
        <v>633098</v>
      </c>
      <c r="E57" s="205">
        <f t="shared" si="5"/>
        <v>84.548569841265603</v>
      </c>
      <c r="G57" s="121"/>
    </row>
    <row r="58" spans="1:8" ht="13.15" customHeight="1">
      <c r="A58" s="310" t="s">
        <v>327</v>
      </c>
      <c r="B58" s="6">
        <v>300000</v>
      </c>
      <c r="C58" s="247">
        <v>300000</v>
      </c>
      <c r="D58" s="247">
        <v>0</v>
      </c>
      <c r="E58" s="205">
        <f t="shared" si="5"/>
        <v>0</v>
      </c>
      <c r="G58" s="121"/>
    </row>
    <row r="59" spans="1:8">
      <c r="A59" s="310" t="s">
        <v>26</v>
      </c>
      <c r="B59" s="6">
        <v>700000</v>
      </c>
      <c r="C59" s="247">
        <v>378100</v>
      </c>
      <c r="D59" s="247">
        <v>941235</v>
      </c>
      <c r="E59" s="205">
        <f t="shared" si="5"/>
        <v>248.93811161068501</v>
      </c>
    </row>
    <row r="60" spans="1:8" ht="14.45" customHeight="1">
      <c r="A60" s="311" t="s">
        <v>406</v>
      </c>
      <c r="B60" s="6">
        <v>0</v>
      </c>
      <c r="C60" s="247">
        <v>500000</v>
      </c>
      <c r="D60" s="247">
        <v>500000</v>
      </c>
      <c r="E60" s="205">
        <f t="shared" si="5"/>
        <v>100</v>
      </c>
      <c r="G60" s="596"/>
    </row>
    <row r="61" spans="1:8">
      <c r="A61" s="312" t="s">
        <v>400</v>
      </c>
      <c r="B61" s="6">
        <v>0</v>
      </c>
      <c r="C61" s="247">
        <v>4559300</v>
      </c>
      <c r="D61" s="247">
        <v>4559300</v>
      </c>
      <c r="E61" s="205">
        <f t="shared" si="5"/>
        <v>100</v>
      </c>
    </row>
    <row r="62" spans="1:8">
      <c r="A62" s="312" t="s">
        <v>401</v>
      </c>
      <c r="B62" s="6">
        <v>0</v>
      </c>
      <c r="C62" s="247">
        <v>928497</v>
      </c>
      <c r="D62" s="247">
        <v>2122581</v>
      </c>
      <c r="E62" s="205">
        <f t="shared" si="5"/>
        <v>228.60396964125894</v>
      </c>
    </row>
    <row r="63" spans="1:8" ht="22.5">
      <c r="A63" s="312" t="s">
        <v>402</v>
      </c>
      <c r="B63" s="6">
        <v>0</v>
      </c>
      <c r="C63" s="247">
        <v>96970</v>
      </c>
      <c r="D63" s="247">
        <v>275470</v>
      </c>
      <c r="E63" s="205">
        <f t="shared" si="5"/>
        <v>284.07754975765698</v>
      </c>
      <c r="G63" s="121"/>
      <c r="H63" s="121"/>
    </row>
    <row r="64" spans="1:8">
      <c r="A64" s="312" t="s">
        <v>403</v>
      </c>
      <c r="B64" s="6">
        <v>0</v>
      </c>
      <c r="C64" s="247">
        <v>6327050</v>
      </c>
      <c r="D64" s="247">
        <v>6379950</v>
      </c>
      <c r="E64" s="205">
        <f t="shared" si="5"/>
        <v>100.8360926498131</v>
      </c>
      <c r="G64" s="121"/>
      <c r="H64" s="122"/>
    </row>
    <row r="65" spans="1:7">
      <c r="A65" s="312" t="s">
        <v>404</v>
      </c>
      <c r="B65" s="6">
        <v>0</v>
      </c>
      <c r="C65" s="247">
        <v>1778000</v>
      </c>
      <c r="D65" s="247">
        <v>1778000</v>
      </c>
      <c r="E65" s="205">
        <f t="shared" si="5"/>
        <v>100</v>
      </c>
      <c r="G65" s="121"/>
    </row>
    <row r="66" spans="1:7">
      <c r="A66" s="312" t="s">
        <v>405</v>
      </c>
      <c r="B66" s="6">
        <v>0</v>
      </c>
      <c r="C66" s="247">
        <v>0</v>
      </c>
      <c r="D66" s="247">
        <v>229822</v>
      </c>
      <c r="E66" s="205">
        <v>0</v>
      </c>
      <c r="G66" s="121"/>
    </row>
    <row r="67" spans="1:7">
      <c r="A67" s="313" t="s">
        <v>116</v>
      </c>
      <c r="B67" s="132">
        <f>B68</f>
        <v>431800</v>
      </c>
      <c r="C67" s="250">
        <f>C68</f>
        <v>1946246</v>
      </c>
      <c r="D67" s="250">
        <f>D68</f>
        <v>1946246</v>
      </c>
      <c r="E67" s="212">
        <f t="shared" si="5"/>
        <v>100</v>
      </c>
    </row>
    <row r="68" spans="1:7">
      <c r="A68" s="310" t="s">
        <v>318</v>
      </c>
      <c r="B68" s="6">
        <v>431800</v>
      </c>
      <c r="C68" s="247">
        <v>1946246</v>
      </c>
      <c r="D68" s="247">
        <v>1946246</v>
      </c>
      <c r="E68" s="205">
        <f t="shared" si="5"/>
        <v>100</v>
      </c>
    </row>
    <row r="69" spans="1:7">
      <c r="A69" s="313" t="s">
        <v>117</v>
      </c>
      <c r="B69" s="132">
        <f>SUM(B70)</f>
        <v>228600</v>
      </c>
      <c r="C69" s="250">
        <f>SUM(C70)</f>
        <v>228600</v>
      </c>
      <c r="D69" s="250">
        <f>SUM(D70)</f>
        <v>159757</v>
      </c>
      <c r="E69" s="212">
        <f t="shared" si="5"/>
        <v>69.884951881014885</v>
      </c>
    </row>
    <row r="70" spans="1:7">
      <c r="A70" s="310" t="s">
        <v>319</v>
      </c>
      <c r="B70" s="6">
        <v>228600</v>
      </c>
      <c r="C70" s="247">
        <v>228600</v>
      </c>
      <c r="D70" s="247">
        <v>159757</v>
      </c>
      <c r="E70" s="205">
        <f t="shared" si="5"/>
        <v>69.884951881014885</v>
      </c>
    </row>
    <row r="71" spans="1:7">
      <c r="A71" s="313" t="s">
        <v>262</v>
      </c>
      <c r="B71" s="132">
        <f>B72</f>
        <v>279400</v>
      </c>
      <c r="C71" s="250">
        <f>SUM(C72:C73)</f>
        <v>618300</v>
      </c>
      <c r="D71" s="250">
        <f>SUM(D72:D73)</f>
        <v>616981</v>
      </c>
      <c r="E71" s="212">
        <f t="shared" si="5"/>
        <v>99.786673136018109</v>
      </c>
    </row>
    <row r="72" spans="1:7">
      <c r="A72" s="310" t="s">
        <v>320</v>
      </c>
      <c r="B72" s="6">
        <v>279400</v>
      </c>
      <c r="C72" s="247">
        <v>296400</v>
      </c>
      <c r="D72" s="247">
        <v>295081</v>
      </c>
      <c r="E72" s="205">
        <f t="shared" si="5"/>
        <v>99.554993252361683</v>
      </c>
    </row>
    <row r="73" spans="1:7">
      <c r="A73" s="312" t="s">
        <v>432</v>
      </c>
      <c r="B73" s="6">
        <v>0</v>
      </c>
      <c r="C73" s="247">
        <v>321900</v>
      </c>
      <c r="D73" s="247">
        <v>321900</v>
      </c>
      <c r="E73" s="205">
        <f t="shared" si="5"/>
        <v>100</v>
      </c>
    </row>
    <row r="74" spans="1:7">
      <c r="A74" s="313" t="s">
        <v>261</v>
      </c>
      <c r="B74" s="132">
        <f>B75</f>
        <v>508000</v>
      </c>
      <c r="C74" s="250">
        <f>SUM(C75:C76)</f>
        <v>1061720</v>
      </c>
      <c r="D74" s="250">
        <f>SUM(D75:D76)</f>
        <v>1046819</v>
      </c>
      <c r="E74" s="212">
        <f t="shared" si="5"/>
        <v>98.596522623667255</v>
      </c>
    </row>
    <row r="75" spans="1:7">
      <c r="A75" s="310" t="s">
        <v>66</v>
      </c>
      <c r="B75" s="6">
        <v>508000</v>
      </c>
      <c r="C75" s="247">
        <v>1061720</v>
      </c>
      <c r="D75" s="247">
        <v>300499</v>
      </c>
      <c r="E75" s="205">
        <f t="shared" si="5"/>
        <v>28.303036582149723</v>
      </c>
    </row>
    <row r="76" spans="1:7">
      <c r="A76" s="312" t="s">
        <v>433</v>
      </c>
      <c r="B76" s="6">
        <v>0</v>
      </c>
      <c r="C76" s="247">
        <v>0</v>
      </c>
      <c r="D76" s="247">
        <v>746320</v>
      </c>
      <c r="E76" s="205">
        <v>0</v>
      </c>
    </row>
    <row r="77" spans="1:7" ht="13.5" thickBot="1">
      <c r="A77" s="310"/>
      <c r="B77" s="38"/>
      <c r="C77" s="194"/>
      <c r="D77" s="194"/>
      <c r="E77" s="207"/>
    </row>
    <row r="78" spans="1:7" ht="13.5" thickBot="1">
      <c r="A78" s="314" t="s">
        <v>92</v>
      </c>
      <c r="B78" s="65">
        <f>B79</f>
        <v>1700000</v>
      </c>
      <c r="C78" s="65">
        <f>C79</f>
        <v>1961150</v>
      </c>
      <c r="D78" s="65">
        <f>D79</f>
        <v>1961150</v>
      </c>
      <c r="E78" s="209">
        <f>D78/C78*100</f>
        <v>100</v>
      </c>
    </row>
    <row r="79" spans="1:7">
      <c r="A79" s="90" t="s">
        <v>242</v>
      </c>
      <c r="B79" s="147">
        <f>SUM(B80:B81)</f>
        <v>1700000</v>
      </c>
      <c r="C79" s="147">
        <f>SUM(C80:C82)</f>
        <v>1961150</v>
      </c>
      <c r="D79" s="147">
        <f>SUM(D80:D82)</f>
        <v>1961150</v>
      </c>
      <c r="E79" s="212">
        <f>D79/C79*100</f>
        <v>100</v>
      </c>
    </row>
    <row r="80" spans="1:7">
      <c r="A80" s="315" t="s">
        <v>58</v>
      </c>
      <c r="B80" s="6">
        <v>1600000</v>
      </c>
      <c r="C80" s="247">
        <v>1135000</v>
      </c>
      <c r="D80" s="247">
        <v>815840</v>
      </c>
      <c r="E80" s="205">
        <f>D80/C80*100</f>
        <v>71.880176211453744</v>
      </c>
    </row>
    <row r="81" spans="1:7" ht="16.5" customHeight="1">
      <c r="A81" s="315" t="s">
        <v>435</v>
      </c>
      <c r="B81" s="6">
        <v>100000</v>
      </c>
      <c r="C81" s="247">
        <v>100000</v>
      </c>
      <c r="D81" s="247">
        <v>244835</v>
      </c>
      <c r="E81" s="205">
        <f>D81/C81*100</f>
        <v>244.83500000000001</v>
      </c>
    </row>
    <row r="82" spans="1:7" ht="13.15" customHeight="1">
      <c r="A82" s="315" t="s">
        <v>434</v>
      </c>
      <c r="B82" s="6">
        <v>0</v>
      </c>
      <c r="C82" s="247">
        <v>726150</v>
      </c>
      <c r="D82" s="247">
        <v>900475</v>
      </c>
      <c r="E82" s="205">
        <f>D82/C82*100</f>
        <v>124.00674791709703</v>
      </c>
    </row>
    <row r="83" spans="1:7" ht="13.5" thickBot="1">
      <c r="A83" s="310"/>
      <c r="B83" s="6"/>
      <c r="E83" s="207"/>
    </row>
    <row r="84" spans="1:7" ht="13.5" thickBot="1">
      <c r="A84" s="314" t="s">
        <v>299</v>
      </c>
      <c r="B84" s="65">
        <f>B85</f>
        <v>60656365</v>
      </c>
      <c r="C84" s="65">
        <f>C85</f>
        <v>60656365</v>
      </c>
      <c r="D84" s="65">
        <f>D85</f>
        <v>58783708</v>
      </c>
      <c r="E84" s="209">
        <f>D84/C84*100</f>
        <v>96.912678496312793</v>
      </c>
    </row>
    <row r="85" spans="1:7">
      <c r="A85" s="90" t="s">
        <v>311</v>
      </c>
      <c r="B85" s="147">
        <f>SUM(B86:B87)</f>
        <v>60656365</v>
      </c>
      <c r="C85" s="147">
        <f>SUM(C86:C87)</f>
        <v>60656365</v>
      </c>
      <c r="D85" s="147">
        <f>SUM(D86:D87)</f>
        <v>58783708</v>
      </c>
      <c r="E85" s="212">
        <f>D85/C85*100</f>
        <v>96.912678496312793</v>
      </c>
    </row>
    <row r="86" spans="1:7" ht="15.6" customHeight="1">
      <c r="A86" s="309" t="s">
        <v>31</v>
      </c>
      <c r="B86" s="146">
        <v>1872657</v>
      </c>
      <c r="C86" s="247">
        <v>1872657</v>
      </c>
      <c r="D86" s="247">
        <v>0</v>
      </c>
      <c r="E86" s="205">
        <f>D86/C86*100</f>
        <v>0</v>
      </c>
    </row>
    <row r="87" spans="1:7" ht="22.5">
      <c r="A87" s="310" t="s">
        <v>34</v>
      </c>
      <c r="B87" s="38">
        <v>58783708</v>
      </c>
      <c r="C87" s="247">
        <v>58783708</v>
      </c>
      <c r="D87" s="247">
        <v>58783708</v>
      </c>
      <c r="E87" s="205">
        <f>D87/C87*100</f>
        <v>100</v>
      </c>
    </row>
    <row r="88" spans="1:7" ht="13.5" thickBot="1">
      <c r="A88" s="316"/>
      <c r="B88" s="164"/>
      <c r="C88" s="194"/>
      <c r="D88" s="194"/>
      <c r="E88" s="207"/>
    </row>
    <row r="89" spans="1:7" ht="13.5" thickBot="1">
      <c r="A89" s="308" t="s">
        <v>119</v>
      </c>
      <c r="B89" s="64">
        <f>B90+B91</f>
        <v>10000000</v>
      </c>
      <c r="C89" s="64">
        <f>SUM(C90:C92)</f>
        <v>18328597</v>
      </c>
      <c r="D89" s="64">
        <f>D90+D91</f>
        <v>0</v>
      </c>
      <c r="E89" s="209">
        <f>D89/C89*100</f>
        <v>0</v>
      </c>
    </row>
    <row r="90" spans="1:7">
      <c r="A90" s="303" t="s">
        <v>159</v>
      </c>
      <c r="B90" s="165">
        <v>5000000</v>
      </c>
      <c r="C90" s="247">
        <v>8618551</v>
      </c>
      <c r="D90" s="247">
        <v>0</v>
      </c>
      <c r="E90" s="205">
        <f>D90/C90*100</f>
        <v>0</v>
      </c>
    </row>
    <row r="91" spans="1:7">
      <c r="A91" s="303" t="s">
        <v>310</v>
      </c>
      <c r="B91" s="166">
        <v>5000000</v>
      </c>
      <c r="C91" s="247">
        <v>710046</v>
      </c>
      <c r="D91" s="247">
        <v>0</v>
      </c>
      <c r="E91" s="205">
        <f>D91/C91*100</f>
        <v>0</v>
      </c>
    </row>
    <row r="92" spans="1:7">
      <c r="A92" s="303" t="s">
        <v>436</v>
      </c>
      <c r="B92" s="166">
        <v>0</v>
      </c>
      <c r="C92" s="247">
        <v>9000000</v>
      </c>
      <c r="D92" s="247">
        <v>0</v>
      </c>
      <c r="E92" s="205">
        <v>0</v>
      </c>
    </row>
    <row r="93" spans="1:7" ht="13.5" thickBot="1">
      <c r="A93" s="317"/>
      <c r="B93" s="18"/>
      <c r="E93" s="205"/>
    </row>
    <row r="94" spans="1:7" ht="23.25" thickBot="1">
      <c r="A94" s="300" t="s">
        <v>300</v>
      </c>
      <c r="B94" s="49">
        <f>B5+B51+B89</f>
        <v>2327415688</v>
      </c>
      <c r="C94" s="49">
        <f>C5+C51+C89</f>
        <v>2427547392</v>
      </c>
      <c r="D94" s="49">
        <f>D5+D51+D89</f>
        <v>2340162700</v>
      </c>
      <c r="E94" s="213">
        <f>D94/C94*100</f>
        <v>96.400288938210764</v>
      </c>
      <c r="G94" s="371"/>
    </row>
    <row r="95" spans="1:7" ht="13.5" thickBot="1">
      <c r="A95" s="318"/>
      <c r="B95" s="73"/>
      <c r="C95" s="73"/>
      <c r="D95" s="73"/>
      <c r="E95" s="270"/>
    </row>
    <row r="96" spans="1:7" ht="13.5" thickBot="1">
      <c r="A96" s="319" t="s">
        <v>409</v>
      </c>
      <c r="B96" s="271">
        <f>SUM(B97:B98)</f>
        <v>0</v>
      </c>
      <c r="C96" s="271">
        <f>SUM(C97:C98)</f>
        <v>176522602</v>
      </c>
      <c r="D96" s="271">
        <f>SUM(D97:D98)</f>
        <v>164935268</v>
      </c>
      <c r="E96" s="272">
        <f>D96/C96*100</f>
        <v>93.435778835845611</v>
      </c>
    </row>
    <row r="97" spans="1:8">
      <c r="A97" s="189" t="s">
        <v>407</v>
      </c>
      <c r="B97" s="18">
        <v>0</v>
      </c>
      <c r="C97" s="18">
        <v>21057646</v>
      </c>
      <c r="D97" s="18">
        <v>9470312</v>
      </c>
      <c r="E97" s="273">
        <f>D97/C97*100</f>
        <v>44.973270041675121</v>
      </c>
    </row>
    <row r="98" spans="1:8">
      <c r="A98" s="189" t="s">
        <v>408</v>
      </c>
      <c r="B98" s="18">
        <v>0</v>
      </c>
      <c r="C98" s="18">
        <v>155464956</v>
      </c>
      <c r="D98" s="18">
        <v>155464956</v>
      </c>
      <c r="E98" s="273">
        <f>D98/C98*100</f>
        <v>100</v>
      </c>
    </row>
    <row r="99" spans="1:8" ht="13.5" thickBot="1">
      <c r="A99" s="189"/>
      <c r="B99" s="18"/>
      <c r="C99" s="18"/>
      <c r="D99" s="18"/>
      <c r="E99" s="273"/>
    </row>
    <row r="100" spans="1:8" ht="13.5" thickBot="1">
      <c r="A100" s="300" t="s">
        <v>912</v>
      </c>
      <c r="B100" s="40">
        <f>B94+B96</f>
        <v>2327415688</v>
      </c>
      <c r="C100" s="40">
        <f>C94+C96</f>
        <v>2604069994</v>
      </c>
      <c r="D100" s="40">
        <f>D94+D96</f>
        <v>2505097968</v>
      </c>
      <c r="E100" s="214">
        <f>D100/C100*100</f>
        <v>96.199333112088382</v>
      </c>
    </row>
    <row r="101" spans="1:8" ht="13.5" thickBot="1">
      <c r="A101" s="173"/>
      <c r="B101" s="50"/>
      <c r="C101" s="50"/>
      <c r="D101" s="50"/>
      <c r="E101" s="215"/>
    </row>
    <row r="102" spans="1:8" ht="13.5" thickBot="1">
      <c r="A102" s="572" t="s">
        <v>903</v>
      </c>
      <c r="B102" s="65"/>
      <c r="C102" s="573"/>
      <c r="D102" s="574">
        <f>SUM(D103:D107)</f>
        <v>55661442</v>
      </c>
      <c r="E102" s="282">
        <f>SUM(E103:E107)</f>
        <v>0</v>
      </c>
    </row>
    <row r="103" spans="1:8">
      <c r="A103" s="189" t="s">
        <v>4</v>
      </c>
      <c r="B103" s="575">
        <v>0</v>
      </c>
      <c r="C103" s="575">
        <v>0</v>
      </c>
      <c r="D103" s="125">
        <v>49085314</v>
      </c>
      <c r="E103" s="604">
        <v>0</v>
      </c>
    </row>
    <row r="104" spans="1:8">
      <c r="A104" s="331" t="s">
        <v>6</v>
      </c>
      <c r="B104" s="575">
        <v>0</v>
      </c>
      <c r="C104" s="575">
        <v>0</v>
      </c>
      <c r="D104" s="125">
        <v>1563106</v>
      </c>
      <c r="E104" s="604">
        <v>0</v>
      </c>
    </row>
    <row r="105" spans="1:8">
      <c r="A105" s="331" t="s">
        <v>900</v>
      </c>
      <c r="B105" s="575">
        <v>0</v>
      </c>
      <c r="C105" s="575">
        <v>0</v>
      </c>
      <c r="D105" s="125">
        <v>2761538</v>
      </c>
      <c r="E105" s="604">
        <v>0</v>
      </c>
    </row>
    <row r="106" spans="1:8">
      <c r="A106" s="331" t="s">
        <v>901</v>
      </c>
      <c r="B106" s="575">
        <v>0</v>
      </c>
      <c r="C106" s="575">
        <v>0</v>
      </c>
      <c r="D106" s="125">
        <v>2177322</v>
      </c>
      <c r="E106" s="604">
        <v>0</v>
      </c>
    </row>
    <row r="107" spans="1:8">
      <c r="A107" s="331" t="s">
        <v>902</v>
      </c>
      <c r="B107" s="575">
        <v>0</v>
      </c>
      <c r="C107" s="575">
        <v>0</v>
      </c>
      <c r="D107" s="125">
        <v>74162</v>
      </c>
      <c r="E107" s="604">
        <v>0</v>
      </c>
    </row>
    <row r="108" spans="1:8" ht="13.5" thickBot="1">
      <c r="A108" s="173"/>
      <c r="B108" s="50"/>
      <c r="C108" s="50"/>
      <c r="D108" s="50"/>
      <c r="E108" s="215"/>
    </row>
    <row r="109" spans="1:8" ht="23.25" thickBot="1">
      <c r="A109" s="300" t="s">
        <v>911</v>
      </c>
      <c r="B109" s="40">
        <f>B94+B96</f>
        <v>2327415688</v>
      </c>
      <c r="C109" s="40">
        <f>C94+C96</f>
        <v>2604069994</v>
      </c>
      <c r="D109" s="40">
        <f>D94+D96+D102</f>
        <v>2560759410</v>
      </c>
      <c r="E109" s="214">
        <f>D109/C109*100</f>
        <v>98.336811833023248</v>
      </c>
      <c r="H109" s="43"/>
    </row>
    <row r="110" spans="1:8">
      <c r="A110" s="173"/>
      <c r="B110" s="101"/>
      <c r="C110" s="101"/>
      <c r="D110" s="101"/>
      <c r="E110" s="351"/>
      <c r="H110" s="43"/>
    </row>
    <row r="111" spans="1:8">
      <c r="A111" s="173"/>
      <c r="B111" s="101"/>
      <c r="E111" s="205"/>
    </row>
    <row r="112" spans="1:8" ht="26.45" customHeight="1">
      <c r="A112" s="623" t="s">
        <v>149</v>
      </c>
      <c r="B112" s="623"/>
      <c r="C112" s="623"/>
      <c r="D112" s="350"/>
      <c r="E112" s="350"/>
    </row>
    <row r="113" spans="1:5" ht="13.5" thickBot="1">
      <c r="A113" s="320"/>
      <c r="B113" s="60"/>
      <c r="C113" s="194"/>
      <c r="D113" s="194"/>
      <c r="E113" s="207"/>
    </row>
    <row r="114" spans="1:5" ht="34.5" thickBot="1">
      <c r="A114" s="110" t="s">
        <v>322</v>
      </c>
      <c r="B114" s="59">
        <f>B115-B116</f>
        <v>-36484947</v>
      </c>
      <c r="C114" s="59">
        <f>C115-C116</f>
        <v>-34766672</v>
      </c>
      <c r="D114" s="59">
        <f>D115-D116</f>
        <v>-57085334.549999952</v>
      </c>
      <c r="E114" s="209">
        <f>D114/C114*100</f>
        <v>164.19556795657621</v>
      </c>
    </row>
    <row r="115" spans="1:5">
      <c r="A115" s="189" t="s">
        <v>155</v>
      </c>
      <c r="B115" s="50">
        <f>bevételek!B81</f>
        <v>556979167</v>
      </c>
      <c r="C115" s="50">
        <f>bevételek!C81</f>
        <v>644211215</v>
      </c>
      <c r="D115" s="50">
        <f>bevételek!D81</f>
        <v>621404213.45000005</v>
      </c>
      <c r="E115" s="215">
        <f>bevételek!E81</f>
        <v>96.459701256520361</v>
      </c>
    </row>
    <row r="116" spans="1:5">
      <c r="A116" s="189" t="s">
        <v>312</v>
      </c>
      <c r="B116" s="50">
        <f>B5+B89</f>
        <v>593464114</v>
      </c>
      <c r="C116" s="50">
        <f>C5+C89</f>
        <v>678977887</v>
      </c>
      <c r="D116" s="50">
        <f>D5+D89+D102</f>
        <v>678489548</v>
      </c>
      <c r="E116" s="215">
        <f>E5+E89</f>
        <v>94.275149527520114</v>
      </c>
    </row>
    <row r="117" spans="1:5" ht="13.5" thickBot="1">
      <c r="A117" s="189"/>
      <c r="B117" s="73"/>
      <c r="C117" s="194"/>
      <c r="D117" s="194"/>
      <c r="E117" s="207"/>
    </row>
    <row r="118" spans="1:5" ht="24" customHeight="1" thickBot="1">
      <c r="A118" s="63" t="s">
        <v>324</v>
      </c>
      <c r="B118" s="59">
        <f>B119-B120</f>
        <v>-311289105</v>
      </c>
      <c r="C118" s="59">
        <f>C119-C120</f>
        <v>-340994280</v>
      </c>
      <c r="D118" s="59">
        <f>D119-D120</f>
        <v>-326317244</v>
      </c>
      <c r="E118" s="209">
        <f>D118/C118*100</f>
        <v>95.69581167167965</v>
      </c>
    </row>
    <row r="119" spans="1:5">
      <c r="A119" s="189" t="s">
        <v>156</v>
      </c>
      <c r="B119" s="50">
        <f>bevételek!B118</f>
        <v>1422662469</v>
      </c>
      <c r="C119" s="50">
        <f>bevételek!C118</f>
        <v>1407575225</v>
      </c>
      <c r="D119" s="50">
        <f>bevételek!D118</f>
        <v>1391017350</v>
      </c>
      <c r="E119" s="215">
        <v>0</v>
      </c>
    </row>
    <row r="120" spans="1:5">
      <c r="A120" s="189" t="s">
        <v>313</v>
      </c>
      <c r="B120" s="50">
        <f>B51</f>
        <v>1733951574</v>
      </c>
      <c r="C120" s="50">
        <f>C51</f>
        <v>1748569505</v>
      </c>
      <c r="D120" s="50">
        <f>D51</f>
        <v>1717334594</v>
      </c>
      <c r="E120" s="215">
        <f>E51</f>
        <v>98.213687765302765</v>
      </c>
    </row>
    <row r="121" spans="1:5" ht="13.5" thickBot="1">
      <c r="A121" s="189"/>
      <c r="B121" s="73"/>
      <c r="C121" s="194"/>
      <c r="D121" s="194"/>
      <c r="E121" s="207"/>
    </row>
    <row r="122" spans="1:5" ht="34.5" thickBot="1">
      <c r="A122" s="110" t="s">
        <v>323</v>
      </c>
      <c r="B122" s="74">
        <f>B114+B118</f>
        <v>-347774052</v>
      </c>
      <c r="C122" s="74">
        <f>C114+C118</f>
        <v>-375760952</v>
      </c>
      <c r="D122" s="74">
        <f>D114+D118</f>
        <v>-383402578.54999995</v>
      </c>
      <c r="E122" s="269">
        <f>D122/C122*100</f>
        <v>102.03364040604197</v>
      </c>
    </row>
    <row r="123" spans="1:5" ht="13.5" thickBot="1">
      <c r="A123" s="75"/>
      <c r="B123" s="50"/>
      <c r="E123" s="205"/>
    </row>
    <row r="124" spans="1:5" ht="13.5" thickBot="1">
      <c r="A124" s="321" t="s">
        <v>23</v>
      </c>
      <c r="B124" s="48">
        <f>bevételek!B134</f>
        <v>47774052</v>
      </c>
      <c r="C124" s="48">
        <f>bevételek!C134</f>
        <v>57244364</v>
      </c>
      <c r="D124" s="48">
        <f>bevételek!D134</f>
        <v>57244364</v>
      </c>
      <c r="E124" s="216">
        <f>bevételek!E134</f>
        <v>100</v>
      </c>
    </row>
    <row r="125" spans="1:5" ht="13.5" thickBot="1">
      <c r="A125" s="322"/>
      <c r="B125" s="44"/>
      <c r="E125" s="210"/>
    </row>
    <row r="126" spans="1:5" ht="23.25" thickBot="1">
      <c r="A126" s="300" t="s">
        <v>157</v>
      </c>
      <c r="B126" s="48">
        <f>B127-B128</f>
        <v>0</v>
      </c>
      <c r="C126" s="48">
        <f>C127-C128</f>
        <v>-9470312</v>
      </c>
      <c r="D126" s="48">
        <f>D127-D128</f>
        <v>2117022</v>
      </c>
      <c r="E126" s="216">
        <f>E127-E128</f>
        <v>0</v>
      </c>
    </row>
    <row r="127" spans="1:5">
      <c r="A127" s="303" t="s">
        <v>140</v>
      </c>
      <c r="B127" s="167">
        <v>0</v>
      </c>
      <c r="C127" s="6">
        <f>bevételek!C126</f>
        <v>167052290</v>
      </c>
      <c r="D127" s="6">
        <f>bevételek!D126</f>
        <v>167052290</v>
      </c>
      <c r="E127" s="205"/>
    </row>
    <row r="128" spans="1:5">
      <c r="A128" s="303" t="s">
        <v>141</v>
      </c>
      <c r="B128" s="38">
        <v>0</v>
      </c>
      <c r="C128" s="6">
        <f>C96</f>
        <v>176522602</v>
      </c>
      <c r="D128" s="6">
        <f>D96</f>
        <v>164935268</v>
      </c>
      <c r="E128" s="205"/>
    </row>
    <row r="129" spans="1:5" ht="13.5" thickBot="1">
      <c r="A129" s="322"/>
      <c r="B129" s="51"/>
      <c r="E129" s="205"/>
    </row>
    <row r="130" spans="1:5" ht="23.25" thickBot="1">
      <c r="A130" s="300" t="s">
        <v>160</v>
      </c>
      <c r="B130" s="48">
        <f>B131-B132</f>
        <v>300000000</v>
      </c>
      <c r="C130" s="48">
        <f>C131-C132</f>
        <v>327986900</v>
      </c>
      <c r="D130" s="48">
        <f>D131-D132</f>
        <v>324041193</v>
      </c>
      <c r="E130" s="216">
        <f>D130/C130*100</f>
        <v>98.79699250183468</v>
      </c>
    </row>
    <row r="131" spans="1:5">
      <c r="A131" s="303" t="s">
        <v>142</v>
      </c>
      <c r="B131" s="167">
        <f>bevételek!B125</f>
        <v>300000000</v>
      </c>
      <c r="C131" s="167">
        <f>bevételek!C125</f>
        <v>327986900</v>
      </c>
      <c r="D131" s="167">
        <f>bevételek!D125</f>
        <v>324041193</v>
      </c>
      <c r="E131" s="205">
        <f>D131/C131*100</f>
        <v>98.79699250183468</v>
      </c>
    </row>
    <row r="132" spans="1:5">
      <c r="A132" s="303" t="s">
        <v>143</v>
      </c>
      <c r="B132" s="38">
        <v>0</v>
      </c>
      <c r="C132" s="17">
        <v>0</v>
      </c>
      <c r="D132" s="17">
        <v>0</v>
      </c>
      <c r="E132" s="205">
        <v>0</v>
      </c>
    </row>
    <row r="133" spans="1:5" ht="13.5" thickBot="1">
      <c r="A133" s="323"/>
      <c r="B133" s="52"/>
      <c r="C133" s="194"/>
      <c r="D133" s="194"/>
      <c r="E133" s="207"/>
    </row>
    <row r="134" spans="1:5" ht="34.5" thickBot="1">
      <c r="A134" s="178" t="s">
        <v>21</v>
      </c>
      <c r="B134" s="100">
        <f>B124+B126+B130</f>
        <v>347774052</v>
      </c>
      <c r="C134" s="100">
        <f>C124+C126+C130</f>
        <v>375760952</v>
      </c>
      <c r="D134" s="100">
        <f>D124+D126+D130</f>
        <v>383402579</v>
      </c>
      <c r="E134" s="209">
        <f>D134/C134*100</f>
        <v>102.03364052579897</v>
      </c>
    </row>
    <row r="135" spans="1:5">
      <c r="A135" s="324"/>
      <c r="B135" s="168"/>
    </row>
    <row r="136" spans="1:5">
      <c r="A136" s="324"/>
      <c r="B136" s="247"/>
      <c r="C136" s="247"/>
      <c r="D136" s="247"/>
    </row>
    <row r="137" spans="1:5">
      <c r="A137" s="324"/>
      <c r="B137" s="169"/>
      <c r="C137" s="169"/>
      <c r="D137" s="169"/>
    </row>
    <row r="138" spans="1:5">
      <c r="A138" s="324"/>
      <c r="B138" s="169"/>
    </row>
    <row r="139" spans="1:5">
      <c r="A139" s="324"/>
      <c r="B139" s="168"/>
    </row>
    <row r="140" spans="1:5">
      <c r="A140" s="324"/>
      <c r="B140" s="168"/>
    </row>
    <row r="141" spans="1:5">
      <c r="A141" s="324"/>
      <c r="B141" s="168"/>
    </row>
    <row r="142" spans="1:5">
      <c r="A142" s="324"/>
      <c r="B142" s="168"/>
    </row>
    <row r="143" spans="1:5">
      <c r="A143" s="324"/>
      <c r="B143" s="168"/>
    </row>
    <row r="144" spans="1:5">
      <c r="A144" s="324"/>
      <c r="B144" s="168"/>
    </row>
    <row r="145" spans="1:2">
      <c r="A145" s="324"/>
      <c r="B145" s="168"/>
    </row>
    <row r="146" spans="1:2">
      <c r="A146" s="324"/>
      <c r="B146" s="168"/>
    </row>
    <row r="147" spans="1:2">
      <c r="A147" s="324"/>
      <c r="B147" s="168"/>
    </row>
    <row r="148" spans="1:2">
      <c r="A148" s="324"/>
      <c r="B148" s="168"/>
    </row>
    <row r="149" spans="1:2">
      <c r="A149" s="324"/>
      <c r="B149" s="168"/>
    </row>
    <row r="150" spans="1:2">
      <c r="A150" s="324"/>
      <c r="B150" s="168"/>
    </row>
    <row r="151" spans="1:2">
      <c r="A151" s="324"/>
      <c r="B151" s="168"/>
    </row>
    <row r="152" spans="1:2">
      <c r="A152" s="324"/>
      <c r="B152" s="168"/>
    </row>
    <row r="153" spans="1:2">
      <c r="A153" s="324"/>
      <c r="B153" s="168"/>
    </row>
    <row r="154" spans="1:2">
      <c r="A154" s="324"/>
      <c r="B154" s="168"/>
    </row>
    <row r="155" spans="1:2">
      <c r="A155" s="324"/>
      <c r="B155" s="168"/>
    </row>
    <row r="156" spans="1:2">
      <c r="A156" s="324"/>
      <c r="B156" s="168"/>
    </row>
    <row r="157" spans="1:2">
      <c r="A157" s="324"/>
      <c r="B157" s="168"/>
    </row>
    <row r="158" spans="1:2">
      <c r="A158" s="324"/>
      <c r="B158" s="168"/>
    </row>
    <row r="159" spans="1:2">
      <c r="A159" s="324"/>
      <c r="B159" s="168"/>
    </row>
    <row r="160" spans="1:2">
      <c r="A160" s="324"/>
      <c r="B160" s="168"/>
    </row>
    <row r="161" spans="1:2">
      <c r="A161" s="324"/>
      <c r="B161" s="168"/>
    </row>
    <row r="162" spans="1:2">
      <c r="A162" s="324"/>
      <c r="B162" s="168"/>
    </row>
    <row r="163" spans="1:2">
      <c r="A163" s="324"/>
      <c r="B163" s="168"/>
    </row>
    <row r="164" spans="1:2">
      <c r="A164" s="324"/>
      <c r="B164" s="168"/>
    </row>
    <row r="165" spans="1:2">
      <c r="A165" s="324"/>
      <c r="B165" s="168"/>
    </row>
    <row r="166" spans="1:2">
      <c r="A166" s="324"/>
      <c r="B166" s="168"/>
    </row>
    <row r="167" spans="1:2">
      <c r="A167" s="324"/>
      <c r="B167" s="168"/>
    </row>
    <row r="168" spans="1:2">
      <c r="A168" s="324"/>
      <c r="B168" s="168"/>
    </row>
    <row r="169" spans="1:2">
      <c r="A169" s="324"/>
      <c r="B169" s="168"/>
    </row>
    <row r="170" spans="1:2">
      <c r="A170" s="324"/>
      <c r="B170" s="168"/>
    </row>
    <row r="171" spans="1:2">
      <c r="A171" s="324"/>
      <c r="B171" s="168"/>
    </row>
    <row r="172" spans="1:2">
      <c r="A172" s="324"/>
      <c r="B172" s="168"/>
    </row>
    <row r="173" spans="1:2">
      <c r="A173" s="324"/>
      <c r="B173" s="168"/>
    </row>
    <row r="174" spans="1:2">
      <c r="A174" s="324"/>
      <c r="B174" s="168"/>
    </row>
    <row r="175" spans="1:2">
      <c r="A175" s="324"/>
      <c r="B175" s="168"/>
    </row>
    <row r="176" spans="1:2">
      <c r="A176" s="324"/>
      <c r="B176" s="168"/>
    </row>
    <row r="177" spans="1:2">
      <c r="A177" s="324"/>
      <c r="B177" s="168"/>
    </row>
    <row r="178" spans="1:2">
      <c r="A178" s="324"/>
      <c r="B178" s="168"/>
    </row>
    <row r="179" spans="1:2">
      <c r="A179" s="324"/>
      <c r="B179" s="168"/>
    </row>
    <row r="180" spans="1:2">
      <c r="A180" s="324"/>
      <c r="B180" s="168"/>
    </row>
    <row r="181" spans="1:2">
      <c r="A181" s="324"/>
      <c r="B181" s="168"/>
    </row>
    <row r="182" spans="1:2">
      <c r="A182" s="324"/>
      <c r="B182" s="168"/>
    </row>
    <row r="183" spans="1:2">
      <c r="A183" s="324"/>
      <c r="B183" s="168"/>
    </row>
    <row r="184" spans="1:2">
      <c r="A184" s="324"/>
      <c r="B184" s="168"/>
    </row>
    <row r="185" spans="1:2">
      <c r="A185" s="324"/>
      <c r="B185" s="168"/>
    </row>
    <row r="186" spans="1:2">
      <c r="A186" s="324"/>
      <c r="B186" s="168"/>
    </row>
    <row r="187" spans="1:2">
      <c r="A187" s="324"/>
      <c r="B187" s="168"/>
    </row>
    <row r="188" spans="1:2">
      <c r="A188" s="324"/>
      <c r="B188" s="168"/>
    </row>
    <row r="189" spans="1:2">
      <c r="A189" s="324"/>
      <c r="B189" s="168"/>
    </row>
    <row r="190" spans="1:2">
      <c r="A190" s="324"/>
      <c r="B190" s="168"/>
    </row>
    <row r="191" spans="1:2">
      <c r="A191" s="324"/>
      <c r="B191" s="168"/>
    </row>
    <row r="192" spans="1:2">
      <c r="A192" s="324"/>
      <c r="B192" s="168"/>
    </row>
    <row r="193" spans="1:2">
      <c r="A193" s="324"/>
      <c r="B193" s="168"/>
    </row>
    <row r="194" spans="1:2">
      <c r="A194" s="324"/>
      <c r="B194" s="168"/>
    </row>
    <row r="195" spans="1:2">
      <c r="A195" s="324"/>
      <c r="B195" s="168"/>
    </row>
    <row r="196" spans="1:2">
      <c r="A196" s="324"/>
      <c r="B196" s="168"/>
    </row>
    <row r="197" spans="1:2">
      <c r="A197" s="324"/>
      <c r="B197" s="168"/>
    </row>
    <row r="198" spans="1:2">
      <c r="A198" s="324"/>
      <c r="B198" s="168"/>
    </row>
    <row r="199" spans="1:2">
      <c r="A199" s="324"/>
      <c r="B199" s="168"/>
    </row>
    <row r="200" spans="1:2">
      <c r="A200" s="324"/>
      <c r="B200" s="168"/>
    </row>
    <row r="201" spans="1:2">
      <c r="A201" s="324"/>
      <c r="B201" s="168"/>
    </row>
    <row r="202" spans="1:2">
      <c r="A202" s="324"/>
      <c r="B202" s="168"/>
    </row>
    <row r="203" spans="1:2">
      <c r="A203" s="324"/>
      <c r="B203" s="168"/>
    </row>
    <row r="204" spans="1:2">
      <c r="A204" s="324"/>
      <c r="B204" s="168"/>
    </row>
    <row r="205" spans="1:2">
      <c r="A205" s="324"/>
      <c r="B205" s="168"/>
    </row>
    <row r="206" spans="1:2">
      <c r="A206" s="324"/>
      <c r="B206" s="168"/>
    </row>
    <row r="207" spans="1:2">
      <c r="A207" s="324"/>
      <c r="B207" s="168"/>
    </row>
    <row r="208" spans="1:2">
      <c r="A208" s="324"/>
      <c r="B208" s="168"/>
    </row>
    <row r="209" spans="1:2">
      <c r="A209" s="324"/>
      <c r="B209" s="168"/>
    </row>
    <row r="210" spans="1:2">
      <c r="A210" s="324"/>
      <c r="B210" s="168"/>
    </row>
    <row r="211" spans="1:2">
      <c r="A211" s="324"/>
      <c r="B211" s="168"/>
    </row>
    <row r="212" spans="1:2">
      <c r="A212" s="324"/>
      <c r="B212" s="168"/>
    </row>
    <row r="213" spans="1:2">
      <c r="A213" s="324"/>
      <c r="B213" s="168"/>
    </row>
    <row r="214" spans="1:2">
      <c r="A214" s="324"/>
      <c r="B214" s="168"/>
    </row>
    <row r="215" spans="1:2">
      <c r="A215" s="324"/>
      <c r="B215" s="168"/>
    </row>
    <row r="216" spans="1:2">
      <c r="A216" s="324"/>
      <c r="B216" s="168"/>
    </row>
    <row r="217" spans="1:2">
      <c r="A217" s="324"/>
      <c r="B217" s="168"/>
    </row>
    <row r="218" spans="1:2">
      <c r="A218" s="324"/>
      <c r="B218" s="168"/>
    </row>
    <row r="219" spans="1:2">
      <c r="A219" s="324"/>
      <c r="B219" s="168"/>
    </row>
    <row r="220" spans="1:2">
      <c r="A220" s="324"/>
      <c r="B220" s="168"/>
    </row>
    <row r="221" spans="1:2">
      <c r="A221" s="324"/>
      <c r="B221" s="168"/>
    </row>
    <row r="222" spans="1:2">
      <c r="A222" s="324"/>
      <c r="B222" s="168"/>
    </row>
    <row r="223" spans="1:2">
      <c r="A223" s="324"/>
      <c r="B223" s="168"/>
    </row>
    <row r="224" spans="1:2">
      <c r="A224" s="324"/>
      <c r="B224" s="168"/>
    </row>
    <row r="225" spans="1:2">
      <c r="A225" s="324"/>
      <c r="B225" s="168"/>
    </row>
    <row r="226" spans="1:2">
      <c r="A226" s="324"/>
      <c r="B226" s="168"/>
    </row>
    <row r="227" spans="1:2">
      <c r="A227" s="324"/>
      <c r="B227" s="168"/>
    </row>
    <row r="228" spans="1:2">
      <c r="A228" s="324"/>
      <c r="B228" s="168"/>
    </row>
    <row r="229" spans="1:2">
      <c r="A229" s="324"/>
      <c r="B229" s="168"/>
    </row>
    <row r="230" spans="1:2">
      <c r="A230" s="324"/>
      <c r="B230" s="168"/>
    </row>
    <row r="231" spans="1:2">
      <c r="A231" s="324"/>
      <c r="B231" s="168"/>
    </row>
    <row r="232" spans="1:2">
      <c r="A232" s="324"/>
      <c r="B232" s="168"/>
    </row>
    <row r="233" spans="1:2">
      <c r="A233" s="324"/>
      <c r="B233" s="168"/>
    </row>
    <row r="234" spans="1:2">
      <c r="A234" s="324"/>
      <c r="B234" s="168"/>
    </row>
    <row r="235" spans="1:2">
      <c r="A235" s="324"/>
      <c r="B235" s="168"/>
    </row>
    <row r="236" spans="1:2">
      <c r="A236" s="324"/>
      <c r="B236" s="168"/>
    </row>
    <row r="237" spans="1:2">
      <c r="A237" s="324"/>
      <c r="B237" s="168"/>
    </row>
    <row r="238" spans="1:2">
      <c r="A238" s="324"/>
      <c r="B238" s="168"/>
    </row>
    <row r="239" spans="1:2">
      <c r="A239" s="324"/>
      <c r="B239" s="168"/>
    </row>
    <row r="240" spans="1:2">
      <c r="A240" s="324"/>
      <c r="B240" s="168"/>
    </row>
    <row r="241" spans="1:2">
      <c r="A241" s="324"/>
      <c r="B241" s="168"/>
    </row>
    <row r="242" spans="1:2">
      <c r="A242" s="324"/>
      <c r="B242" s="168"/>
    </row>
    <row r="243" spans="1:2">
      <c r="A243" s="324"/>
      <c r="B243" s="168"/>
    </row>
    <row r="244" spans="1:2">
      <c r="A244" s="324"/>
      <c r="B244" s="168"/>
    </row>
    <row r="245" spans="1:2">
      <c r="A245" s="324"/>
      <c r="B245" s="168"/>
    </row>
    <row r="246" spans="1:2">
      <c r="A246" s="324"/>
      <c r="B246" s="168"/>
    </row>
    <row r="247" spans="1:2">
      <c r="A247" s="324"/>
      <c r="B247" s="168"/>
    </row>
    <row r="248" spans="1:2">
      <c r="A248" s="324"/>
      <c r="B248" s="168"/>
    </row>
    <row r="249" spans="1:2">
      <c r="A249" s="324"/>
      <c r="B249" s="168"/>
    </row>
    <row r="250" spans="1:2">
      <c r="A250" s="324"/>
      <c r="B250" s="168"/>
    </row>
    <row r="251" spans="1:2">
      <c r="A251" s="324"/>
      <c r="B251" s="168"/>
    </row>
    <row r="252" spans="1:2">
      <c r="A252" s="324"/>
      <c r="B252" s="168"/>
    </row>
    <row r="253" spans="1:2">
      <c r="A253" s="324"/>
      <c r="B253" s="168"/>
    </row>
    <row r="254" spans="1:2">
      <c r="A254" s="324"/>
      <c r="B254" s="168"/>
    </row>
    <row r="255" spans="1:2">
      <c r="A255" s="324"/>
      <c r="B255" s="168"/>
    </row>
    <row r="256" spans="1:2">
      <c r="A256" s="324"/>
      <c r="B256" s="168"/>
    </row>
    <row r="257" spans="1:2">
      <c r="A257" s="324"/>
      <c r="B257" s="168"/>
    </row>
    <row r="258" spans="1:2">
      <c r="A258" s="324"/>
      <c r="B258" s="168"/>
    </row>
    <row r="259" spans="1:2">
      <c r="A259" s="324"/>
      <c r="B259" s="168"/>
    </row>
    <row r="260" spans="1:2">
      <c r="A260" s="324"/>
      <c r="B260" s="168"/>
    </row>
    <row r="261" spans="1:2">
      <c r="A261" s="324"/>
      <c r="B261" s="168"/>
    </row>
    <row r="262" spans="1:2">
      <c r="A262" s="324"/>
      <c r="B262" s="168"/>
    </row>
    <row r="263" spans="1:2">
      <c r="A263" s="324"/>
      <c r="B263" s="168"/>
    </row>
    <row r="264" spans="1:2">
      <c r="A264" s="324"/>
      <c r="B264" s="168"/>
    </row>
    <row r="265" spans="1:2">
      <c r="A265" s="324"/>
      <c r="B265" s="168"/>
    </row>
    <row r="266" spans="1:2">
      <c r="A266" s="324"/>
      <c r="B266" s="168"/>
    </row>
    <row r="267" spans="1:2">
      <c r="A267" s="324"/>
      <c r="B267" s="168"/>
    </row>
    <row r="268" spans="1:2">
      <c r="A268" s="324"/>
      <c r="B268" s="168"/>
    </row>
    <row r="269" spans="1:2">
      <c r="A269" s="324"/>
      <c r="B269" s="168"/>
    </row>
    <row r="270" spans="1:2">
      <c r="A270" s="324"/>
      <c r="B270" s="168"/>
    </row>
    <row r="271" spans="1:2">
      <c r="A271" s="324"/>
      <c r="B271" s="168"/>
    </row>
    <row r="272" spans="1:2">
      <c r="A272" s="324"/>
      <c r="B272" s="168"/>
    </row>
    <row r="273" spans="1:2">
      <c r="A273" s="324"/>
      <c r="B273" s="168"/>
    </row>
    <row r="274" spans="1:2">
      <c r="A274" s="324"/>
      <c r="B274" s="168"/>
    </row>
    <row r="275" spans="1:2">
      <c r="A275" s="168"/>
      <c r="B275" s="168"/>
    </row>
    <row r="276" spans="1:2">
      <c r="A276" s="168"/>
      <c r="B276" s="168"/>
    </row>
    <row r="277" spans="1:2">
      <c r="A277" s="168"/>
      <c r="B277" s="168"/>
    </row>
    <row r="278" spans="1:2">
      <c r="A278" s="168"/>
      <c r="B278" s="168"/>
    </row>
    <row r="279" spans="1:2">
      <c r="A279" s="168"/>
      <c r="B279" s="168"/>
    </row>
    <row r="280" spans="1:2">
      <c r="A280" s="168"/>
      <c r="B280" s="168"/>
    </row>
    <row r="281" spans="1:2">
      <c r="A281" s="168"/>
      <c r="B281" s="168"/>
    </row>
    <row r="282" spans="1:2">
      <c r="A282" s="168"/>
      <c r="B282" s="168"/>
    </row>
    <row r="283" spans="1:2">
      <c r="A283" s="168"/>
      <c r="B283" s="168"/>
    </row>
    <row r="284" spans="1:2">
      <c r="A284" s="168"/>
      <c r="B284" s="168"/>
    </row>
    <row r="285" spans="1:2">
      <c r="A285" s="168"/>
      <c r="B285" s="168"/>
    </row>
    <row r="286" spans="1:2">
      <c r="A286" s="168"/>
      <c r="B286" s="168"/>
    </row>
    <row r="287" spans="1:2">
      <c r="A287" s="168"/>
      <c r="B287" s="168"/>
    </row>
    <row r="288" spans="1:2">
      <c r="A288" s="168"/>
      <c r="B288" s="168"/>
    </row>
    <row r="289" spans="1:2">
      <c r="A289" s="168"/>
      <c r="B289" s="168"/>
    </row>
    <row r="290" spans="1:2">
      <c r="A290" s="168"/>
      <c r="B290" s="168"/>
    </row>
    <row r="291" spans="1:2">
      <c r="A291" s="168"/>
      <c r="B291" s="168"/>
    </row>
    <row r="292" spans="1:2">
      <c r="A292" s="168"/>
      <c r="B292" s="168"/>
    </row>
    <row r="293" spans="1:2">
      <c r="A293" s="168"/>
      <c r="B293" s="168"/>
    </row>
    <row r="294" spans="1:2">
      <c r="A294" s="168"/>
      <c r="B294" s="168"/>
    </row>
    <row r="295" spans="1:2">
      <c r="A295" s="168"/>
      <c r="B295" s="168"/>
    </row>
    <row r="296" spans="1:2">
      <c r="A296" s="168"/>
      <c r="B296" s="168"/>
    </row>
    <row r="297" spans="1:2">
      <c r="A297" s="168"/>
      <c r="B297" s="168"/>
    </row>
    <row r="298" spans="1:2">
      <c r="A298" s="168"/>
      <c r="B298" s="168"/>
    </row>
    <row r="299" spans="1:2">
      <c r="A299" s="168"/>
      <c r="B299" s="168"/>
    </row>
    <row r="300" spans="1:2">
      <c r="A300" s="168"/>
      <c r="B300" s="168"/>
    </row>
    <row r="301" spans="1:2">
      <c r="A301" s="168"/>
      <c r="B301" s="168"/>
    </row>
    <row r="302" spans="1:2">
      <c r="A302" s="168"/>
      <c r="B302" s="168"/>
    </row>
    <row r="303" spans="1:2">
      <c r="A303" s="168"/>
      <c r="B303" s="168"/>
    </row>
    <row r="304" spans="1:2">
      <c r="A304" s="168"/>
      <c r="B304" s="168"/>
    </row>
    <row r="305" spans="1:2">
      <c r="A305" s="168"/>
      <c r="B305" s="168"/>
    </row>
    <row r="306" spans="1:2">
      <c r="A306" s="168"/>
      <c r="B306" s="168"/>
    </row>
    <row r="307" spans="1:2">
      <c r="A307" s="168"/>
      <c r="B307" s="168"/>
    </row>
    <row r="308" spans="1:2">
      <c r="A308" s="168"/>
      <c r="B308" s="168"/>
    </row>
    <row r="309" spans="1:2">
      <c r="A309" s="168"/>
      <c r="B309" s="168"/>
    </row>
    <row r="310" spans="1:2">
      <c r="A310" s="168"/>
      <c r="B310" s="168"/>
    </row>
    <row r="311" spans="1:2">
      <c r="A311" s="168"/>
      <c r="B311" s="168"/>
    </row>
    <row r="312" spans="1:2">
      <c r="A312" s="168"/>
      <c r="B312" s="168"/>
    </row>
    <row r="313" spans="1:2">
      <c r="A313" s="168"/>
      <c r="B313" s="168"/>
    </row>
    <row r="314" spans="1:2">
      <c r="A314" s="168"/>
      <c r="B314" s="168"/>
    </row>
    <row r="315" spans="1:2">
      <c r="A315" s="168"/>
      <c r="B315" s="168"/>
    </row>
    <row r="316" spans="1:2">
      <c r="A316" s="168"/>
      <c r="B316" s="168"/>
    </row>
    <row r="317" spans="1:2">
      <c r="A317" s="168"/>
      <c r="B317" s="168"/>
    </row>
    <row r="318" spans="1:2">
      <c r="A318" s="168"/>
      <c r="B318" s="168"/>
    </row>
    <row r="319" spans="1:2">
      <c r="A319" s="168"/>
      <c r="B319" s="168"/>
    </row>
    <row r="320" spans="1:2">
      <c r="A320" s="168"/>
      <c r="B320" s="168"/>
    </row>
    <row r="321" spans="1:2">
      <c r="A321" s="168"/>
      <c r="B321" s="168"/>
    </row>
    <row r="322" spans="1:2">
      <c r="A322" s="168"/>
      <c r="B322" s="168"/>
    </row>
    <row r="323" spans="1:2">
      <c r="A323" s="168"/>
      <c r="B323" s="168"/>
    </row>
    <row r="324" spans="1:2">
      <c r="A324" s="168"/>
      <c r="B324" s="168"/>
    </row>
    <row r="325" spans="1:2">
      <c r="A325" s="168"/>
      <c r="B325" s="168"/>
    </row>
    <row r="326" spans="1:2">
      <c r="A326" s="168"/>
      <c r="B326" s="168"/>
    </row>
    <row r="327" spans="1:2">
      <c r="A327" s="168"/>
      <c r="B327" s="168"/>
    </row>
    <row r="328" spans="1:2">
      <c r="A328" s="168"/>
      <c r="B328" s="168"/>
    </row>
    <row r="329" spans="1:2">
      <c r="A329" s="168"/>
      <c r="B329" s="168"/>
    </row>
    <row r="330" spans="1:2">
      <c r="A330" s="168"/>
      <c r="B330" s="168"/>
    </row>
    <row r="331" spans="1:2">
      <c r="A331" s="168"/>
      <c r="B331" s="168"/>
    </row>
    <row r="332" spans="1:2">
      <c r="A332" s="168"/>
      <c r="B332" s="168"/>
    </row>
    <row r="333" spans="1:2">
      <c r="A333" s="168"/>
      <c r="B333" s="168"/>
    </row>
    <row r="334" spans="1:2">
      <c r="A334" s="168"/>
      <c r="B334" s="168"/>
    </row>
    <row r="335" spans="1:2">
      <c r="A335" s="168"/>
      <c r="B335" s="168"/>
    </row>
    <row r="336" spans="1:2">
      <c r="A336" s="168"/>
      <c r="B336" s="168"/>
    </row>
    <row r="337" spans="1:2">
      <c r="A337" s="168"/>
      <c r="B337" s="168"/>
    </row>
    <row r="338" spans="1:2">
      <c r="A338" s="168"/>
      <c r="B338" s="168"/>
    </row>
    <row r="339" spans="1:2">
      <c r="A339" s="168"/>
      <c r="B339" s="168"/>
    </row>
    <row r="340" spans="1:2">
      <c r="A340" s="168"/>
      <c r="B340" s="168"/>
    </row>
    <row r="341" spans="1:2">
      <c r="A341" s="168"/>
      <c r="B341" s="168"/>
    </row>
    <row r="342" spans="1:2">
      <c r="A342" s="168"/>
      <c r="B342" s="168"/>
    </row>
    <row r="343" spans="1:2">
      <c r="A343" s="168"/>
      <c r="B343" s="168"/>
    </row>
    <row r="344" spans="1:2">
      <c r="A344" s="168"/>
      <c r="B344" s="168"/>
    </row>
    <row r="345" spans="1:2">
      <c r="A345" s="168"/>
      <c r="B345" s="168"/>
    </row>
    <row r="346" spans="1:2">
      <c r="A346" s="168"/>
      <c r="B346" s="168"/>
    </row>
    <row r="347" spans="1:2">
      <c r="A347" s="168"/>
      <c r="B347" s="168"/>
    </row>
    <row r="348" spans="1:2">
      <c r="A348" s="168"/>
      <c r="B348" s="168"/>
    </row>
    <row r="349" spans="1:2">
      <c r="A349" s="168"/>
      <c r="B349" s="168"/>
    </row>
    <row r="350" spans="1:2">
      <c r="A350" s="168"/>
      <c r="B350" s="168"/>
    </row>
    <row r="351" spans="1:2">
      <c r="A351" s="168"/>
      <c r="B351" s="168"/>
    </row>
    <row r="352" spans="1:2">
      <c r="A352" s="168"/>
      <c r="B352" s="168"/>
    </row>
    <row r="353" spans="1:2">
      <c r="A353" s="168"/>
      <c r="B353" s="168"/>
    </row>
    <row r="354" spans="1:2">
      <c r="A354" s="168"/>
      <c r="B354" s="168"/>
    </row>
    <row r="355" spans="1:2">
      <c r="A355" s="168"/>
      <c r="B355" s="168"/>
    </row>
    <row r="356" spans="1:2">
      <c r="A356" s="168"/>
      <c r="B356" s="168"/>
    </row>
    <row r="357" spans="1:2">
      <c r="A357" s="168"/>
      <c r="B357" s="168"/>
    </row>
    <row r="358" spans="1:2">
      <c r="A358" s="168"/>
      <c r="B358" s="168"/>
    </row>
    <row r="359" spans="1:2">
      <c r="A359" s="168"/>
      <c r="B359" s="168"/>
    </row>
    <row r="360" spans="1:2">
      <c r="A360" s="168"/>
      <c r="B360" s="168"/>
    </row>
    <row r="361" spans="1:2">
      <c r="A361" s="168"/>
      <c r="B361" s="168"/>
    </row>
    <row r="362" spans="1:2">
      <c r="A362" s="168"/>
      <c r="B362" s="168"/>
    </row>
    <row r="363" spans="1:2">
      <c r="A363" s="168"/>
      <c r="B363" s="168"/>
    </row>
    <row r="364" spans="1:2">
      <c r="A364" s="168"/>
      <c r="B364" s="168"/>
    </row>
    <row r="365" spans="1:2">
      <c r="A365" s="168"/>
      <c r="B365" s="168"/>
    </row>
    <row r="366" spans="1:2">
      <c r="A366" s="168"/>
      <c r="B366" s="168"/>
    </row>
  </sheetData>
  <mergeCells count="2">
    <mergeCell ref="A112:C112"/>
    <mergeCell ref="B3:C3"/>
  </mergeCells>
  <phoneticPr fontId="4" type="noConversion"/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Header>&amp;L&amp;"Times New Roman,Normál"Nagyszénás Nagyközség
Önkormányzata&amp;C&amp;"Times New Roman,Normál"2015. évi költségvetés kiadások&amp;R&amp;9 &amp;"Times New Roman,Normál"&amp;10 2. melléklet
adatok Ft-ban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4"/>
  <dimension ref="A1:I137"/>
  <sheetViews>
    <sheetView workbookViewId="0">
      <selection activeCell="D78" sqref="D78"/>
    </sheetView>
  </sheetViews>
  <sheetFormatPr defaultRowHeight="12.75"/>
  <cols>
    <col min="1" max="1" width="46.85546875" style="19" customWidth="1"/>
    <col min="2" max="2" width="14.140625" style="25" customWidth="1"/>
    <col min="3" max="3" width="11.28515625" style="230" bestFit="1" customWidth="1"/>
    <col min="4" max="4" width="12" style="230" customWidth="1"/>
    <col min="5" max="5" width="9.140625" style="1" customWidth="1"/>
    <col min="6" max="6" width="11.7109375" style="1" customWidth="1"/>
    <col min="7" max="7" width="10.140625" style="1" customWidth="1"/>
    <col min="8" max="8" width="9.140625" style="1" customWidth="1"/>
    <col min="9" max="9" width="10.140625" style="1" customWidth="1"/>
    <col min="10" max="13" width="9.140625" style="1" customWidth="1"/>
    <col min="14" max="16384" width="9.140625" style="1"/>
  </cols>
  <sheetData>
    <row r="1" spans="1:9">
      <c r="A1" s="597" t="s">
        <v>864</v>
      </c>
      <c r="B1" s="597"/>
      <c r="C1" s="597"/>
      <c r="D1" s="626" t="s">
        <v>332</v>
      </c>
      <c r="E1" s="626"/>
      <c r="F1" s="4"/>
      <c r="G1" s="4"/>
    </row>
    <row r="2" spans="1:9">
      <c r="A2" s="598" t="s">
        <v>604</v>
      </c>
      <c r="B2" s="599"/>
      <c r="C2" s="599"/>
      <c r="D2" s="599"/>
      <c r="E2" s="599"/>
      <c r="F2" s="4"/>
      <c r="G2" s="4"/>
    </row>
    <row r="3" spans="1:9">
      <c r="A3" s="21"/>
      <c r="B3" s="22"/>
      <c r="E3" s="4"/>
      <c r="F3" s="4"/>
      <c r="G3" s="4"/>
    </row>
    <row r="4" spans="1:9">
      <c r="A4" s="624" t="s">
        <v>61</v>
      </c>
      <c r="B4" s="624"/>
      <c r="C4" s="624"/>
      <c r="D4" s="624"/>
      <c r="E4" s="4"/>
      <c r="F4" s="4"/>
      <c r="G4" s="4"/>
    </row>
    <row r="5" spans="1:9">
      <c r="A5" s="299"/>
      <c r="B5" s="299"/>
      <c r="C5" s="299"/>
      <c r="D5" s="299"/>
      <c r="E5" s="4"/>
      <c r="F5" s="4"/>
      <c r="G5" s="4"/>
    </row>
    <row r="6" spans="1:9">
      <c r="A6" s="21"/>
      <c r="B6" s="625" t="s">
        <v>166</v>
      </c>
      <c r="C6" s="625"/>
      <c r="D6" s="625"/>
      <c r="E6" s="625"/>
      <c r="F6" s="4"/>
      <c r="G6" s="4"/>
    </row>
    <row r="7" spans="1:9">
      <c r="A7" s="21"/>
      <c r="B7" s="580"/>
      <c r="C7" s="580"/>
      <c r="D7" s="580"/>
      <c r="E7" s="580"/>
      <c r="F7" s="4"/>
      <c r="G7" s="4"/>
    </row>
    <row r="8" spans="1:9">
      <c r="A8" s="21"/>
      <c r="B8" s="622" t="s">
        <v>909</v>
      </c>
      <c r="C8" s="622"/>
      <c r="D8" s="17"/>
      <c r="E8" s="193"/>
      <c r="F8" s="4"/>
      <c r="G8" s="4"/>
    </row>
    <row r="9" spans="1:9" ht="13.5" thickBot="1">
      <c r="A9" s="62"/>
      <c r="B9" s="576" t="s">
        <v>905</v>
      </c>
      <c r="C9" s="579" t="s">
        <v>906</v>
      </c>
      <c r="D9" s="579" t="s">
        <v>907</v>
      </c>
      <c r="E9" s="579" t="s">
        <v>908</v>
      </c>
      <c r="F9" s="4"/>
      <c r="G9" s="4"/>
    </row>
    <row r="10" spans="1:9" ht="13.5" thickBot="1">
      <c r="A10" s="61" t="s">
        <v>118</v>
      </c>
      <c r="B10" s="198">
        <f>B16+B19+B22+B25+B32+B13+B40+B34</f>
        <v>28825180</v>
      </c>
      <c r="C10" s="198">
        <f>C16+C19+C22+C25+C32+C13+C40+C34</f>
        <v>33162131</v>
      </c>
      <c r="D10" s="198">
        <f>D16+D19+D22+D25+D32+D13+D40+D34+D54</f>
        <v>32201894.870000001</v>
      </c>
      <c r="E10" s="227">
        <f>D10/C10*100</f>
        <v>97.104419706924148</v>
      </c>
      <c r="F10" s="5"/>
      <c r="G10" s="5"/>
      <c r="H10" s="2"/>
      <c r="I10" s="2"/>
    </row>
    <row r="11" spans="1:9">
      <c r="A11" s="28"/>
      <c r="B11" s="29"/>
      <c r="E11" s="4"/>
      <c r="F11" s="4"/>
      <c r="G11" s="5"/>
      <c r="H11" s="2"/>
      <c r="I11" s="2"/>
    </row>
    <row r="12" spans="1:9">
      <c r="A12" s="102" t="s">
        <v>107</v>
      </c>
      <c r="B12" s="29"/>
      <c r="E12" s="4"/>
      <c r="F12" s="4"/>
      <c r="G12" s="5"/>
      <c r="H12" s="2"/>
      <c r="I12" s="2"/>
    </row>
    <row r="13" spans="1:9" ht="19.5" customHeight="1">
      <c r="A13" s="20" t="s">
        <v>363</v>
      </c>
      <c r="B13" s="240">
        <f>SUM(B14:B15)</f>
        <v>374650</v>
      </c>
      <c r="C13" s="241">
        <f>SUM(C14:C15)</f>
        <v>374650</v>
      </c>
      <c r="D13" s="241">
        <f>SUM(D14:D15)</f>
        <v>328106</v>
      </c>
      <c r="E13" s="242">
        <f>D13/C13*100</f>
        <v>87.576671560122776</v>
      </c>
      <c r="F13" s="4"/>
      <c r="G13" s="5"/>
      <c r="I13" s="2"/>
    </row>
    <row r="14" spans="1:9">
      <c r="A14" s="116" t="s">
        <v>94</v>
      </c>
      <c r="B14" s="22">
        <v>295000</v>
      </c>
      <c r="C14" s="230">
        <v>295000</v>
      </c>
      <c r="D14" s="230">
        <v>258350</v>
      </c>
      <c r="E14" s="225">
        <f t="shared" ref="E14:E33" si="0">D14/C14*100</f>
        <v>87.576271186440678</v>
      </c>
      <c r="F14" s="4"/>
      <c r="G14" s="5"/>
      <c r="I14" s="2"/>
    </row>
    <row r="15" spans="1:9">
      <c r="A15" s="21" t="s">
        <v>168</v>
      </c>
      <c r="B15" s="22">
        <f>B14*0.27</f>
        <v>79650</v>
      </c>
      <c r="C15" s="232">
        <f>C14*0.27</f>
        <v>79650</v>
      </c>
      <c r="D15" s="232">
        <v>69756</v>
      </c>
      <c r="E15" s="225">
        <f t="shared" si="0"/>
        <v>87.578154425612055</v>
      </c>
      <c r="F15" s="4"/>
      <c r="G15" s="5"/>
      <c r="I15" s="2"/>
    </row>
    <row r="16" spans="1:9" ht="18.75" customHeight="1">
      <c r="A16" s="20" t="s">
        <v>364</v>
      </c>
      <c r="B16" s="240">
        <f>SUM(B17:B18)</f>
        <v>9649460</v>
      </c>
      <c r="C16" s="241">
        <f>SUM(C17:C18)</f>
        <v>9649460</v>
      </c>
      <c r="D16" s="241">
        <f>SUM(D17:D18)</f>
        <v>11458099.210000001</v>
      </c>
      <c r="E16" s="242">
        <f t="shared" si="0"/>
        <v>118.74342408798006</v>
      </c>
      <c r="F16" s="4"/>
      <c r="G16" s="4"/>
      <c r="I16" s="2"/>
    </row>
    <row r="17" spans="1:9">
      <c r="A17" s="116" t="s">
        <v>94</v>
      </c>
      <c r="B17" s="22">
        <v>7598000</v>
      </c>
      <c r="C17" s="230">
        <v>7598000</v>
      </c>
      <c r="D17" s="230">
        <v>9022123</v>
      </c>
      <c r="E17" s="225">
        <f t="shared" si="0"/>
        <v>118.74339299815742</v>
      </c>
      <c r="F17" s="4"/>
      <c r="G17" s="4"/>
      <c r="I17" s="2"/>
    </row>
    <row r="18" spans="1:9">
      <c r="A18" s="21" t="s">
        <v>168</v>
      </c>
      <c r="B18" s="22">
        <f>B17*0.27</f>
        <v>2051460.0000000002</v>
      </c>
      <c r="C18" s="232">
        <f>C17*0.27</f>
        <v>2051460.0000000002</v>
      </c>
      <c r="D18" s="232">
        <f>D17*0.27+3</f>
        <v>2435976.21</v>
      </c>
      <c r="E18" s="225">
        <f t="shared" si="0"/>
        <v>118.74353923547132</v>
      </c>
      <c r="F18" s="4"/>
      <c r="G18" s="4"/>
    </row>
    <row r="19" spans="1:9" ht="18" customHeight="1">
      <c r="A19" s="47" t="s">
        <v>245</v>
      </c>
      <c r="B19" s="240">
        <f>B20+B21</f>
        <v>457200</v>
      </c>
      <c r="C19" s="241">
        <f>C20+C21</f>
        <v>457200</v>
      </c>
      <c r="D19" s="241">
        <f>D20+D21</f>
        <v>457200</v>
      </c>
      <c r="E19" s="242">
        <f t="shared" si="0"/>
        <v>100</v>
      </c>
      <c r="F19" s="4"/>
      <c r="G19" s="4"/>
    </row>
    <row r="20" spans="1:9">
      <c r="A20" s="21" t="s">
        <v>175</v>
      </c>
      <c r="B20" s="22">
        <v>360000</v>
      </c>
      <c r="C20" s="230">
        <v>360000</v>
      </c>
      <c r="D20" s="230">
        <v>360000</v>
      </c>
      <c r="E20" s="225">
        <f t="shared" si="0"/>
        <v>100</v>
      </c>
      <c r="F20" s="4"/>
      <c r="G20" s="4"/>
    </row>
    <row r="21" spans="1:9">
      <c r="A21" s="21" t="s">
        <v>174</v>
      </c>
      <c r="B21" s="22">
        <f>B20*0.27</f>
        <v>97200</v>
      </c>
      <c r="C21" s="232">
        <f>C20*0.27</f>
        <v>97200</v>
      </c>
      <c r="D21" s="232">
        <f>D20*0.27</f>
        <v>97200</v>
      </c>
      <c r="E21" s="225">
        <f t="shared" si="0"/>
        <v>100</v>
      </c>
      <c r="F21" s="4"/>
      <c r="G21" s="4"/>
    </row>
    <row r="22" spans="1:9" ht="20.25" customHeight="1">
      <c r="A22" s="47" t="s">
        <v>246</v>
      </c>
      <c r="B22" s="240">
        <f>B23+B24</f>
        <v>152400</v>
      </c>
      <c r="C22" s="241">
        <f>C23+C24</f>
        <v>152400</v>
      </c>
      <c r="D22" s="241">
        <f>D23+D24</f>
        <v>101600</v>
      </c>
      <c r="E22" s="242">
        <f t="shared" si="0"/>
        <v>66.666666666666657</v>
      </c>
      <c r="F22" s="4"/>
      <c r="G22" s="4"/>
    </row>
    <row r="23" spans="1:9">
      <c r="A23" s="21" t="s">
        <v>175</v>
      </c>
      <c r="B23" s="22">
        <v>120000</v>
      </c>
      <c r="C23" s="230">
        <v>120000</v>
      </c>
      <c r="D23" s="230">
        <v>80000</v>
      </c>
      <c r="E23" s="225">
        <f t="shared" si="0"/>
        <v>66.666666666666657</v>
      </c>
      <c r="F23" s="4"/>
      <c r="G23" s="4"/>
    </row>
    <row r="24" spans="1:9">
      <c r="A24" s="21" t="s">
        <v>174</v>
      </c>
      <c r="B24" s="22">
        <f>B23*0.27</f>
        <v>32400.000000000004</v>
      </c>
      <c r="C24" s="232">
        <f>C23*0.27</f>
        <v>32400.000000000004</v>
      </c>
      <c r="D24" s="232">
        <f>D23*0.27</f>
        <v>21600</v>
      </c>
      <c r="E24" s="225">
        <f t="shared" si="0"/>
        <v>66.666666666666657</v>
      </c>
      <c r="F24" s="4"/>
      <c r="G24" s="4"/>
    </row>
    <row r="25" spans="1:9" ht="17.25" customHeight="1">
      <c r="A25" s="47" t="s">
        <v>151</v>
      </c>
      <c r="B25" s="240">
        <f>SUM(B26:B31)</f>
        <v>11410870</v>
      </c>
      <c r="C25" s="241">
        <f>SUM(C26:C31)</f>
        <v>11410870</v>
      </c>
      <c r="D25" s="241">
        <f>SUM(D26:D31)</f>
        <v>11591186.66</v>
      </c>
      <c r="E25" s="242">
        <f t="shared" si="0"/>
        <v>101.58021833567467</v>
      </c>
      <c r="F25" s="4"/>
      <c r="G25" s="4"/>
    </row>
    <row r="26" spans="1:9">
      <c r="A26" s="21" t="s">
        <v>176</v>
      </c>
      <c r="B26" s="22">
        <v>600000</v>
      </c>
      <c r="C26" s="230">
        <v>600000</v>
      </c>
      <c r="D26" s="230">
        <v>955003</v>
      </c>
      <c r="E26" s="225">
        <f t="shared" si="0"/>
        <v>159.16716666666667</v>
      </c>
      <c r="F26" s="4"/>
      <c r="G26" s="4"/>
    </row>
    <row r="27" spans="1:9">
      <c r="A27" s="21" t="s">
        <v>189</v>
      </c>
      <c r="B27" s="22">
        <v>4931000</v>
      </c>
      <c r="C27" s="230">
        <v>4931000</v>
      </c>
      <c r="D27" s="230">
        <v>4665302</v>
      </c>
      <c r="E27" s="225">
        <f t="shared" si="0"/>
        <v>94.61168120056783</v>
      </c>
      <c r="F27" s="4"/>
      <c r="G27" s="4"/>
    </row>
    <row r="28" spans="1:9">
      <c r="A28" s="21" t="s">
        <v>177</v>
      </c>
      <c r="B28" s="22">
        <v>50000</v>
      </c>
      <c r="C28" s="230">
        <v>50000</v>
      </c>
      <c r="D28" s="230">
        <v>261653</v>
      </c>
      <c r="E28" s="225">
        <f t="shared" si="0"/>
        <v>523.30600000000004</v>
      </c>
      <c r="F28" s="4"/>
      <c r="G28" s="4"/>
      <c r="H28" s="4"/>
    </row>
    <row r="29" spans="1:9">
      <c r="A29" s="24" t="s">
        <v>295</v>
      </c>
      <c r="B29" s="85">
        <v>4323000</v>
      </c>
      <c r="C29" s="230">
        <v>4323000</v>
      </c>
      <c r="D29" s="230">
        <v>3778200</v>
      </c>
      <c r="E29" s="225">
        <f t="shared" si="0"/>
        <v>87.397640527411525</v>
      </c>
      <c r="F29" s="4"/>
      <c r="G29" s="4"/>
    </row>
    <row r="30" spans="1:9">
      <c r="A30" s="24" t="s">
        <v>437</v>
      </c>
      <c r="B30" s="85">
        <v>0</v>
      </c>
      <c r="C30" s="230">
        <v>0</v>
      </c>
      <c r="D30" s="230">
        <v>270000</v>
      </c>
      <c r="E30" s="217" t="s">
        <v>379</v>
      </c>
      <c r="F30" s="4"/>
      <c r="G30" s="4"/>
    </row>
    <row r="31" spans="1:9">
      <c r="A31" s="21" t="s">
        <v>178</v>
      </c>
      <c r="B31" s="22">
        <f>(B26+B27+B28)*0.27</f>
        <v>1506870</v>
      </c>
      <c r="C31" s="232">
        <f>(C26+C27+C28)*0.27</f>
        <v>1506870</v>
      </c>
      <c r="D31" s="232">
        <f>(D26+D27+D28+D30)*0.27</f>
        <v>1661028.6600000001</v>
      </c>
      <c r="E31" s="225">
        <f>D31/C31*100</f>
        <v>110.23038881920803</v>
      </c>
      <c r="F31" s="4"/>
      <c r="G31" s="4"/>
    </row>
    <row r="32" spans="1:9" ht="21" customHeight="1">
      <c r="A32" s="20" t="s">
        <v>365</v>
      </c>
      <c r="B32" s="240">
        <f>SUM(B33)</f>
        <v>1300000</v>
      </c>
      <c r="C32" s="241">
        <f>SUM(C33)</f>
        <v>1300000</v>
      </c>
      <c r="D32" s="241">
        <f>SUM(D33)</f>
        <v>1076769</v>
      </c>
      <c r="E32" s="242">
        <f t="shared" si="0"/>
        <v>82.828384615384621</v>
      </c>
      <c r="F32" s="4"/>
      <c r="G32" s="4"/>
    </row>
    <row r="33" spans="1:7">
      <c r="A33" s="21" t="s">
        <v>179</v>
      </c>
      <c r="B33" s="22">
        <v>1300000</v>
      </c>
      <c r="C33" s="230">
        <v>1300000</v>
      </c>
      <c r="D33" s="230">
        <v>1076769</v>
      </c>
      <c r="E33" s="224">
        <f t="shared" si="0"/>
        <v>82.828384615384621</v>
      </c>
      <c r="F33" s="4"/>
      <c r="G33" s="4"/>
    </row>
    <row r="34" spans="1:7" ht="21" customHeight="1">
      <c r="A34" s="219" t="s">
        <v>360</v>
      </c>
      <c r="B34" s="218">
        <v>0</v>
      </c>
      <c r="C34" s="241">
        <v>0</v>
      </c>
      <c r="D34" s="241">
        <f>SUM(D35:D36)</f>
        <v>471745</v>
      </c>
      <c r="E34" s="274">
        <v>0</v>
      </c>
      <c r="F34" s="4"/>
      <c r="G34" s="4"/>
    </row>
    <row r="35" spans="1:7">
      <c r="A35" s="21" t="s">
        <v>361</v>
      </c>
      <c r="B35" s="22">
        <v>0</v>
      </c>
      <c r="C35" s="232">
        <v>0</v>
      </c>
      <c r="D35" s="232">
        <v>371453</v>
      </c>
      <c r="E35" s="275">
        <v>0</v>
      </c>
      <c r="F35" s="4"/>
      <c r="G35" s="4"/>
    </row>
    <row r="36" spans="1:7">
      <c r="A36" s="21" t="s">
        <v>362</v>
      </c>
      <c r="B36" s="22">
        <v>0</v>
      </c>
      <c r="C36" s="232">
        <v>0</v>
      </c>
      <c r="D36" s="232">
        <v>100292</v>
      </c>
      <c r="E36" s="275">
        <v>0</v>
      </c>
      <c r="F36" s="4"/>
      <c r="G36" s="4"/>
    </row>
    <row r="37" spans="1:7">
      <c r="A37" s="21"/>
      <c r="B37" s="22"/>
      <c r="E37" s="84"/>
      <c r="F37" s="4"/>
      <c r="G37" s="4"/>
    </row>
    <row r="38" spans="1:7" ht="19.899999999999999" customHeight="1">
      <c r="A38" s="103" t="s">
        <v>108</v>
      </c>
      <c r="B38" s="22"/>
      <c r="E38" s="4"/>
      <c r="F38" s="4"/>
      <c r="G38" s="4"/>
    </row>
    <row r="39" spans="1:7" ht="14.45" customHeight="1">
      <c r="A39" s="103"/>
      <c r="B39" s="22"/>
      <c r="E39" s="4"/>
      <c r="F39" s="4"/>
      <c r="G39" s="4"/>
    </row>
    <row r="40" spans="1:7" ht="28.9" customHeight="1">
      <c r="A40" s="352" t="s">
        <v>248</v>
      </c>
      <c r="B40" s="241">
        <f>SUM(B41:B49)</f>
        <v>5480600</v>
      </c>
      <c r="C40" s="241">
        <f>SUM(C41:C49)</f>
        <v>9817551</v>
      </c>
      <c r="D40" s="241">
        <f>SUM(D41:D49)</f>
        <v>6438324</v>
      </c>
      <c r="E40" s="242">
        <f>D40/C40*100</f>
        <v>65.579735720242255</v>
      </c>
      <c r="F40" s="4"/>
      <c r="G40" s="4"/>
    </row>
    <row r="41" spans="1:7" ht="15.75" customHeight="1">
      <c r="A41" s="220" t="s">
        <v>380</v>
      </c>
      <c r="B41" s="217">
        <v>0</v>
      </c>
      <c r="C41" s="232">
        <v>0</v>
      </c>
      <c r="D41" s="232">
        <v>7872</v>
      </c>
      <c r="E41" s="87">
        <v>0</v>
      </c>
      <c r="F41" s="4"/>
      <c r="G41" s="4"/>
    </row>
    <row r="42" spans="1:7" ht="15.75" customHeight="1">
      <c r="A42" s="21" t="s">
        <v>438</v>
      </c>
      <c r="B42" s="22">
        <v>3480000</v>
      </c>
      <c r="C42" s="230">
        <v>3480000</v>
      </c>
      <c r="D42" s="230">
        <v>157480</v>
      </c>
      <c r="E42" s="225">
        <f>D42/C42*100</f>
        <v>4.5252873563218383</v>
      </c>
      <c r="F42" s="4"/>
      <c r="G42" s="4"/>
    </row>
    <row r="43" spans="1:7" ht="13.5" customHeight="1">
      <c r="A43" s="220" t="s">
        <v>383</v>
      </c>
      <c r="B43" s="217">
        <v>0</v>
      </c>
      <c r="C43" s="232">
        <v>0</v>
      </c>
      <c r="D43" s="232">
        <v>253465</v>
      </c>
      <c r="E43" s="87">
        <v>0</v>
      </c>
      <c r="F43" s="4"/>
      <c r="G43" s="4"/>
    </row>
    <row r="44" spans="1:7" ht="15.75" customHeight="1">
      <c r="A44" s="220" t="s">
        <v>382</v>
      </c>
      <c r="B44" s="217">
        <v>0</v>
      </c>
      <c r="C44" s="232">
        <v>0</v>
      </c>
      <c r="D44" s="232">
        <v>41278</v>
      </c>
      <c r="E44" s="87">
        <v>0</v>
      </c>
      <c r="F44" s="4"/>
      <c r="G44" s="4"/>
    </row>
    <row r="45" spans="1:7" ht="12.75" customHeight="1">
      <c r="A45" s="220" t="s">
        <v>381</v>
      </c>
      <c r="B45" s="217">
        <v>0</v>
      </c>
      <c r="C45" s="232">
        <v>0</v>
      </c>
      <c r="D45" s="232">
        <v>129934</v>
      </c>
      <c r="E45" s="87">
        <v>0</v>
      </c>
      <c r="F45" s="4"/>
      <c r="G45" s="4"/>
    </row>
    <row r="46" spans="1:7" ht="12.75" customHeight="1">
      <c r="A46" s="21" t="s">
        <v>174</v>
      </c>
      <c r="B46" s="22">
        <v>939600</v>
      </c>
      <c r="C46" s="232">
        <v>939600</v>
      </c>
      <c r="D46" s="232">
        <v>132434</v>
      </c>
      <c r="E46" s="225">
        <f>D46/C46*100</f>
        <v>14.094721157939549</v>
      </c>
      <c r="F46" s="4"/>
      <c r="G46" s="4"/>
    </row>
    <row r="47" spans="1:7">
      <c r="A47" s="21" t="s">
        <v>172</v>
      </c>
      <c r="B47" s="22">
        <v>100000</v>
      </c>
      <c r="C47" s="230">
        <v>100000</v>
      </c>
      <c r="D47" s="230">
        <v>3531</v>
      </c>
      <c r="E47" s="225">
        <f>D47/C47*100</f>
        <v>3.5310000000000001</v>
      </c>
      <c r="F47" s="4"/>
      <c r="G47" s="4"/>
    </row>
    <row r="48" spans="1:7">
      <c r="A48" s="21" t="s">
        <v>274</v>
      </c>
      <c r="B48" s="22">
        <v>961000</v>
      </c>
      <c r="C48" s="230">
        <v>961000</v>
      </c>
      <c r="D48" s="230">
        <v>1054617</v>
      </c>
      <c r="E48" s="225">
        <f>D48/C48*100</f>
        <v>109.74162330905305</v>
      </c>
      <c r="F48" s="4"/>
      <c r="G48" s="4"/>
    </row>
    <row r="49" spans="1:9">
      <c r="A49" s="21" t="s">
        <v>384</v>
      </c>
      <c r="B49" s="22">
        <v>0</v>
      </c>
      <c r="C49" s="230">
        <v>4336951</v>
      </c>
      <c r="D49" s="230">
        <v>4657713</v>
      </c>
      <c r="E49" s="225">
        <f>D49/C49*100</f>
        <v>107.39602545659382</v>
      </c>
      <c r="F49" s="4"/>
      <c r="G49" s="4"/>
    </row>
    <row r="50" spans="1:9">
      <c r="A50" s="21"/>
      <c r="B50" s="22"/>
      <c r="E50" s="225"/>
      <c r="F50" s="4"/>
      <c r="G50" s="4"/>
    </row>
    <row r="51" spans="1:9">
      <c r="F51" s="4"/>
      <c r="G51" s="4"/>
    </row>
    <row r="52" spans="1:9">
      <c r="A52" s="102" t="s">
        <v>296</v>
      </c>
      <c r="B52" s="22"/>
      <c r="C52" s="232"/>
      <c r="D52" s="232"/>
      <c r="E52" s="225"/>
      <c r="F52" s="4"/>
      <c r="G52" s="4"/>
    </row>
    <row r="53" spans="1:9">
      <c r="A53" s="21"/>
      <c r="B53" s="22"/>
      <c r="C53" s="232"/>
      <c r="D53" s="232"/>
      <c r="E53" s="225"/>
      <c r="F53" s="4"/>
      <c r="G53" s="4"/>
    </row>
    <row r="54" spans="1:9">
      <c r="A54" s="174" t="s">
        <v>350</v>
      </c>
      <c r="B54" s="218">
        <f>SUM(B55:B56)</f>
        <v>0</v>
      </c>
      <c r="C54" s="218">
        <f>SUM(C55:C56)</f>
        <v>0</v>
      </c>
      <c r="D54" s="353">
        <f>SUM(D55:D56)</f>
        <v>278865</v>
      </c>
      <c r="E54" s="274">
        <v>0</v>
      </c>
      <c r="F54" s="4"/>
      <c r="G54" s="4"/>
    </row>
    <row r="55" spans="1:9">
      <c r="A55" s="21" t="s">
        <v>385</v>
      </c>
      <c r="B55" s="22">
        <v>0</v>
      </c>
      <c r="C55" s="232">
        <v>0</v>
      </c>
      <c r="D55" s="232">
        <v>219579</v>
      </c>
      <c r="E55" s="87">
        <v>0</v>
      </c>
      <c r="F55" s="4"/>
      <c r="G55" s="4"/>
    </row>
    <row r="56" spans="1:9">
      <c r="A56" s="21" t="s">
        <v>174</v>
      </c>
      <c r="B56" s="22">
        <v>0</v>
      </c>
      <c r="C56" s="232">
        <v>0</v>
      </c>
      <c r="D56" s="232">
        <v>59286</v>
      </c>
      <c r="E56" s="87">
        <v>0</v>
      </c>
      <c r="F56" s="4"/>
      <c r="G56" s="4"/>
    </row>
    <row r="57" spans="1:9" ht="13.5" thickBot="1">
      <c r="A57" s="21"/>
      <c r="B57" s="201"/>
      <c r="C57" s="231"/>
      <c r="D57" s="231"/>
      <c r="E57" s="229"/>
      <c r="F57" s="4"/>
      <c r="G57" s="4"/>
    </row>
    <row r="58" spans="1:9" ht="13.5" thickBot="1">
      <c r="A58" s="53" t="s">
        <v>165</v>
      </c>
      <c r="B58" s="200">
        <f>B73+B62+B66</f>
        <v>10755630</v>
      </c>
      <c r="C58" s="293">
        <f>C73+C62+C66</f>
        <v>10755630</v>
      </c>
      <c r="D58" s="293">
        <f>D73+D62+D66</f>
        <v>9335440.1099999994</v>
      </c>
      <c r="E58" s="236">
        <f>D58/C58*100</f>
        <v>86.795846547343103</v>
      </c>
      <c r="F58" s="4"/>
      <c r="G58" s="4"/>
      <c r="I58" s="2"/>
    </row>
    <row r="59" spans="1:9">
      <c r="A59" s="28"/>
      <c r="B59" s="92"/>
      <c r="E59" s="4"/>
      <c r="F59" s="4"/>
      <c r="G59" s="4"/>
      <c r="I59" s="2"/>
    </row>
    <row r="60" spans="1:9">
      <c r="A60" s="102" t="s">
        <v>107</v>
      </c>
      <c r="B60" s="92"/>
      <c r="E60" s="4"/>
      <c r="F60" s="4"/>
      <c r="G60" s="4"/>
      <c r="I60" s="2"/>
    </row>
    <row r="61" spans="1:9">
      <c r="A61" s="21"/>
      <c r="B61" s="22"/>
      <c r="E61" s="4"/>
      <c r="F61" s="4"/>
      <c r="G61" s="4"/>
    </row>
    <row r="62" spans="1:9">
      <c r="A62" s="47" t="s">
        <v>151</v>
      </c>
      <c r="B62" s="241">
        <f>SUM(B63:B65)</f>
        <v>2500630</v>
      </c>
      <c r="C62" s="241">
        <f>SUM(C63:C65)</f>
        <v>2500630</v>
      </c>
      <c r="D62" s="241">
        <f>SUM(D63:D65)</f>
        <v>1818938</v>
      </c>
      <c r="E62" s="242">
        <f t="shared" ref="E62:E77" si="1">D62/C62*100</f>
        <v>72.739189724189501</v>
      </c>
      <c r="F62" s="4"/>
      <c r="G62" s="5"/>
    </row>
    <row r="63" spans="1:9">
      <c r="A63" s="21" t="s">
        <v>301</v>
      </c>
      <c r="B63" s="22">
        <v>469000</v>
      </c>
      <c r="C63" s="230">
        <v>469000</v>
      </c>
      <c r="D63" s="230">
        <v>382151</v>
      </c>
      <c r="E63" s="225">
        <f t="shared" si="1"/>
        <v>81.482089552238804</v>
      </c>
      <c r="F63" s="4"/>
      <c r="G63" s="4"/>
      <c r="H63" s="4"/>
    </row>
    <row r="64" spans="1:9">
      <c r="A64" s="21" t="s">
        <v>302</v>
      </c>
      <c r="B64" s="22">
        <v>1500000</v>
      </c>
      <c r="C64" s="230">
        <v>1500000</v>
      </c>
      <c r="D64" s="230">
        <v>1065049</v>
      </c>
      <c r="E64" s="225">
        <f t="shared" si="1"/>
        <v>71.003266666666661</v>
      </c>
      <c r="F64" s="4"/>
      <c r="G64" s="4"/>
      <c r="H64" s="4"/>
    </row>
    <row r="65" spans="1:7">
      <c r="A65" s="21" t="s">
        <v>178</v>
      </c>
      <c r="B65" s="22">
        <f>B63*0.27+B64*0.27</f>
        <v>531630</v>
      </c>
      <c r="C65" s="232">
        <f>C63*0.27+C64*0.27</f>
        <v>531630</v>
      </c>
      <c r="D65" s="232">
        <v>371738</v>
      </c>
      <c r="E65" s="225">
        <f t="shared" si="1"/>
        <v>69.924195399055733</v>
      </c>
      <c r="F65" s="4"/>
      <c r="G65" s="4"/>
    </row>
    <row r="66" spans="1:7" ht="30.6" customHeight="1">
      <c r="A66" s="354" t="s">
        <v>250</v>
      </c>
      <c r="B66" s="241">
        <f>SUM(B67:B69)</f>
        <v>5207000</v>
      </c>
      <c r="C66" s="241">
        <f>SUM(C67:C69)</f>
        <v>5207000</v>
      </c>
      <c r="D66" s="241">
        <f>SUM(D67:D69)</f>
        <v>4004040.1100000003</v>
      </c>
      <c r="E66" s="242">
        <f t="shared" si="1"/>
        <v>76.897255809487234</v>
      </c>
      <c r="F66" s="4"/>
      <c r="G66" s="4"/>
    </row>
    <row r="67" spans="1:7">
      <c r="A67" s="21" t="s">
        <v>277</v>
      </c>
      <c r="B67" s="22">
        <v>900000</v>
      </c>
      <c r="C67" s="230">
        <v>900000</v>
      </c>
      <c r="D67" s="230">
        <v>878274</v>
      </c>
      <c r="E67" s="225">
        <f t="shared" si="1"/>
        <v>97.585999999999999</v>
      </c>
      <c r="F67" s="4"/>
      <c r="G67" s="4"/>
    </row>
    <row r="68" spans="1:7">
      <c r="A68" s="21" t="s">
        <v>145</v>
      </c>
      <c r="B68" s="22">
        <v>3200000</v>
      </c>
      <c r="C68" s="230">
        <v>3200000</v>
      </c>
      <c r="D68" s="230">
        <v>2274519</v>
      </c>
      <c r="E68" s="225">
        <f t="shared" si="1"/>
        <v>71.078718750000007</v>
      </c>
      <c r="F68" s="4"/>
      <c r="G68" s="4"/>
    </row>
    <row r="69" spans="1:7">
      <c r="A69" s="21" t="s">
        <v>178</v>
      </c>
      <c r="B69" s="22">
        <f>(B67+B68)*0.27</f>
        <v>1107000</v>
      </c>
      <c r="C69" s="232">
        <f>(C67+C68)*0.27</f>
        <v>1107000</v>
      </c>
      <c r="D69" s="232">
        <f>(D67+D68)*0.27-7</f>
        <v>851247.1100000001</v>
      </c>
      <c r="E69" s="225">
        <f t="shared" si="1"/>
        <v>76.896757904245717</v>
      </c>
      <c r="F69" s="4"/>
      <c r="G69" s="4"/>
    </row>
    <row r="70" spans="1:7">
      <c r="A70" s="21"/>
      <c r="B70" s="22"/>
      <c r="E70" s="84"/>
      <c r="F70" s="4"/>
      <c r="G70" s="4"/>
    </row>
    <row r="71" spans="1:7">
      <c r="A71" s="103" t="s">
        <v>108</v>
      </c>
      <c r="B71" s="22"/>
      <c r="E71" s="84"/>
      <c r="F71" s="4"/>
      <c r="G71" s="4"/>
    </row>
    <row r="72" spans="1:7">
      <c r="A72" s="21"/>
      <c r="B72" s="22"/>
      <c r="E72" s="84"/>
      <c r="F72" s="4"/>
      <c r="G72" s="4"/>
    </row>
    <row r="73" spans="1:7" ht="21">
      <c r="A73" s="91" t="s">
        <v>248</v>
      </c>
      <c r="B73" s="241">
        <f>SUM(B74:B79)</f>
        <v>3048000</v>
      </c>
      <c r="C73" s="241">
        <f>SUM(C74:C79)</f>
        <v>3048000</v>
      </c>
      <c r="D73" s="241">
        <f>SUM(D74:D79)</f>
        <v>3512462</v>
      </c>
      <c r="E73" s="242">
        <f t="shared" si="1"/>
        <v>115.23825459317585</v>
      </c>
      <c r="F73" s="4"/>
      <c r="G73" s="4"/>
    </row>
    <row r="74" spans="1:7">
      <c r="A74" s="186" t="s">
        <v>388</v>
      </c>
      <c r="B74" s="22">
        <v>0</v>
      </c>
      <c r="C74" s="232">
        <v>0</v>
      </c>
      <c r="D74" s="232">
        <v>1575</v>
      </c>
      <c r="E74" s="225">
        <v>0</v>
      </c>
      <c r="F74" s="4"/>
      <c r="G74" s="4"/>
    </row>
    <row r="75" spans="1:7">
      <c r="A75" s="21" t="s">
        <v>171</v>
      </c>
      <c r="B75" s="22">
        <v>100000</v>
      </c>
      <c r="C75" s="230">
        <v>100000</v>
      </c>
      <c r="D75" s="230">
        <v>158862</v>
      </c>
      <c r="E75" s="225">
        <f t="shared" si="1"/>
        <v>158.86199999999999</v>
      </c>
      <c r="F75" s="4"/>
      <c r="G75" s="4"/>
    </row>
    <row r="76" spans="1:7">
      <c r="A76" s="23" t="s">
        <v>173</v>
      </c>
      <c r="B76" s="22">
        <v>2300000</v>
      </c>
      <c r="C76" s="230">
        <v>2300000</v>
      </c>
      <c r="D76" s="230">
        <v>2613602</v>
      </c>
      <c r="E76" s="225">
        <f t="shared" si="1"/>
        <v>113.6348695652174</v>
      </c>
      <c r="F76" s="4"/>
      <c r="G76" s="4"/>
    </row>
    <row r="77" spans="1:7">
      <c r="A77" s="21" t="s">
        <v>174</v>
      </c>
      <c r="B77" s="22">
        <f>(B75+B76)*0.27</f>
        <v>648000</v>
      </c>
      <c r="C77" s="232">
        <f>(C75+C76)*0.27</f>
        <v>648000</v>
      </c>
      <c r="D77" s="232">
        <v>726313</v>
      </c>
      <c r="E77" s="225">
        <f t="shared" si="1"/>
        <v>112.08533950617283</v>
      </c>
      <c r="F77" s="4"/>
      <c r="G77" s="4"/>
    </row>
    <row r="78" spans="1:7">
      <c r="A78" s="21" t="s">
        <v>386</v>
      </c>
      <c r="B78" s="22">
        <v>0</v>
      </c>
      <c r="C78" s="232">
        <v>0</v>
      </c>
      <c r="D78" s="232">
        <v>89</v>
      </c>
      <c r="E78" s="225">
        <v>0</v>
      </c>
      <c r="F78" s="4"/>
      <c r="G78" s="4"/>
    </row>
    <row r="79" spans="1:7">
      <c r="A79" s="21" t="s">
        <v>387</v>
      </c>
      <c r="B79" s="22">
        <v>0</v>
      </c>
      <c r="C79" s="232">
        <v>0</v>
      </c>
      <c r="D79" s="232">
        <v>12021</v>
      </c>
      <c r="E79" s="225">
        <v>0</v>
      </c>
      <c r="F79" s="4"/>
      <c r="G79" s="4"/>
    </row>
    <row r="80" spans="1:7" ht="13.5" thickBot="1">
      <c r="A80" s="21"/>
      <c r="B80" s="201"/>
      <c r="C80" s="231"/>
      <c r="D80" s="231"/>
      <c r="E80" s="199"/>
      <c r="F80" s="4"/>
      <c r="G80" s="4"/>
    </row>
    <row r="81" spans="1:8" ht="13.5" thickBot="1">
      <c r="A81" s="53" t="s">
        <v>180</v>
      </c>
      <c r="B81" s="198">
        <f>B85+B98+B91</f>
        <v>17085210</v>
      </c>
      <c r="C81" s="198">
        <f>C85+C98+C91</f>
        <v>17085210</v>
      </c>
      <c r="D81" s="198">
        <f>D85+D98+D91</f>
        <v>15826080.33</v>
      </c>
      <c r="E81" s="236">
        <f>D81/C81*100</f>
        <v>92.630294447653853</v>
      </c>
      <c r="F81" s="4"/>
      <c r="G81" s="5"/>
      <c r="H81" s="5"/>
    </row>
    <row r="82" spans="1:8">
      <c r="A82" s="28"/>
      <c r="B82" s="29"/>
      <c r="E82" s="4"/>
      <c r="F82" s="4"/>
      <c r="G82" s="5"/>
      <c r="H82" s="5"/>
    </row>
    <row r="83" spans="1:8">
      <c r="A83" s="102" t="s">
        <v>107</v>
      </c>
      <c r="B83" s="29"/>
      <c r="E83" s="4"/>
      <c r="F83" s="4"/>
      <c r="G83" s="5"/>
      <c r="H83" s="5"/>
    </row>
    <row r="84" spans="1:8">
      <c r="A84" s="28"/>
      <c r="B84" s="29"/>
      <c r="E84" s="4"/>
      <c r="F84" s="4"/>
      <c r="G84" s="5"/>
      <c r="H84" s="5"/>
    </row>
    <row r="85" spans="1:8">
      <c r="A85" s="47" t="s">
        <v>251</v>
      </c>
      <c r="B85" s="240">
        <f>SUM(B87:B88)</f>
        <v>3429000</v>
      </c>
      <c r="C85" s="241">
        <f>SUM(C87:C88)</f>
        <v>3429000</v>
      </c>
      <c r="D85" s="241">
        <f>SUM(D86:D90)</f>
        <v>3005684.49</v>
      </c>
      <c r="E85" s="242">
        <f t="shared" ref="E85:E101" si="2">D85/C85*100</f>
        <v>87.654840769903757</v>
      </c>
      <c r="F85" s="4"/>
      <c r="G85" s="4"/>
    </row>
    <row r="86" spans="1:8">
      <c r="A86" s="188" t="s">
        <v>390</v>
      </c>
      <c r="B86" s="22">
        <v>0</v>
      </c>
      <c r="C86" s="232">
        <v>0</v>
      </c>
      <c r="D86" s="232">
        <v>6000</v>
      </c>
      <c r="E86" s="225">
        <v>0</v>
      </c>
      <c r="F86" s="4"/>
      <c r="G86" s="4"/>
    </row>
    <row r="87" spans="1:8">
      <c r="A87" s="21" t="s">
        <v>181</v>
      </c>
      <c r="B87" s="22">
        <v>2700000</v>
      </c>
      <c r="C87" s="230">
        <v>2700000</v>
      </c>
      <c r="D87" s="230">
        <v>2360887</v>
      </c>
      <c r="E87" s="225">
        <f t="shared" si="2"/>
        <v>87.44025925925925</v>
      </c>
      <c r="F87" s="4"/>
      <c r="G87" s="4"/>
    </row>
    <row r="88" spans="1:8">
      <c r="A88" s="21" t="s">
        <v>178</v>
      </c>
      <c r="B88" s="22">
        <f>B87*0.27</f>
        <v>729000</v>
      </c>
      <c r="C88" s="232">
        <f>C87*0.27</f>
        <v>729000</v>
      </c>
      <c r="D88" s="232">
        <f>D87*0.27+4</f>
        <v>637443.49</v>
      </c>
      <c r="E88" s="225">
        <f t="shared" si="2"/>
        <v>87.440807956104251</v>
      </c>
      <c r="F88" s="4"/>
      <c r="G88" s="4"/>
    </row>
    <row r="89" spans="1:8">
      <c r="A89" s="21" t="s">
        <v>439</v>
      </c>
      <c r="B89" s="22">
        <v>0</v>
      </c>
      <c r="C89" s="232">
        <v>0</v>
      </c>
      <c r="D89" s="232">
        <v>1219</v>
      </c>
      <c r="E89" s="225">
        <v>0</v>
      </c>
      <c r="F89" s="4"/>
      <c r="G89" s="4"/>
    </row>
    <row r="90" spans="1:8">
      <c r="A90" s="21" t="s">
        <v>440</v>
      </c>
      <c r="B90" s="22">
        <v>0</v>
      </c>
      <c r="C90" s="232">
        <v>0</v>
      </c>
      <c r="D90" s="232">
        <v>135</v>
      </c>
      <c r="E90" s="225">
        <v>0</v>
      </c>
      <c r="F90" s="4"/>
      <c r="G90" s="4"/>
    </row>
    <row r="91" spans="1:8" ht="20.45" customHeight="1">
      <c r="A91" s="47" t="s">
        <v>255</v>
      </c>
      <c r="B91" s="240">
        <f>SUM(B92:B94)</f>
        <v>12472570</v>
      </c>
      <c r="C91" s="241">
        <f>SUM(C92:C94)</f>
        <v>12472570</v>
      </c>
      <c r="D91" s="241">
        <f>SUM(D92:D94)</f>
        <v>11918385.84</v>
      </c>
      <c r="E91" s="242">
        <f t="shared" si="2"/>
        <v>95.556776510374362</v>
      </c>
      <c r="F91" s="4"/>
      <c r="G91" s="4"/>
    </row>
    <row r="92" spans="1:8">
      <c r="A92" s="21" t="s">
        <v>93</v>
      </c>
      <c r="B92" s="22">
        <v>9191000</v>
      </c>
      <c r="C92" s="230">
        <v>9191000</v>
      </c>
      <c r="D92" s="230">
        <v>8745592</v>
      </c>
      <c r="E92" s="225">
        <f t="shared" si="2"/>
        <v>95.153867914263955</v>
      </c>
      <c r="F92" s="4"/>
      <c r="G92" s="4"/>
    </row>
    <row r="93" spans="1:8">
      <c r="A93" s="21" t="s">
        <v>185</v>
      </c>
      <c r="B93" s="22">
        <f>B92*0.27</f>
        <v>2481570</v>
      </c>
      <c r="C93" s="232">
        <f>C92*0.27</f>
        <v>2481570</v>
      </c>
      <c r="D93" s="232">
        <f>D92*0.27-2</f>
        <v>2361307.8400000003</v>
      </c>
      <c r="E93" s="225">
        <f t="shared" si="2"/>
        <v>95.153787320123968</v>
      </c>
      <c r="F93" s="4"/>
      <c r="G93" s="4"/>
    </row>
    <row r="94" spans="1:8">
      <c r="A94" s="21" t="s">
        <v>278</v>
      </c>
      <c r="B94" s="22">
        <v>800000</v>
      </c>
      <c r="C94" s="230">
        <v>800000</v>
      </c>
      <c r="D94" s="230">
        <v>811486</v>
      </c>
      <c r="E94" s="225">
        <f t="shared" si="2"/>
        <v>101.43575</v>
      </c>
      <c r="F94" s="4"/>
      <c r="G94" s="4"/>
    </row>
    <row r="95" spans="1:8">
      <c r="A95" s="21"/>
      <c r="B95" s="22"/>
      <c r="E95" s="225"/>
      <c r="F95" s="4"/>
      <c r="G95" s="4"/>
    </row>
    <row r="96" spans="1:8">
      <c r="A96" s="102" t="s">
        <v>296</v>
      </c>
      <c r="B96" s="22"/>
      <c r="E96" s="224"/>
      <c r="F96" s="4"/>
      <c r="G96" s="4"/>
    </row>
    <row r="97" spans="1:7">
      <c r="A97" s="21" t="s">
        <v>182</v>
      </c>
      <c r="B97" s="22"/>
      <c r="E97" s="224"/>
      <c r="F97" s="4"/>
      <c r="G97" s="4"/>
    </row>
    <row r="98" spans="1:7">
      <c r="A98" s="47" t="s">
        <v>30</v>
      </c>
      <c r="B98" s="240">
        <f>B99+B101</f>
        <v>1183640</v>
      </c>
      <c r="C98" s="241">
        <f>C99+C101</f>
        <v>1183640</v>
      </c>
      <c r="D98" s="241">
        <f>SUM(D99:D103)</f>
        <v>902010</v>
      </c>
      <c r="E98" s="242">
        <f t="shared" si="2"/>
        <v>76.206447906458038</v>
      </c>
      <c r="F98" s="4"/>
      <c r="G98" s="4"/>
    </row>
    <row r="99" spans="1:7">
      <c r="A99" s="21" t="s">
        <v>183</v>
      </c>
      <c r="B99" s="22">
        <v>932000</v>
      </c>
      <c r="C99" s="230">
        <v>932000</v>
      </c>
      <c r="D99" s="230">
        <v>538357</v>
      </c>
      <c r="E99" s="225">
        <f t="shared" si="2"/>
        <v>57.763626609442063</v>
      </c>
      <c r="F99" s="4"/>
      <c r="G99" s="4"/>
    </row>
    <row r="100" spans="1:7">
      <c r="A100" s="186" t="s">
        <v>391</v>
      </c>
      <c r="B100" s="22">
        <v>0</v>
      </c>
      <c r="C100" s="230">
        <v>0</v>
      </c>
      <c r="D100" s="230">
        <v>3937</v>
      </c>
      <c r="E100" s="225">
        <v>0</v>
      </c>
      <c r="F100" s="4"/>
      <c r="G100" s="4"/>
    </row>
    <row r="101" spans="1:7">
      <c r="A101" s="21" t="s">
        <v>184</v>
      </c>
      <c r="B101" s="22">
        <f>B99*0.27</f>
        <v>251640.00000000003</v>
      </c>
      <c r="C101" s="232">
        <f>C99*0.27</f>
        <v>251640.00000000003</v>
      </c>
      <c r="D101" s="232">
        <v>146421</v>
      </c>
      <c r="E101" s="225">
        <f t="shared" si="2"/>
        <v>58.18669527896995</v>
      </c>
      <c r="F101" s="4"/>
      <c r="G101" s="4"/>
    </row>
    <row r="102" spans="1:7">
      <c r="A102" s="21" t="s">
        <v>441</v>
      </c>
      <c r="B102" s="22">
        <v>0</v>
      </c>
      <c r="C102" s="232">
        <v>0</v>
      </c>
      <c r="D102" s="232">
        <v>13000</v>
      </c>
      <c r="E102" s="225">
        <v>0</v>
      </c>
      <c r="F102" s="4"/>
      <c r="G102" s="4"/>
    </row>
    <row r="103" spans="1:7">
      <c r="A103" s="21" t="s">
        <v>278</v>
      </c>
      <c r="B103" s="22">
        <v>0</v>
      </c>
      <c r="C103" s="232">
        <v>0</v>
      </c>
      <c r="D103" s="232">
        <v>200295</v>
      </c>
      <c r="E103" s="225">
        <v>0</v>
      </c>
      <c r="F103" s="4"/>
      <c r="G103" s="4"/>
    </row>
    <row r="104" spans="1:7" ht="13.5" thickBot="1">
      <c r="A104" s="62"/>
      <c r="B104" s="201"/>
      <c r="C104" s="231"/>
      <c r="D104" s="231"/>
      <c r="E104" s="199"/>
      <c r="F104" s="4"/>
      <c r="G104" s="4"/>
    </row>
    <row r="105" spans="1:7" ht="13.5" thickBot="1">
      <c r="A105" s="257" t="s">
        <v>290</v>
      </c>
      <c r="B105" s="258">
        <f>B109+B112+B115</f>
        <v>16811150</v>
      </c>
      <c r="C105" s="259">
        <f>C109+C112+C115</f>
        <v>16811150</v>
      </c>
      <c r="D105" s="259">
        <f>D109+D112+D115</f>
        <v>12730847.789999999</v>
      </c>
      <c r="E105" s="260">
        <f>D105/C105*100</f>
        <v>75.728595545218496</v>
      </c>
      <c r="F105" s="4"/>
      <c r="G105" s="4"/>
    </row>
    <row r="106" spans="1:7" ht="8.25" customHeight="1">
      <c r="A106" s="106"/>
      <c r="B106" s="233"/>
      <c r="E106" s="4"/>
      <c r="F106" s="4"/>
      <c r="G106" s="4"/>
    </row>
    <row r="107" spans="1:7">
      <c r="A107" s="119" t="s">
        <v>107</v>
      </c>
      <c r="B107" s="234"/>
      <c r="E107" s="4"/>
      <c r="F107" s="4"/>
      <c r="G107" s="4"/>
    </row>
    <row r="108" spans="1:7">
      <c r="A108" s="107"/>
      <c r="B108" s="129"/>
      <c r="E108" s="4"/>
      <c r="F108" s="4"/>
      <c r="G108" s="4"/>
    </row>
    <row r="109" spans="1:7">
      <c r="A109" s="124" t="s">
        <v>257</v>
      </c>
      <c r="B109" s="238">
        <f>B110+B111</f>
        <v>6115050</v>
      </c>
      <c r="C109" s="239">
        <f>C110+C111</f>
        <v>6115050</v>
      </c>
      <c r="D109" s="239">
        <f>D110+D111</f>
        <v>3111840.36</v>
      </c>
      <c r="E109" s="224">
        <f t="shared" ref="E109:E120" si="3">D109/C109*100</f>
        <v>50.888224299065421</v>
      </c>
      <c r="F109" s="4"/>
      <c r="G109" s="4"/>
    </row>
    <row r="110" spans="1:7">
      <c r="A110" s="170" t="s">
        <v>183</v>
      </c>
      <c r="B110" s="167">
        <v>4815000</v>
      </c>
      <c r="C110" s="230">
        <v>4815000</v>
      </c>
      <c r="D110" s="230">
        <v>2450268</v>
      </c>
      <c r="E110" s="225">
        <f t="shared" si="3"/>
        <v>50.888224299065421</v>
      </c>
      <c r="F110" s="4"/>
      <c r="G110" s="4"/>
    </row>
    <row r="111" spans="1:7">
      <c r="A111" s="21" t="s">
        <v>184</v>
      </c>
      <c r="B111" s="171">
        <f>B110*0.27</f>
        <v>1300050</v>
      </c>
      <c r="C111" s="125">
        <f>C110*0.27</f>
        <v>1300050</v>
      </c>
      <c r="D111" s="125">
        <f>D110*0.27</f>
        <v>661572.36</v>
      </c>
      <c r="E111" s="225">
        <f t="shared" si="3"/>
        <v>50.888224299065421</v>
      </c>
    </row>
    <row r="112" spans="1:7" ht="18.600000000000001" customHeight="1">
      <c r="A112" s="124" t="s">
        <v>260</v>
      </c>
      <c r="B112" s="238">
        <f>B113+B114</f>
        <v>5626100</v>
      </c>
      <c r="C112" s="239">
        <f>C113+C114</f>
        <v>5626100</v>
      </c>
      <c r="D112" s="239">
        <f>D113+D114</f>
        <v>4961143.43</v>
      </c>
      <c r="E112" s="224">
        <f t="shared" si="3"/>
        <v>88.180861164927734</v>
      </c>
    </row>
    <row r="113" spans="1:5">
      <c r="A113" s="170" t="s">
        <v>314</v>
      </c>
      <c r="B113" s="167">
        <v>4430000</v>
      </c>
      <c r="C113" s="230">
        <v>4430000</v>
      </c>
      <c r="D113" s="230">
        <v>3906409</v>
      </c>
      <c r="E113" s="225">
        <f t="shared" si="3"/>
        <v>88.180790067720096</v>
      </c>
    </row>
    <row r="114" spans="1:5">
      <c r="A114" s="21" t="s">
        <v>178</v>
      </c>
      <c r="B114" s="171">
        <f>B113*0.27</f>
        <v>1196100</v>
      </c>
      <c r="C114" s="125">
        <f>C113*0.27</f>
        <v>1196100</v>
      </c>
      <c r="D114" s="125">
        <f>D113*0.27+4</f>
        <v>1054734.4300000002</v>
      </c>
      <c r="E114" s="225">
        <f t="shared" si="3"/>
        <v>88.181124487919078</v>
      </c>
    </row>
    <row r="115" spans="1:5" ht="19.899999999999999" customHeight="1">
      <c r="A115" s="124" t="s">
        <v>259</v>
      </c>
      <c r="B115" s="128">
        <f>SUM(B116:B120)</f>
        <v>5070000</v>
      </c>
      <c r="C115" s="128">
        <f>SUM(C116:C120)</f>
        <v>5070000</v>
      </c>
      <c r="D115" s="128">
        <f>SUM(D116:D120)</f>
        <v>4657864</v>
      </c>
      <c r="E115" s="224">
        <f t="shared" si="3"/>
        <v>91.871084812623266</v>
      </c>
    </row>
    <row r="116" spans="1:5">
      <c r="A116" s="228" t="s">
        <v>391</v>
      </c>
      <c r="B116" s="96">
        <v>0</v>
      </c>
      <c r="C116" s="235">
        <v>0</v>
      </c>
      <c r="D116" s="235">
        <v>31102</v>
      </c>
      <c r="E116" s="225">
        <v>0</v>
      </c>
    </row>
    <row r="117" spans="1:5">
      <c r="A117" s="237" t="s">
        <v>392</v>
      </c>
      <c r="B117" s="96">
        <v>0</v>
      </c>
      <c r="C117" s="235">
        <v>0</v>
      </c>
      <c r="D117" s="235">
        <v>5000</v>
      </c>
      <c r="E117" s="225">
        <v>0</v>
      </c>
    </row>
    <row r="118" spans="1:5">
      <c r="A118" s="21" t="s">
        <v>184</v>
      </c>
      <c r="B118" s="96">
        <v>0</v>
      </c>
      <c r="C118" s="235">
        <v>0</v>
      </c>
      <c r="D118" s="235">
        <v>29658</v>
      </c>
      <c r="E118" s="225">
        <v>0</v>
      </c>
    </row>
    <row r="119" spans="1:5">
      <c r="A119" s="21" t="s">
        <v>389</v>
      </c>
      <c r="B119" s="96">
        <v>0</v>
      </c>
      <c r="C119" s="235">
        <v>0</v>
      </c>
      <c r="D119" s="235">
        <v>104</v>
      </c>
      <c r="E119" s="225">
        <v>0</v>
      </c>
    </row>
    <row r="120" spans="1:5">
      <c r="A120" s="99" t="s">
        <v>278</v>
      </c>
      <c r="B120" s="125">
        <v>5070000</v>
      </c>
      <c r="C120" s="230">
        <v>5070000</v>
      </c>
      <c r="D120" s="230">
        <v>4592000</v>
      </c>
      <c r="E120" s="225">
        <f t="shared" si="3"/>
        <v>90.57199211045365</v>
      </c>
    </row>
    <row r="121" spans="1:5" ht="13.5" thickBot="1">
      <c r="A121" s="261"/>
      <c r="B121" s="262"/>
      <c r="C121" s="231"/>
      <c r="D121" s="231"/>
      <c r="E121" s="263"/>
    </row>
    <row r="122" spans="1:5" ht="13.5" thickBot="1">
      <c r="A122" s="264" t="s">
        <v>291</v>
      </c>
      <c r="B122" s="265">
        <f>B126+B133</f>
        <v>2717500</v>
      </c>
      <c r="C122" s="266">
        <f>C126+C133</f>
        <v>2808220</v>
      </c>
      <c r="D122" s="266">
        <f>D126+D133</f>
        <v>2042262.35</v>
      </c>
      <c r="E122" s="267">
        <f>E126+E133</f>
        <v>127.25631569250504</v>
      </c>
    </row>
    <row r="123" spans="1:5" ht="7.5" customHeight="1">
      <c r="A123" s="107"/>
      <c r="B123" s="129"/>
    </row>
    <row r="124" spans="1:5">
      <c r="A124" s="120" t="s">
        <v>107</v>
      </c>
      <c r="B124" s="130"/>
    </row>
    <row r="125" spans="1:5" ht="9.6" customHeight="1">
      <c r="A125" s="99"/>
      <c r="B125" s="109"/>
    </row>
    <row r="126" spans="1:5" ht="25.15" customHeight="1">
      <c r="A126" s="245" t="s">
        <v>393</v>
      </c>
      <c r="B126" s="128">
        <f>SUM(B128:B131)</f>
        <v>2463500</v>
      </c>
      <c r="C126" s="128">
        <f>SUM(C128:C131)</f>
        <v>2554220</v>
      </c>
      <c r="D126" s="128">
        <f>SUM(D127:D132)</f>
        <v>1908854</v>
      </c>
      <c r="E126" s="243">
        <f t="shared" ref="E126:E135" si="4">D126/C126*100</f>
        <v>74.733343251560157</v>
      </c>
    </row>
    <row r="127" spans="1:5">
      <c r="A127" s="228" t="s">
        <v>391</v>
      </c>
      <c r="B127" s="96">
        <v>0</v>
      </c>
      <c r="C127" s="235">
        <v>0</v>
      </c>
      <c r="D127" s="235">
        <v>7874</v>
      </c>
      <c r="E127" s="225">
        <v>0</v>
      </c>
    </row>
    <row r="128" spans="1:5">
      <c r="A128" s="93" t="s">
        <v>315</v>
      </c>
      <c r="B128" s="96">
        <v>700000</v>
      </c>
      <c r="C128" s="230">
        <v>700000</v>
      </c>
      <c r="D128" s="230">
        <v>537500</v>
      </c>
      <c r="E128" s="226">
        <f t="shared" si="4"/>
        <v>76.785714285714292</v>
      </c>
    </row>
    <row r="129" spans="1:5">
      <c r="A129" s="108" t="s">
        <v>316</v>
      </c>
      <c r="B129" s="131">
        <v>50000</v>
      </c>
      <c r="C129" s="230">
        <v>50000</v>
      </c>
      <c r="D129" s="230">
        <v>20000</v>
      </c>
      <c r="E129" s="226">
        <f t="shared" si="4"/>
        <v>40</v>
      </c>
    </row>
    <row r="130" spans="1:5">
      <c r="A130" s="21" t="s">
        <v>184</v>
      </c>
      <c r="B130" s="131">
        <f>B129*0.27</f>
        <v>13500</v>
      </c>
      <c r="C130" s="181">
        <f>C129*0.27</f>
        <v>13500</v>
      </c>
      <c r="D130" s="181">
        <v>2126</v>
      </c>
      <c r="E130" s="226">
        <f t="shared" si="4"/>
        <v>15.748148148148147</v>
      </c>
    </row>
    <row r="131" spans="1:5">
      <c r="A131" s="99" t="s">
        <v>442</v>
      </c>
      <c r="B131" s="131">
        <v>1700000</v>
      </c>
      <c r="C131" s="230">
        <v>1790720</v>
      </c>
      <c r="D131" s="230">
        <v>1341287</v>
      </c>
      <c r="E131" s="226">
        <f t="shared" si="4"/>
        <v>74.902106415296643</v>
      </c>
    </row>
    <row r="132" spans="1:5">
      <c r="A132" s="21" t="s">
        <v>389</v>
      </c>
      <c r="B132" s="131">
        <v>0</v>
      </c>
      <c r="C132" s="230">
        <v>0</v>
      </c>
      <c r="D132" s="230">
        <v>67</v>
      </c>
      <c r="E132" s="226">
        <v>0</v>
      </c>
    </row>
    <row r="133" spans="1:5" ht="18" customHeight="1">
      <c r="A133" s="124" t="s">
        <v>292</v>
      </c>
      <c r="B133" s="128">
        <f>SUM(B134:B135)</f>
        <v>254000</v>
      </c>
      <c r="C133" s="128">
        <f>SUM(C134:C135)</f>
        <v>254000</v>
      </c>
      <c r="D133" s="128">
        <f>SUM(D134:D136)</f>
        <v>133408.35</v>
      </c>
      <c r="E133" s="242">
        <f t="shared" si="4"/>
        <v>52.522972440944883</v>
      </c>
    </row>
    <row r="134" spans="1:5">
      <c r="A134" s="108" t="s">
        <v>317</v>
      </c>
      <c r="B134" s="131">
        <v>200000</v>
      </c>
      <c r="C134" s="230">
        <v>200000</v>
      </c>
      <c r="D134" s="230">
        <v>47005</v>
      </c>
      <c r="E134" s="226">
        <f t="shared" si="4"/>
        <v>23.502500000000001</v>
      </c>
    </row>
    <row r="135" spans="1:5">
      <c r="A135" s="21" t="s">
        <v>184</v>
      </c>
      <c r="B135" s="131">
        <f>B134*0.27</f>
        <v>54000</v>
      </c>
      <c r="C135" s="181">
        <f>C134*0.27</f>
        <v>54000</v>
      </c>
      <c r="D135" s="181">
        <f>D134*0.27-1</f>
        <v>12690.35</v>
      </c>
      <c r="E135" s="226">
        <f t="shared" si="4"/>
        <v>23.500648148148148</v>
      </c>
    </row>
    <row r="136" spans="1:5">
      <c r="A136" s="99" t="s">
        <v>278</v>
      </c>
      <c r="B136" s="131">
        <v>0</v>
      </c>
      <c r="C136" s="230">
        <v>0</v>
      </c>
      <c r="D136" s="230">
        <v>73713</v>
      </c>
      <c r="E136" s="244">
        <v>0</v>
      </c>
    </row>
    <row r="137" spans="1:5">
      <c r="B137" s="131"/>
    </row>
  </sheetData>
  <mergeCells count="4">
    <mergeCell ref="A4:D4"/>
    <mergeCell ref="B6:E6"/>
    <mergeCell ref="B8:C8"/>
    <mergeCell ref="D1:E1"/>
  </mergeCells>
  <phoneticPr fontId="4" type="noConversion"/>
  <printOptions gridLines="1"/>
  <pageMargins left="0.28999999999999998" right="0.16" top="0.94" bottom="0.87" header="0.34" footer="0.61"/>
  <pageSetup paperSize="9" firstPageNumber="0" orientation="portrait" horizontalDpi="300" verticalDpi="300" r:id="rId1"/>
  <headerFooter alignWithMargins="0">
    <oddFooter>&amp;C&amp;P. oldal</oddFooter>
  </headerFooter>
  <rowBreaks count="1" manualBreakCount="1">
    <brk id="10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6"/>
  <dimension ref="A1:GP689"/>
  <sheetViews>
    <sheetView topLeftCell="F1" workbookViewId="0">
      <selection activeCell="G32" sqref="G32"/>
    </sheetView>
  </sheetViews>
  <sheetFormatPr defaultRowHeight="12.75"/>
  <cols>
    <col min="1" max="1" width="56.42578125" style="1" customWidth="1"/>
    <col min="2" max="2" width="9.85546875" style="25" customWidth="1"/>
    <col min="3" max="3" width="9.7109375" style="223" customWidth="1"/>
    <col min="4" max="4" width="9.28515625" style="223" customWidth="1"/>
    <col min="5" max="5" width="6.7109375" style="19" customWidth="1"/>
    <col min="6" max="198" width="9.140625" style="1" customWidth="1"/>
  </cols>
  <sheetData>
    <row r="1" spans="1:198" ht="25.5" customHeight="1">
      <c r="A1" s="627" t="s">
        <v>232</v>
      </c>
      <c r="B1" s="627"/>
      <c r="C1" s="627"/>
      <c r="D1" s="627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</row>
    <row r="2" spans="1:198" ht="25.5" customHeight="1">
      <c r="A2" s="571"/>
      <c r="B2" s="571"/>
      <c r="C2" s="571"/>
      <c r="D2" s="571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</row>
    <row r="3" spans="1:198">
      <c r="A3" s="3"/>
      <c r="B3" s="622" t="s">
        <v>909</v>
      </c>
      <c r="C3" s="622"/>
      <c r="D3" s="17"/>
      <c r="E3" s="19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</row>
    <row r="4" spans="1:198">
      <c r="A4" s="111"/>
      <c r="B4" s="584" t="s">
        <v>905</v>
      </c>
      <c r="C4" s="585" t="s">
        <v>906</v>
      </c>
      <c r="D4" s="585" t="s">
        <v>907</v>
      </c>
      <c r="E4" s="585" t="s">
        <v>908</v>
      </c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</row>
    <row r="5" spans="1:198">
      <c r="A5" s="112" t="s">
        <v>109</v>
      </c>
      <c r="B5" s="581">
        <f>B9+B34</f>
        <v>68000394</v>
      </c>
      <c r="C5" s="582">
        <f>C9+C34</f>
        <v>68227455</v>
      </c>
      <c r="D5" s="582">
        <f>D9+D34</f>
        <v>47384899</v>
      </c>
      <c r="E5" s="583">
        <f>D5/C5*100</f>
        <v>69.45136528982357</v>
      </c>
    </row>
    <row r="6" spans="1:198">
      <c r="A6" s="28"/>
      <c r="B6" s="29"/>
      <c r="C6" s="247"/>
      <c r="D6" s="247"/>
    </row>
    <row r="7" spans="1:198">
      <c r="A7" s="102" t="s">
        <v>107</v>
      </c>
      <c r="B7" s="29"/>
      <c r="C7" s="247"/>
      <c r="D7" s="247"/>
    </row>
    <row r="8" spans="1:198">
      <c r="A8" s="28"/>
      <c r="B8" s="29"/>
      <c r="C8" s="247"/>
      <c r="D8" s="247"/>
    </row>
    <row r="9" spans="1:198">
      <c r="A9" s="42" t="s">
        <v>240</v>
      </c>
      <c r="B9" s="104">
        <f>B10+B14+B23+B21</f>
        <v>66640394</v>
      </c>
      <c r="C9" s="249">
        <f>C10+C14+C23+C21+C29+C30</f>
        <v>64867455</v>
      </c>
      <c r="D9" s="249">
        <f>D10+D14+D23+D21+D29+D30</f>
        <v>44804899</v>
      </c>
      <c r="E9" s="251">
        <f t="shared" ref="E9:E15" si="0">D9/C9*100</f>
        <v>69.071461181882341</v>
      </c>
    </row>
    <row r="10" spans="1:198">
      <c r="A10" s="27" t="s">
        <v>186</v>
      </c>
      <c r="B10" s="117">
        <f>B11+B13+B12</f>
        <v>4200000</v>
      </c>
      <c r="C10" s="250">
        <f>C11+C13+C12</f>
        <v>4058000</v>
      </c>
      <c r="D10" s="250">
        <f>D11+D13+D12</f>
        <v>4058000</v>
      </c>
      <c r="E10" s="251">
        <f t="shared" si="0"/>
        <v>100</v>
      </c>
    </row>
    <row r="11" spans="1:198">
      <c r="A11" s="116" t="s">
        <v>113</v>
      </c>
      <c r="B11" s="105">
        <v>700000</v>
      </c>
      <c r="C11" s="247">
        <v>583000</v>
      </c>
      <c r="D11" s="247">
        <v>500000</v>
      </c>
      <c r="E11" s="244">
        <f t="shared" si="0"/>
        <v>85.763293310463112</v>
      </c>
    </row>
    <row r="12" spans="1:198">
      <c r="A12" s="116" t="s">
        <v>33</v>
      </c>
      <c r="B12" s="105">
        <v>200000</v>
      </c>
      <c r="C12" s="247">
        <v>175000</v>
      </c>
      <c r="D12" s="247">
        <v>258000</v>
      </c>
      <c r="E12" s="244">
        <f t="shared" si="0"/>
        <v>147.42857142857142</v>
      </c>
    </row>
    <row r="13" spans="1:198">
      <c r="A13" s="21" t="s">
        <v>187</v>
      </c>
      <c r="B13" s="25">
        <v>3300000</v>
      </c>
      <c r="C13" s="247">
        <v>3300000</v>
      </c>
      <c r="D13" s="247">
        <v>3300000</v>
      </c>
      <c r="E13" s="244">
        <f t="shared" si="0"/>
        <v>100</v>
      </c>
    </row>
    <row r="14" spans="1:198">
      <c r="A14" s="27" t="s">
        <v>188</v>
      </c>
      <c r="B14" s="79">
        <f>SUM(B15:B19)</f>
        <v>34340394</v>
      </c>
      <c r="C14" s="250">
        <f>SUM(C15:C20)</f>
        <v>34624805</v>
      </c>
      <c r="D14" s="250">
        <f>SUM(D15:D20)</f>
        <v>28191018</v>
      </c>
      <c r="E14" s="251">
        <f t="shared" si="0"/>
        <v>81.418561057600186</v>
      </c>
    </row>
    <row r="15" spans="1:198">
      <c r="A15" s="24" t="s">
        <v>82</v>
      </c>
      <c r="B15" s="25">
        <f>1359180+68000</f>
        <v>1427180</v>
      </c>
      <c r="C15" s="247">
        <v>1427180</v>
      </c>
      <c r="D15" s="247">
        <v>1354344</v>
      </c>
      <c r="E15" s="244">
        <f t="shared" si="0"/>
        <v>94.896509199960761</v>
      </c>
    </row>
    <row r="16" spans="1:198">
      <c r="A16" s="24" t="s">
        <v>85</v>
      </c>
      <c r="B16" s="25">
        <v>2267592</v>
      </c>
      <c r="C16" s="247">
        <v>2687844</v>
      </c>
      <c r="D16" s="247">
        <v>2687844</v>
      </c>
      <c r="E16" s="244">
        <f t="shared" ref="E16:E27" si="1">D16/C16*100</f>
        <v>100</v>
      </c>
    </row>
    <row r="17" spans="1:5">
      <c r="A17" s="21" t="s">
        <v>158</v>
      </c>
      <c r="B17" s="25">
        <v>268830</v>
      </c>
      <c r="C17" s="247">
        <v>195994</v>
      </c>
      <c r="D17" s="247">
        <v>268830</v>
      </c>
      <c r="E17" s="244">
        <f t="shared" si="1"/>
        <v>137.16236211312591</v>
      </c>
    </row>
    <row r="18" spans="1:5">
      <c r="A18" s="21" t="s">
        <v>3</v>
      </c>
      <c r="B18" s="25">
        <v>23850000</v>
      </c>
      <c r="C18" s="247">
        <v>23850000</v>
      </c>
      <c r="D18" s="247">
        <v>23850000</v>
      </c>
      <c r="E18" s="244">
        <f t="shared" si="1"/>
        <v>100</v>
      </c>
    </row>
    <row r="19" spans="1:5">
      <c r="A19" s="21" t="s">
        <v>237</v>
      </c>
      <c r="B19" s="25">
        <f>6526792</f>
        <v>6526792</v>
      </c>
      <c r="C19" s="247">
        <v>6433787</v>
      </c>
      <c r="D19" s="247">
        <v>0</v>
      </c>
      <c r="E19" s="244">
        <f t="shared" si="1"/>
        <v>0</v>
      </c>
    </row>
    <row r="20" spans="1:5">
      <c r="A20" s="248" t="s">
        <v>394</v>
      </c>
      <c r="B20" s="25">
        <v>0</v>
      </c>
      <c r="C20" s="247">
        <v>30000</v>
      </c>
      <c r="D20" s="247">
        <v>30000</v>
      </c>
      <c r="E20" s="244">
        <f t="shared" si="1"/>
        <v>100</v>
      </c>
    </row>
    <row r="21" spans="1:5">
      <c r="A21" s="27" t="s">
        <v>190</v>
      </c>
      <c r="B21" s="117">
        <f>B22</f>
        <v>22500000</v>
      </c>
      <c r="C21" s="250">
        <f>C22</f>
        <v>5000000</v>
      </c>
      <c r="D21" s="250">
        <f>D22</f>
        <v>3232420</v>
      </c>
      <c r="E21" s="251">
        <f>E22</f>
        <v>64.648399999999995</v>
      </c>
    </row>
    <row r="22" spans="1:5">
      <c r="A22" s="21" t="s">
        <v>233</v>
      </c>
      <c r="B22" s="25">
        <v>22500000</v>
      </c>
      <c r="C22" s="247">
        <v>5000000</v>
      </c>
      <c r="D22" s="247">
        <v>3232420</v>
      </c>
      <c r="E22" s="244">
        <f t="shared" si="1"/>
        <v>64.648399999999995</v>
      </c>
    </row>
    <row r="23" spans="1:5">
      <c r="A23" s="27" t="s">
        <v>194</v>
      </c>
      <c r="B23" s="79">
        <f>B24+B25+B26</f>
        <v>5600000</v>
      </c>
      <c r="C23" s="250">
        <f>C24+C25+C26+C27</f>
        <v>8839301</v>
      </c>
      <c r="D23" s="250">
        <f>SUM(D24:D28)</f>
        <v>8201711</v>
      </c>
      <c r="E23" s="251">
        <f t="shared" si="1"/>
        <v>92.786873079669988</v>
      </c>
    </row>
    <row r="24" spans="1:5">
      <c r="A24" s="21" t="s">
        <v>195</v>
      </c>
      <c r="B24" s="25">
        <v>4200000</v>
      </c>
      <c r="C24" s="247">
        <v>4200000</v>
      </c>
      <c r="D24" s="247">
        <v>3617500</v>
      </c>
      <c r="E24" s="244">
        <f t="shared" si="1"/>
        <v>86.13095238095238</v>
      </c>
    </row>
    <row r="25" spans="1:5">
      <c r="A25" s="21" t="s">
        <v>196</v>
      </c>
      <c r="B25" s="25">
        <v>1300000</v>
      </c>
      <c r="C25" s="247">
        <v>2312101</v>
      </c>
      <c r="D25" s="247">
        <v>2312101</v>
      </c>
      <c r="E25" s="244">
        <f t="shared" si="1"/>
        <v>100</v>
      </c>
    </row>
    <row r="26" spans="1:5">
      <c r="A26" s="21" t="s">
        <v>88</v>
      </c>
      <c r="B26" s="25">
        <v>100000</v>
      </c>
      <c r="C26" s="247">
        <v>100000</v>
      </c>
      <c r="D26" s="247">
        <v>44910</v>
      </c>
      <c r="E26" s="244">
        <f t="shared" si="1"/>
        <v>44.91</v>
      </c>
    </row>
    <row r="27" spans="1:5">
      <c r="A27" s="21" t="s">
        <v>395</v>
      </c>
      <c r="B27" s="25">
        <v>0</v>
      </c>
      <c r="C27" s="247">
        <v>2227200</v>
      </c>
      <c r="D27" s="247">
        <v>2227200</v>
      </c>
      <c r="E27" s="244">
        <f t="shared" si="1"/>
        <v>100</v>
      </c>
    </row>
    <row r="28" spans="1:5">
      <c r="A28" s="21" t="s">
        <v>396</v>
      </c>
      <c r="B28" s="25">
        <v>1360000</v>
      </c>
      <c r="C28" s="247">
        <v>0</v>
      </c>
      <c r="D28" s="247">
        <v>0</v>
      </c>
      <c r="E28" s="244">
        <v>0</v>
      </c>
    </row>
    <row r="29" spans="1:5">
      <c r="A29" s="254" t="s">
        <v>399</v>
      </c>
      <c r="B29" s="117">
        <v>0</v>
      </c>
      <c r="C29" s="250">
        <v>12108599</v>
      </c>
      <c r="D29" s="250">
        <v>885000</v>
      </c>
      <c r="E29" s="252">
        <v>0</v>
      </c>
    </row>
    <row r="30" spans="1:5">
      <c r="A30" s="254" t="s">
        <v>398</v>
      </c>
      <c r="B30" s="117">
        <v>0</v>
      </c>
      <c r="C30" s="250">
        <v>236750</v>
      </c>
      <c r="D30" s="250">
        <v>236750</v>
      </c>
      <c r="E30" s="252">
        <v>0</v>
      </c>
    </row>
    <row r="31" spans="1:5">
      <c r="A31" s="27"/>
      <c r="B31" s="79"/>
      <c r="C31" s="247"/>
      <c r="D31" s="247"/>
      <c r="E31" s="244"/>
    </row>
    <row r="32" spans="1:5">
      <c r="A32" s="102" t="s">
        <v>296</v>
      </c>
      <c r="B32" s="79"/>
      <c r="C32" s="247"/>
      <c r="D32" s="247"/>
      <c r="E32" s="244"/>
    </row>
    <row r="33" spans="1:5">
      <c r="A33" s="86"/>
      <c r="B33" s="79"/>
      <c r="C33" s="247"/>
      <c r="D33" s="247"/>
      <c r="E33" s="244"/>
    </row>
    <row r="34" spans="1:5">
      <c r="A34" s="42" t="s">
        <v>240</v>
      </c>
      <c r="B34" s="79">
        <f>+B35</f>
        <v>1360000</v>
      </c>
      <c r="C34" s="250">
        <f>C35</f>
        <v>3360000</v>
      </c>
      <c r="D34" s="250">
        <f>D35</f>
        <v>2580000</v>
      </c>
      <c r="E34" s="251">
        <f>D34/C34*100</f>
        <v>76.785714285714292</v>
      </c>
    </row>
    <row r="35" spans="1:5">
      <c r="A35" s="27" t="s">
        <v>194</v>
      </c>
      <c r="B35" s="79">
        <f>B36+B37</f>
        <v>1360000</v>
      </c>
      <c r="C35" s="250">
        <f>C36+C37+C38</f>
        <v>3360000</v>
      </c>
      <c r="D35" s="250">
        <f>D36+D37+D38</f>
        <v>2580000</v>
      </c>
      <c r="E35" s="252">
        <f>E36+E37</f>
        <v>84.935064935064929</v>
      </c>
    </row>
    <row r="36" spans="1:5">
      <c r="A36" s="87" t="s">
        <v>111</v>
      </c>
      <c r="B36" s="247">
        <v>700000</v>
      </c>
      <c r="C36" s="247">
        <v>700000</v>
      </c>
      <c r="D36" s="247">
        <v>340000</v>
      </c>
      <c r="E36" s="244">
        <f>D36/C36*100</f>
        <v>48.571428571428569</v>
      </c>
    </row>
    <row r="37" spans="1:5">
      <c r="A37" s="87" t="s">
        <v>110</v>
      </c>
      <c r="B37" s="247">
        <v>660000</v>
      </c>
      <c r="C37" s="247">
        <v>660000</v>
      </c>
      <c r="D37" s="247">
        <v>240000</v>
      </c>
      <c r="E37" s="244">
        <f>D37/C37*100</f>
        <v>36.363636363636367</v>
      </c>
    </row>
    <row r="38" spans="1:5">
      <c r="A38" s="87" t="s">
        <v>397</v>
      </c>
      <c r="B38" s="105">
        <v>0</v>
      </c>
      <c r="C38" s="247">
        <v>2000000</v>
      </c>
      <c r="D38" s="247">
        <v>2000000</v>
      </c>
      <c r="E38" s="244">
        <f>D38/C38*100</f>
        <v>100</v>
      </c>
    </row>
    <row r="39" spans="1:5">
      <c r="A39" s="21"/>
      <c r="B39" s="22"/>
      <c r="E39" s="244"/>
    </row>
    <row r="40" spans="1:5">
      <c r="A40" s="113" t="s">
        <v>114</v>
      </c>
      <c r="B40" s="202">
        <f>B44</f>
        <v>15334200</v>
      </c>
      <c r="C40" s="255">
        <f>C44</f>
        <v>15334200</v>
      </c>
      <c r="D40" s="255">
        <f>D44</f>
        <v>14164563</v>
      </c>
      <c r="E40" s="253">
        <f>E44</f>
        <v>92.37236373596275</v>
      </c>
    </row>
    <row r="41" spans="1:5">
      <c r="A41" s="76"/>
      <c r="B41" s="101"/>
    </row>
    <row r="42" spans="1:5">
      <c r="A42" s="102" t="s">
        <v>107</v>
      </c>
      <c r="B42" s="101"/>
    </row>
    <row r="43" spans="1:5">
      <c r="A43" s="76"/>
      <c r="B43" s="101"/>
    </row>
    <row r="44" spans="1:5">
      <c r="A44" s="42" t="s">
        <v>240</v>
      </c>
      <c r="B44" s="101">
        <f>B45</f>
        <v>15334200</v>
      </c>
      <c r="C44" s="101">
        <f>C45</f>
        <v>15334200</v>
      </c>
      <c r="D44" s="101">
        <f>D45</f>
        <v>14164563</v>
      </c>
      <c r="E44" s="595">
        <f>D44/C44*100</f>
        <v>92.37236373596275</v>
      </c>
    </row>
    <row r="45" spans="1:5">
      <c r="A45" s="27" t="s">
        <v>190</v>
      </c>
      <c r="B45" s="11">
        <f>SUM(B46:B49)</f>
        <v>15334200</v>
      </c>
      <c r="C45" s="11">
        <f>SUM(C46:C49)</f>
        <v>15334200</v>
      </c>
      <c r="D45" s="11">
        <f>SUM(D46:D49)</f>
        <v>14164563</v>
      </c>
      <c r="E45" s="595">
        <f>D45/C45*100</f>
        <v>92.37236373596275</v>
      </c>
    </row>
    <row r="46" spans="1:5">
      <c r="A46" s="21" t="s">
        <v>192</v>
      </c>
      <c r="B46" s="152">
        <v>1923200</v>
      </c>
      <c r="C46" s="247">
        <v>1923200</v>
      </c>
      <c r="D46" s="247">
        <v>1748763</v>
      </c>
      <c r="E46" s="244">
        <f>D46/C46*100</f>
        <v>90.929856489184687</v>
      </c>
    </row>
    <row r="47" spans="1:5">
      <c r="A47" s="21" t="s">
        <v>139</v>
      </c>
      <c r="B47" s="152">
        <v>5677000</v>
      </c>
      <c r="C47" s="247">
        <v>5677000</v>
      </c>
      <c r="D47" s="247">
        <v>5476000</v>
      </c>
      <c r="E47" s="244">
        <f>D47/C47*100</f>
        <v>96.459397569138631</v>
      </c>
    </row>
    <row r="48" spans="1:5">
      <c r="A48" s="21" t="s">
        <v>193</v>
      </c>
      <c r="B48" s="152">
        <v>7734000</v>
      </c>
      <c r="C48" s="247">
        <v>7734000</v>
      </c>
      <c r="D48" s="247">
        <v>6939800</v>
      </c>
      <c r="E48" s="244">
        <f>D48/C48*100</f>
        <v>89.731057667442457</v>
      </c>
    </row>
    <row r="49" spans="1:5">
      <c r="A49" s="21"/>
      <c r="B49" s="152"/>
    </row>
    <row r="50" spans="1:5">
      <c r="A50" s="23"/>
      <c r="B50" s="85"/>
    </row>
    <row r="51" spans="1:5">
      <c r="A51" s="112" t="s">
        <v>197</v>
      </c>
      <c r="B51" s="203">
        <f>B5+B40</f>
        <v>83334594</v>
      </c>
      <c r="C51" s="256">
        <f>C5+C40</f>
        <v>83561655</v>
      </c>
      <c r="D51" s="256">
        <f>D5+D40</f>
        <v>61549462</v>
      </c>
      <c r="E51" s="253">
        <f>D51/C51*100</f>
        <v>73.657543044115144</v>
      </c>
    </row>
    <row r="52" spans="1:5">
      <c r="A52" s="30"/>
      <c r="B52" s="31"/>
    </row>
    <row r="53" spans="1:5">
      <c r="A53" s="30"/>
      <c r="B53" s="32"/>
    </row>
    <row r="54" spans="1:5">
      <c r="A54" s="28"/>
      <c r="B54" s="29"/>
    </row>
    <row r="55" spans="1:5">
      <c r="A55" s="27"/>
      <c r="B55" s="26"/>
    </row>
    <row r="56" spans="1:5">
      <c r="A56" s="21"/>
    </row>
    <row r="57" spans="1:5" hidden="1">
      <c r="A57" s="4"/>
    </row>
    <row r="58" spans="1:5" hidden="1">
      <c r="A58" s="4"/>
    </row>
    <row r="59" spans="1:5" hidden="1">
      <c r="A59" s="4"/>
    </row>
    <row r="60" spans="1:5" hidden="1">
      <c r="A60" s="4"/>
    </row>
    <row r="61" spans="1:5" hidden="1">
      <c r="A61" s="4"/>
    </row>
    <row r="62" spans="1:5" hidden="1">
      <c r="A62" s="4"/>
    </row>
    <row r="63" spans="1:5" hidden="1">
      <c r="A63" s="4"/>
    </row>
    <row r="64" spans="1:5" hidden="1">
      <c r="A64" s="4"/>
    </row>
    <row r="65" spans="1:1" hidden="1">
      <c r="A65" s="4"/>
    </row>
    <row r="66" spans="1:1" hidden="1">
      <c r="A66" s="4"/>
    </row>
    <row r="67" spans="1:1" hidden="1">
      <c r="A67" s="4"/>
    </row>
    <row r="68" spans="1:1" hidden="1">
      <c r="A68" s="4"/>
    </row>
    <row r="69" spans="1:1" hidden="1">
      <c r="A69" s="4"/>
    </row>
    <row r="70" spans="1:1" hidden="1">
      <c r="A70" s="4"/>
    </row>
    <row r="71" spans="1:1" hidden="1">
      <c r="A71" s="4"/>
    </row>
    <row r="72" spans="1:1" hidden="1">
      <c r="A72" s="4"/>
    </row>
    <row r="73" spans="1:1" hidden="1">
      <c r="A73" s="4"/>
    </row>
    <row r="74" spans="1:1" hidden="1">
      <c r="A74" s="4"/>
    </row>
    <row r="75" spans="1:1" hidden="1">
      <c r="A75" s="4"/>
    </row>
    <row r="76" spans="1:1" hidden="1">
      <c r="A76" s="4"/>
    </row>
    <row r="77" spans="1:1" hidden="1">
      <c r="A77" s="4"/>
    </row>
    <row r="78" spans="1:1" hidden="1">
      <c r="A78" s="4"/>
    </row>
    <row r="79" spans="1:1" hidden="1">
      <c r="A79" s="4"/>
    </row>
    <row r="80" spans="1:1" hidden="1">
      <c r="A80" s="4"/>
    </row>
    <row r="81" spans="1:1" hidden="1">
      <c r="A81" s="4"/>
    </row>
    <row r="82" spans="1:1" hidden="1">
      <c r="A82" s="4"/>
    </row>
    <row r="83" spans="1:1" hidden="1">
      <c r="A83" s="4"/>
    </row>
    <row r="84" spans="1:1" hidden="1">
      <c r="A84" s="4"/>
    </row>
    <row r="85" spans="1:1" hidden="1">
      <c r="A85" s="4"/>
    </row>
    <row r="86" spans="1:1" hidden="1">
      <c r="A86" s="4"/>
    </row>
    <row r="87" spans="1:1" hidden="1">
      <c r="A87" s="4"/>
    </row>
    <row r="88" spans="1:1" hidden="1">
      <c r="A88" s="4"/>
    </row>
    <row r="89" spans="1:1" hidden="1">
      <c r="A89" s="4"/>
    </row>
    <row r="90" spans="1:1" hidden="1">
      <c r="A90" s="4"/>
    </row>
    <row r="91" spans="1:1" hidden="1">
      <c r="A91" s="4"/>
    </row>
    <row r="92" spans="1:1" hidden="1">
      <c r="A92" s="4"/>
    </row>
    <row r="93" spans="1:1" hidden="1">
      <c r="A93" s="4"/>
    </row>
    <row r="94" spans="1:1" hidden="1">
      <c r="A94" s="4"/>
    </row>
    <row r="95" spans="1:1" hidden="1">
      <c r="A95" s="4"/>
    </row>
    <row r="96" spans="1:1" hidden="1">
      <c r="A96" s="4"/>
    </row>
    <row r="97" spans="1:1" hidden="1">
      <c r="A97" s="4"/>
    </row>
    <row r="98" spans="1:1" hidden="1">
      <c r="A98" s="4"/>
    </row>
    <row r="99" spans="1:1" hidden="1">
      <c r="A99" s="4"/>
    </row>
    <row r="100" spans="1:1" hidden="1">
      <c r="A100" s="4"/>
    </row>
    <row r="101" spans="1:1" hidden="1">
      <c r="A101" s="4"/>
    </row>
    <row r="102" spans="1:1" hidden="1">
      <c r="A102" s="4"/>
    </row>
    <row r="103" spans="1:1" hidden="1">
      <c r="A103" s="4"/>
    </row>
    <row r="104" spans="1:1" hidden="1">
      <c r="A104" s="4"/>
    </row>
    <row r="105" spans="1:1" hidden="1">
      <c r="A105" s="4"/>
    </row>
    <row r="106" spans="1:1" hidden="1">
      <c r="A106" s="4"/>
    </row>
    <row r="107" spans="1:1" hidden="1">
      <c r="A107" s="4"/>
    </row>
    <row r="108" spans="1:1" hidden="1">
      <c r="A108" s="4"/>
    </row>
    <row r="109" spans="1:1" hidden="1">
      <c r="A109" s="4"/>
    </row>
    <row r="110" spans="1:1" hidden="1">
      <c r="A110" s="4"/>
    </row>
    <row r="111" spans="1:1" hidden="1">
      <c r="A111" s="4"/>
    </row>
    <row r="112" spans="1:1" hidden="1">
      <c r="A112" s="4"/>
    </row>
    <row r="113" spans="1:1" hidden="1">
      <c r="A113" s="4"/>
    </row>
    <row r="114" spans="1:1" hidden="1">
      <c r="A114" s="4"/>
    </row>
    <row r="115" spans="1:1" hidden="1">
      <c r="A115" s="4"/>
    </row>
    <row r="116" spans="1:1" hidden="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  <row r="325" spans="1:1">
      <c r="A325" s="4"/>
    </row>
    <row r="326" spans="1:1">
      <c r="A326" s="4"/>
    </row>
    <row r="327" spans="1:1">
      <c r="A327" s="4"/>
    </row>
    <row r="328" spans="1:1">
      <c r="A328" s="4"/>
    </row>
    <row r="329" spans="1:1">
      <c r="A329" s="4"/>
    </row>
    <row r="330" spans="1:1">
      <c r="A330" s="4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>
      <c r="A339" s="4"/>
    </row>
    <row r="340" spans="1:1">
      <c r="A340" s="4"/>
    </row>
    <row r="341" spans="1:1">
      <c r="A341" s="4"/>
    </row>
    <row r="342" spans="1:1">
      <c r="A342" s="4"/>
    </row>
    <row r="343" spans="1:1">
      <c r="A343" s="4"/>
    </row>
    <row r="344" spans="1:1">
      <c r="A344" s="4"/>
    </row>
    <row r="345" spans="1:1">
      <c r="A345" s="4"/>
    </row>
    <row r="346" spans="1:1">
      <c r="A346" s="4"/>
    </row>
    <row r="347" spans="1:1">
      <c r="A347" s="4"/>
    </row>
    <row r="348" spans="1:1">
      <c r="A348" s="4"/>
    </row>
    <row r="349" spans="1:1">
      <c r="A349" s="4"/>
    </row>
    <row r="350" spans="1:1">
      <c r="A350" s="4"/>
    </row>
    <row r="351" spans="1:1">
      <c r="A351" s="4"/>
    </row>
    <row r="352" spans="1:1">
      <c r="A352" s="4"/>
    </row>
    <row r="353" spans="1:1">
      <c r="A353" s="4"/>
    </row>
    <row r="354" spans="1:1">
      <c r="A354" s="4"/>
    </row>
    <row r="355" spans="1:1">
      <c r="A355" s="4"/>
    </row>
    <row r="356" spans="1:1">
      <c r="A356" s="4"/>
    </row>
    <row r="357" spans="1:1">
      <c r="A357" s="4"/>
    </row>
    <row r="358" spans="1:1">
      <c r="A358" s="4"/>
    </row>
    <row r="359" spans="1:1">
      <c r="A359" s="4"/>
    </row>
    <row r="360" spans="1:1">
      <c r="A360" s="4"/>
    </row>
    <row r="361" spans="1:1">
      <c r="A361" s="4"/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  <row r="368" spans="1:1">
      <c r="A368" s="4"/>
    </row>
    <row r="369" spans="1:1">
      <c r="A369" s="4"/>
    </row>
    <row r="370" spans="1:1">
      <c r="A370" s="4"/>
    </row>
    <row r="371" spans="1:1">
      <c r="A371" s="4"/>
    </row>
    <row r="372" spans="1:1">
      <c r="A372" s="4"/>
    </row>
    <row r="373" spans="1:1">
      <c r="A373" s="4"/>
    </row>
    <row r="374" spans="1:1">
      <c r="A374" s="4"/>
    </row>
    <row r="375" spans="1:1">
      <c r="A375" s="4"/>
    </row>
    <row r="376" spans="1:1">
      <c r="A376" s="4"/>
    </row>
    <row r="377" spans="1:1">
      <c r="A377" s="4"/>
    </row>
    <row r="378" spans="1:1">
      <c r="A378" s="4"/>
    </row>
    <row r="379" spans="1:1">
      <c r="A379" s="4"/>
    </row>
    <row r="380" spans="1:1">
      <c r="A380" s="4"/>
    </row>
    <row r="381" spans="1:1">
      <c r="A381" s="4"/>
    </row>
    <row r="382" spans="1:1">
      <c r="A382" s="4"/>
    </row>
    <row r="383" spans="1:1">
      <c r="A383" s="4"/>
    </row>
    <row r="384" spans="1:1">
      <c r="A384" s="4"/>
    </row>
    <row r="385" spans="1:1">
      <c r="A385" s="4"/>
    </row>
    <row r="386" spans="1:1">
      <c r="A386" s="4"/>
    </row>
    <row r="387" spans="1:1">
      <c r="A387" s="4"/>
    </row>
    <row r="388" spans="1:1">
      <c r="A388" s="4"/>
    </row>
    <row r="389" spans="1:1">
      <c r="A389" s="4"/>
    </row>
    <row r="390" spans="1:1">
      <c r="A390" s="4"/>
    </row>
    <row r="391" spans="1:1">
      <c r="A391" s="4"/>
    </row>
    <row r="392" spans="1:1">
      <c r="A392" s="4"/>
    </row>
    <row r="393" spans="1:1">
      <c r="A393" s="4"/>
    </row>
    <row r="394" spans="1:1">
      <c r="A394" s="4"/>
    </row>
    <row r="395" spans="1:1">
      <c r="A395" s="4"/>
    </row>
    <row r="396" spans="1:1">
      <c r="A396" s="4"/>
    </row>
    <row r="397" spans="1:1">
      <c r="A397" s="4"/>
    </row>
    <row r="398" spans="1:1">
      <c r="A398" s="4"/>
    </row>
    <row r="399" spans="1:1">
      <c r="A399" s="4"/>
    </row>
    <row r="400" spans="1:1">
      <c r="A400" s="4"/>
    </row>
    <row r="401" spans="1:1">
      <c r="A401" s="4"/>
    </row>
    <row r="402" spans="1:1">
      <c r="A402" s="4"/>
    </row>
    <row r="403" spans="1:1">
      <c r="A403" s="4"/>
    </row>
    <row r="404" spans="1:1">
      <c r="A404" s="4"/>
    </row>
    <row r="405" spans="1:1">
      <c r="A405" s="4"/>
    </row>
    <row r="406" spans="1:1">
      <c r="A406" s="4"/>
    </row>
    <row r="407" spans="1:1">
      <c r="A407" s="4"/>
    </row>
    <row r="408" spans="1:1">
      <c r="A408" s="4"/>
    </row>
    <row r="409" spans="1:1">
      <c r="A409" s="4"/>
    </row>
    <row r="410" spans="1:1">
      <c r="A410" s="4"/>
    </row>
    <row r="411" spans="1:1">
      <c r="A411" s="4"/>
    </row>
    <row r="412" spans="1:1">
      <c r="A412" s="4"/>
    </row>
    <row r="413" spans="1:1">
      <c r="A413" s="4"/>
    </row>
    <row r="414" spans="1:1">
      <c r="A414" s="4"/>
    </row>
    <row r="415" spans="1:1">
      <c r="A415" s="4"/>
    </row>
    <row r="416" spans="1:1">
      <c r="A416" s="4"/>
    </row>
    <row r="417" spans="1:1">
      <c r="A417" s="4"/>
    </row>
    <row r="418" spans="1:1">
      <c r="A418" s="4"/>
    </row>
    <row r="419" spans="1:1">
      <c r="A419" s="4"/>
    </row>
    <row r="420" spans="1:1">
      <c r="A420" s="4"/>
    </row>
    <row r="421" spans="1:1">
      <c r="A421" s="4"/>
    </row>
    <row r="422" spans="1:1">
      <c r="A422" s="4"/>
    </row>
    <row r="423" spans="1:1">
      <c r="A423" s="4"/>
    </row>
    <row r="424" spans="1:1">
      <c r="A424" s="4"/>
    </row>
    <row r="425" spans="1:1">
      <c r="A425" s="4"/>
    </row>
    <row r="426" spans="1:1">
      <c r="A426" s="4"/>
    </row>
    <row r="427" spans="1:1">
      <c r="A427" s="4"/>
    </row>
    <row r="428" spans="1:1">
      <c r="A428" s="4"/>
    </row>
    <row r="429" spans="1:1">
      <c r="A429" s="4"/>
    </row>
    <row r="430" spans="1:1">
      <c r="A430" s="4"/>
    </row>
    <row r="431" spans="1:1">
      <c r="A431" s="4"/>
    </row>
    <row r="432" spans="1:1">
      <c r="A432" s="4"/>
    </row>
    <row r="433" spans="1:1">
      <c r="A433" s="4"/>
    </row>
    <row r="434" spans="1:1">
      <c r="A434" s="4"/>
    </row>
    <row r="435" spans="1:1">
      <c r="A435" s="4"/>
    </row>
    <row r="436" spans="1:1">
      <c r="A436" s="4"/>
    </row>
    <row r="437" spans="1:1">
      <c r="A437" s="4"/>
    </row>
    <row r="438" spans="1:1">
      <c r="A438" s="4"/>
    </row>
    <row r="439" spans="1:1">
      <c r="A439" s="4"/>
    </row>
    <row r="440" spans="1:1">
      <c r="A440" s="4"/>
    </row>
    <row r="441" spans="1:1">
      <c r="A441" s="4"/>
    </row>
    <row r="442" spans="1:1">
      <c r="A442" s="4"/>
    </row>
    <row r="443" spans="1:1">
      <c r="A443" s="4"/>
    </row>
    <row r="444" spans="1:1">
      <c r="A444" s="4"/>
    </row>
    <row r="445" spans="1:1">
      <c r="A445" s="4"/>
    </row>
    <row r="446" spans="1:1">
      <c r="A446" s="4"/>
    </row>
    <row r="447" spans="1:1">
      <c r="A447" s="4"/>
    </row>
    <row r="448" spans="1:1">
      <c r="A448" s="4"/>
    </row>
    <row r="449" spans="1:1">
      <c r="A449" s="4"/>
    </row>
    <row r="450" spans="1:1">
      <c r="A450" s="4"/>
    </row>
    <row r="451" spans="1:1">
      <c r="A451" s="4"/>
    </row>
    <row r="452" spans="1:1">
      <c r="A452" s="4"/>
    </row>
    <row r="453" spans="1:1">
      <c r="A453" s="4"/>
    </row>
    <row r="454" spans="1:1">
      <c r="A454" s="4"/>
    </row>
    <row r="455" spans="1:1">
      <c r="A455" s="4"/>
    </row>
    <row r="456" spans="1:1">
      <c r="A456" s="4"/>
    </row>
    <row r="457" spans="1:1">
      <c r="A457" s="4"/>
    </row>
    <row r="458" spans="1:1">
      <c r="A458" s="4"/>
    </row>
    <row r="459" spans="1:1">
      <c r="A459" s="4"/>
    </row>
    <row r="460" spans="1:1">
      <c r="A460" s="4"/>
    </row>
    <row r="461" spans="1:1">
      <c r="A461" s="4"/>
    </row>
    <row r="462" spans="1:1">
      <c r="A462" s="4"/>
    </row>
    <row r="463" spans="1:1">
      <c r="A463" s="4"/>
    </row>
    <row r="464" spans="1:1">
      <c r="A464" s="4"/>
    </row>
    <row r="465" spans="1:1">
      <c r="A465" s="4"/>
    </row>
    <row r="466" spans="1:1">
      <c r="A466" s="4"/>
    </row>
    <row r="467" spans="1:1">
      <c r="A467" s="4"/>
    </row>
    <row r="468" spans="1:1">
      <c r="A468" s="4"/>
    </row>
    <row r="469" spans="1:1">
      <c r="A469" s="4"/>
    </row>
    <row r="470" spans="1:1">
      <c r="A470" s="4"/>
    </row>
    <row r="471" spans="1:1">
      <c r="A471" s="4"/>
    </row>
    <row r="472" spans="1:1">
      <c r="A472" s="4"/>
    </row>
    <row r="473" spans="1:1">
      <c r="A473" s="4"/>
    </row>
    <row r="474" spans="1:1">
      <c r="A474" s="4"/>
    </row>
    <row r="475" spans="1:1">
      <c r="A475" s="4"/>
    </row>
    <row r="476" spans="1:1">
      <c r="A476" s="4"/>
    </row>
    <row r="477" spans="1:1">
      <c r="A477" s="4"/>
    </row>
    <row r="478" spans="1:1">
      <c r="A478" s="4"/>
    </row>
    <row r="479" spans="1:1">
      <c r="A479" s="4"/>
    </row>
    <row r="480" spans="1:1">
      <c r="A480" s="4"/>
    </row>
    <row r="481" spans="1:1">
      <c r="A481" s="4"/>
    </row>
    <row r="482" spans="1:1">
      <c r="A482" s="4"/>
    </row>
    <row r="483" spans="1:1">
      <c r="A483" s="4"/>
    </row>
    <row r="484" spans="1:1">
      <c r="A484" s="4"/>
    </row>
    <row r="485" spans="1:1">
      <c r="A485" s="4"/>
    </row>
    <row r="486" spans="1:1">
      <c r="A486" s="4"/>
    </row>
    <row r="487" spans="1:1">
      <c r="A487" s="4"/>
    </row>
    <row r="488" spans="1:1">
      <c r="A488" s="4"/>
    </row>
    <row r="489" spans="1:1">
      <c r="A489" s="4"/>
    </row>
    <row r="490" spans="1:1">
      <c r="A490" s="4"/>
    </row>
    <row r="491" spans="1:1">
      <c r="A491" s="4"/>
    </row>
    <row r="492" spans="1:1">
      <c r="A492" s="4"/>
    </row>
    <row r="493" spans="1:1">
      <c r="A493" s="4"/>
    </row>
    <row r="494" spans="1:1">
      <c r="A494" s="4"/>
    </row>
    <row r="495" spans="1:1">
      <c r="A495" s="4"/>
    </row>
    <row r="496" spans="1:1">
      <c r="A496" s="4"/>
    </row>
    <row r="497" spans="1:1">
      <c r="A497" s="4"/>
    </row>
    <row r="498" spans="1:1">
      <c r="A498" s="4"/>
    </row>
    <row r="499" spans="1:1">
      <c r="A499" s="4"/>
    </row>
    <row r="500" spans="1:1">
      <c r="A500" s="4"/>
    </row>
    <row r="501" spans="1:1">
      <c r="A501" s="4"/>
    </row>
    <row r="502" spans="1:1">
      <c r="A502" s="4"/>
    </row>
    <row r="503" spans="1:1">
      <c r="A503" s="4"/>
    </row>
    <row r="504" spans="1:1">
      <c r="A504" s="4"/>
    </row>
    <row r="505" spans="1:1">
      <c r="A505" s="4"/>
    </row>
    <row r="506" spans="1:1">
      <c r="A506" s="4"/>
    </row>
    <row r="507" spans="1:1">
      <c r="A507" s="4"/>
    </row>
    <row r="508" spans="1:1">
      <c r="A508" s="4"/>
    </row>
    <row r="509" spans="1:1">
      <c r="A509" s="4"/>
    </row>
    <row r="510" spans="1:1">
      <c r="A510" s="4"/>
    </row>
    <row r="511" spans="1:1">
      <c r="A511" s="4"/>
    </row>
    <row r="512" spans="1:1">
      <c r="A512" s="4"/>
    </row>
    <row r="513" spans="1:1">
      <c r="A513" s="4"/>
    </row>
    <row r="514" spans="1:1">
      <c r="A514" s="4"/>
    </row>
    <row r="515" spans="1:1">
      <c r="A515" s="4"/>
    </row>
    <row r="516" spans="1:1">
      <c r="A516" s="4"/>
    </row>
    <row r="517" spans="1:1">
      <c r="A517" s="4"/>
    </row>
    <row r="518" spans="1:1">
      <c r="A518" s="4"/>
    </row>
    <row r="519" spans="1:1">
      <c r="A519" s="4"/>
    </row>
    <row r="520" spans="1:1">
      <c r="A520" s="4"/>
    </row>
    <row r="521" spans="1:1">
      <c r="A521" s="4"/>
    </row>
    <row r="522" spans="1:1">
      <c r="A522" s="4"/>
    </row>
    <row r="523" spans="1:1">
      <c r="A523" s="4"/>
    </row>
    <row r="524" spans="1:1">
      <c r="A524" s="4"/>
    </row>
    <row r="525" spans="1:1">
      <c r="A525" s="4"/>
    </row>
    <row r="526" spans="1:1">
      <c r="A526" s="4"/>
    </row>
    <row r="527" spans="1:1">
      <c r="A527" s="4"/>
    </row>
    <row r="528" spans="1:1">
      <c r="A528" s="4"/>
    </row>
    <row r="529" spans="1:1">
      <c r="A529" s="4"/>
    </row>
    <row r="530" spans="1:1">
      <c r="A530" s="4"/>
    </row>
    <row r="531" spans="1:1">
      <c r="A531" s="4"/>
    </row>
    <row r="532" spans="1:1">
      <c r="A532" s="4"/>
    </row>
    <row r="533" spans="1:1">
      <c r="A533" s="4"/>
    </row>
    <row r="534" spans="1:1">
      <c r="A534" s="4"/>
    </row>
    <row r="535" spans="1:1">
      <c r="A535" s="4"/>
    </row>
    <row r="536" spans="1:1">
      <c r="A536" s="4"/>
    </row>
    <row r="537" spans="1:1">
      <c r="A537" s="4"/>
    </row>
    <row r="538" spans="1:1">
      <c r="A538" s="4"/>
    </row>
    <row r="539" spans="1:1">
      <c r="A539" s="4"/>
    </row>
    <row r="540" spans="1:1">
      <c r="A540" s="4"/>
    </row>
    <row r="541" spans="1:1">
      <c r="A541" s="4"/>
    </row>
    <row r="542" spans="1:1">
      <c r="A542" s="4"/>
    </row>
    <row r="543" spans="1:1">
      <c r="A543" s="4"/>
    </row>
    <row r="544" spans="1:1">
      <c r="A544" s="4"/>
    </row>
    <row r="545" spans="1:1">
      <c r="A545" s="4"/>
    </row>
    <row r="546" spans="1:1">
      <c r="A546" s="4"/>
    </row>
    <row r="547" spans="1:1">
      <c r="A547" s="4"/>
    </row>
    <row r="548" spans="1:1">
      <c r="A548" s="4"/>
    </row>
    <row r="549" spans="1:1">
      <c r="A549" s="4"/>
    </row>
    <row r="550" spans="1:1">
      <c r="A550" s="4"/>
    </row>
    <row r="551" spans="1:1">
      <c r="A551" s="4"/>
    </row>
    <row r="552" spans="1:1">
      <c r="A552" s="4"/>
    </row>
    <row r="553" spans="1:1">
      <c r="A553" s="4"/>
    </row>
    <row r="554" spans="1:1">
      <c r="A554" s="4"/>
    </row>
    <row r="555" spans="1:1">
      <c r="A555" s="4"/>
    </row>
    <row r="556" spans="1:1">
      <c r="A556" s="4"/>
    </row>
    <row r="557" spans="1:1">
      <c r="A557" s="4"/>
    </row>
    <row r="558" spans="1:1">
      <c r="A558" s="4"/>
    </row>
    <row r="559" spans="1:1">
      <c r="A559" s="4"/>
    </row>
    <row r="560" spans="1:1">
      <c r="A560" s="4"/>
    </row>
    <row r="561" spans="1:1">
      <c r="A561" s="4"/>
    </row>
    <row r="562" spans="1:1">
      <c r="A562" s="4"/>
    </row>
    <row r="563" spans="1:1">
      <c r="A563" s="4"/>
    </row>
    <row r="564" spans="1:1">
      <c r="A564" s="4"/>
    </row>
    <row r="565" spans="1:1">
      <c r="A565" s="4"/>
    </row>
    <row r="566" spans="1:1">
      <c r="A566" s="4"/>
    </row>
    <row r="567" spans="1:1">
      <c r="A567" s="4"/>
    </row>
    <row r="568" spans="1:1">
      <c r="A568" s="4"/>
    </row>
    <row r="569" spans="1:1">
      <c r="A569" s="4"/>
    </row>
    <row r="570" spans="1:1">
      <c r="A570" s="4"/>
    </row>
    <row r="571" spans="1:1">
      <c r="A571" s="4"/>
    </row>
    <row r="572" spans="1:1">
      <c r="A572" s="4"/>
    </row>
    <row r="573" spans="1:1">
      <c r="A573" s="4"/>
    </row>
    <row r="574" spans="1:1">
      <c r="A574" s="4"/>
    </row>
    <row r="575" spans="1:1">
      <c r="A575" s="4"/>
    </row>
    <row r="576" spans="1:1">
      <c r="A576" s="4"/>
    </row>
    <row r="577" spans="1:1">
      <c r="A577" s="4"/>
    </row>
    <row r="578" spans="1:1">
      <c r="A578" s="4"/>
    </row>
    <row r="579" spans="1:1">
      <c r="A579" s="4"/>
    </row>
    <row r="580" spans="1:1">
      <c r="A580" s="4"/>
    </row>
    <row r="581" spans="1:1">
      <c r="A581" s="4"/>
    </row>
    <row r="582" spans="1:1">
      <c r="A582" s="4"/>
    </row>
    <row r="583" spans="1:1">
      <c r="A583" s="4"/>
    </row>
    <row r="584" spans="1:1">
      <c r="A584" s="4"/>
    </row>
    <row r="585" spans="1:1">
      <c r="A585" s="4"/>
    </row>
    <row r="586" spans="1:1">
      <c r="A586" s="4"/>
    </row>
    <row r="587" spans="1:1">
      <c r="A587" s="4"/>
    </row>
    <row r="588" spans="1:1">
      <c r="A588" s="4"/>
    </row>
    <row r="589" spans="1:1">
      <c r="A589" s="4"/>
    </row>
    <row r="590" spans="1:1">
      <c r="A590" s="4"/>
    </row>
    <row r="591" spans="1:1">
      <c r="A591" s="4"/>
    </row>
    <row r="592" spans="1:1">
      <c r="A592" s="4"/>
    </row>
    <row r="593" spans="1:1">
      <c r="A593" s="4"/>
    </row>
    <row r="594" spans="1:1">
      <c r="A594" s="4"/>
    </row>
    <row r="595" spans="1:1">
      <c r="A595" s="4"/>
    </row>
    <row r="596" spans="1:1">
      <c r="A596" s="4"/>
    </row>
    <row r="597" spans="1:1">
      <c r="A597" s="4"/>
    </row>
    <row r="598" spans="1:1">
      <c r="A598" s="4"/>
    </row>
    <row r="599" spans="1:1">
      <c r="A599" s="4"/>
    </row>
    <row r="600" spans="1:1">
      <c r="A600" s="4"/>
    </row>
    <row r="601" spans="1:1">
      <c r="A601" s="4"/>
    </row>
    <row r="602" spans="1:1">
      <c r="A602" s="4"/>
    </row>
    <row r="603" spans="1:1">
      <c r="A603" s="4"/>
    </row>
    <row r="604" spans="1:1">
      <c r="A604" s="4"/>
    </row>
    <row r="605" spans="1:1">
      <c r="A605" s="4"/>
    </row>
    <row r="606" spans="1:1">
      <c r="A606" s="4"/>
    </row>
    <row r="607" spans="1:1">
      <c r="A607" s="4"/>
    </row>
    <row r="608" spans="1:1">
      <c r="A608" s="4"/>
    </row>
    <row r="609" spans="1:1">
      <c r="A609" s="4"/>
    </row>
    <row r="610" spans="1:1">
      <c r="A610" s="4"/>
    </row>
    <row r="611" spans="1:1">
      <c r="A611" s="4"/>
    </row>
    <row r="612" spans="1:1">
      <c r="A612" s="4"/>
    </row>
    <row r="613" spans="1:1">
      <c r="A613" s="4"/>
    </row>
    <row r="614" spans="1:1">
      <c r="A614" s="4"/>
    </row>
    <row r="615" spans="1:1">
      <c r="A615" s="4"/>
    </row>
    <row r="616" spans="1:1">
      <c r="A616" s="4"/>
    </row>
    <row r="617" spans="1:1">
      <c r="A617" s="4"/>
    </row>
    <row r="618" spans="1:1">
      <c r="A618" s="4"/>
    </row>
    <row r="619" spans="1:1">
      <c r="A619" s="4"/>
    </row>
    <row r="620" spans="1:1">
      <c r="A620" s="4"/>
    </row>
    <row r="621" spans="1:1">
      <c r="A621" s="4"/>
    </row>
    <row r="622" spans="1:1">
      <c r="A622" s="4"/>
    </row>
    <row r="623" spans="1:1">
      <c r="A623" s="4"/>
    </row>
    <row r="624" spans="1:1">
      <c r="A624" s="4"/>
    </row>
    <row r="625" spans="1:1">
      <c r="A625" s="4"/>
    </row>
    <row r="626" spans="1:1">
      <c r="A626" s="4"/>
    </row>
    <row r="627" spans="1:1">
      <c r="A627" s="4"/>
    </row>
    <row r="628" spans="1:1">
      <c r="A628" s="4"/>
    </row>
    <row r="629" spans="1:1">
      <c r="A629" s="4"/>
    </row>
    <row r="630" spans="1:1">
      <c r="A630" s="4"/>
    </row>
    <row r="631" spans="1:1">
      <c r="A631" s="4"/>
    </row>
    <row r="632" spans="1:1">
      <c r="A632" s="4"/>
    </row>
    <row r="633" spans="1:1">
      <c r="A633" s="4"/>
    </row>
    <row r="634" spans="1:1">
      <c r="A634" s="4"/>
    </row>
    <row r="635" spans="1:1">
      <c r="A635" s="4"/>
    </row>
    <row r="636" spans="1:1">
      <c r="A636" s="4"/>
    </row>
    <row r="637" spans="1:1">
      <c r="A637" s="4"/>
    </row>
    <row r="638" spans="1:1">
      <c r="A638" s="4"/>
    </row>
    <row r="639" spans="1:1">
      <c r="A639" s="4"/>
    </row>
    <row r="640" spans="1:1">
      <c r="A640" s="4"/>
    </row>
    <row r="641" spans="1:1">
      <c r="A641" s="4"/>
    </row>
    <row r="642" spans="1:1">
      <c r="A642" s="4"/>
    </row>
    <row r="643" spans="1:1">
      <c r="A643" s="4"/>
    </row>
    <row r="644" spans="1:1">
      <c r="A644" s="4"/>
    </row>
    <row r="645" spans="1:1">
      <c r="A645" s="4"/>
    </row>
    <row r="646" spans="1:1">
      <c r="A646" s="4"/>
    </row>
    <row r="647" spans="1:1">
      <c r="A647" s="4"/>
    </row>
    <row r="648" spans="1:1">
      <c r="A648" s="4"/>
    </row>
    <row r="649" spans="1:1">
      <c r="A649" s="4"/>
    </row>
    <row r="650" spans="1:1">
      <c r="A650" s="4"/>
    </row>
    <row r="651" spans="1:1">
      <c r="A651" s="4"/>
    </row>
    <row r="652" spans="1:1">
      <c r="A652" s="4"/>
    </row>
    <row r="653" spans="1:1">
      <c r="A653" s="4"/>
    </row>
    <row r="654" spans="1:1">
      <c r="A654" s="4"/>
    </row>
    <row r="655" spans="1:1">
      <c r="A655" s="4"/>
    </row>
    <row r="656" spans="1:1">
      <c r="A656" s="4"/>
    </row>
    <row r="657" spans="1:1">
      <c r="A657" s="4"/>
    </row>
    <row r="658" spans="1:1">
      <c r="A658" s="4"/>
    </row>
    <row r="659" spans="1:1">
      <c r="A659" s="4"/>
    </row>
    <row r="660" spans="1:1">
      <c r="A660" s="4"/>
    </row>
    <row r="661" spans="1:1">
      <c r="A661" s="4"/>
    </row>
    <row r="662" spans="1:1">
      <c r="A662" s="4"/>
    </row>
    <row r="663" spans="1:1">
      <c r="A663" s="4"/>
    </row>
    <row r="664" spans="1:1">
      <c r="A664" s="4"/>
    </row>
    <row r="665" spans="1:1">
      <c r="A665" s="4"/>
    </row>
    <row r="666" spans="1:1">
      <c r="A666" s="4"/>
    </row>
    <row r="667" spans="1:1">
      <c r="A667" s="4"/>
    </row>
    <row r="668" spans="1:1">
      <c r="A668" s="4"/>
    </row>
    <row r="669" spans="1:1">
      <c r="A669" s="4"/>
    </row>
    <row r="670" spans="1:1">
      <c r="A670" s="4"/>
    </row>
    <row r="671" spans="1:1">
      <c r="A671" s="4"/>
    </row>
    <row r="672" spans="1:1">
      <c r="A672" s="4"/>
    </row>
    <row r="673" spans="1:1">
      <c r="A673" s="4"/>
    </row>
    <row r="674" spans="1:1">
      <c r="A674" s="4"/>
    </row>
    <row r="675" spans="1:1">
      <c r="A675" s="4"/>
    </row>
    <row r="676" spans="1:1">
      <c r="A676" s="4"/>
    </row>
    <row r="677" spans="1:1">
      <c r="A677" s="4"/>
    </row>
    <row r="678" spans="1:1">
      <c r="A678" s="4"/>
    </row>
    <row r="679" spans="1:1">
      <c r="A679" s="4"/>
    </row>
    <row r="680" spans="1:1">
      <c r="A680" s="4"/>
    </row>
    <row r="681" spans="1:1">
      <c r="A681" s="4"/>
    </row>
    <row r="682" spans="1:1">
      <c r="A682" s="4"/>
    </row>
    <row r="683" spans="1:1">
      <c r="A683" s="4"/>
    </row>
    <row r="684" spans="1:1">
      <c r="A684" s="4"/>
    </row>
    <row r="685" spans="1:1">
      <c r="A685" s="4"/>
    </row>
    <row r="686" spans="1:1">
      <c r="A686" s="4"/>
    </row>
    <row r="687" spans="1:1">
      <c r="A687" s="4"/>
    </row>
    <row r="688" spans="1:1">
      <c r="A688" s="4"/>
    </row>
    <row r="689" spans="1:1">
      <c r="A689" s="4"/>
    </row>
  </sheetData>
  <mergeCells count="2">
    <mergeCell ref="A1:D1"/>
    <mergeCell ref="B3:C3"/>
  </mergeCells>
  <phoneticPr fontId="4" type="noConversion"/>
  <printOptions gridLines="1"/>
  <pageMargins left="0.94488188976377963" right="0.19685039370078741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Header>&amp;LNagyszénás Nagyközség
Önkormányzata&amp;R4. melléklet</oddHeader>
    <oddFooter>&amp;C&amp;P.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7"/>
  <dimension ref="A2:J1035"/>
  <sheetViews>
    <sheetView view="pageLayout" topLeftCell="A871" workbookViewId="0">
      <selection activeCell="A221" sqref="A221"/>
    </sheetView>
  </sheetViews>
  <sheetFormatPr defaultRowHeight="12.75"/>
  <cols>
    <col min="1" max="1" width="47.85546875" style="177" customWidth="1"/>
    <col min="2" max="2" width="12.5703125" customWidth="1"/>
    <col min="3" max="3" width="10" customWidth="1"/>
    <col min="4" max="4" width="9.85546875" customWidth="1"/>
    <col min="5" max="5" width="6.7109375" customWidth="1"/>
  </cols>
  <sheetData>
    <row r="2" spans="1:5" ht="25.5" customHeight="1">
      <c r="A2" s="631" t="s">
        <v>913</v>
      </c>
      <c r="B2" s="631"/>
      <c r="C2" s="631"/>
      <c r="D2" s="631"/>
      <c r="E2" s="631"/>
    </row>
    <row r="5" spans="1:5">
      <c r="A5" s="632" t="s">
        <v>115</v>
      </c>
      <c r="B5" s="632"/>
      <c r="C5" s="632"/>
      <c r="D5" s="632"/>
      <c r="E5" s="632"/>
    </row>
    <row r="6" spans="1:5">
      <c r="A6" s="325"/>
      <c r="B6" s="44"/>
      <c r="C6" s="44"/>
    </row>
    <row r="7" spans="1:5">
      <c r="A7" s="633" t="s">
        <v>107</v>
      </c>
      <c r="B7" s="633"/>
      <c r="C7" s="633"/>
      <c r="D7" s="633"/>
      <c r="E7" s="633"/>
    </row>
    <row r="8" spans="1:5">
      <c r="A8" s="114"/>
      <c r="B8" s="114"/>
      <c r="C8" s="114"/>
    </row>
    <row r="9" spans="1:5">
      <c r="A9" s="114"/>
      <c r="B9" s="114"/>
      <c r="C9" s="114"/>
    </row>
    <row r="10" spans="1:5">
      <c r="A10" s="326"/>
      <c r="B10" s="622" t="s">
        <v>909</v>
      </c>
      <c r="C10" s="622"/>
      <c r="D10" s="17"/>
      <c r="E10" s="193"/>
    </row>
    <row r="11" spans="1:5">
      <c r="A11" s="327"/>
      <c r="B11" s="584" t="s">
        <v>905</v>
      </c>
      <c r="C11" s="585" t="s">
        <v>906</v>
      </c>
      <c r="D11" s="585" t="s">
        <v>907</v>
      </c>
      <c r="E11" s="585" t="s">
        <v>908</v>
      </c>
    </row>
    <row r="12" spans="1:5">
      <c r="A12" s="628" t="s">
        <v>243</v>
      </c>
      <c r="B12" s="634"/>
      <c r="C12" s="634"/>
      <c r="D12" s="634"/>
      <c r="E12" s="635"/>
    </row>
    <row r="13" spans="1:5">
      <c r="A13" s="304"/>
      <c r="B13" s="34"/>
      <c r="C13" s="34"/>
      <c r="D13" s="17"/>
    </row>
    <row r="14" spans="1:5" ht="22.5">
      <c r="A14" s="302" t="s">
        <v>241</v>
      </c>
      <c r="B14" s="35">
        <v>160000</v>
      </c>
      <c r="C14" s="35">
        <v>118403</v>
      </c>
      <c r="D14" s="17">
        <v>0</v>
      </c>
      <c r="E14" s="221">
        <f>D14/C14*100</f>
        <v>0</v>
      </c>
    </row>
    <row r="15" spans="1:5">
      <c r="A15" s="302" t="s">
        <v>226</v>
      </c>
      <c r="B15" s="35">
        <f>B14*0.27</f>
        <v>43200</v>
      </c>
      <c r="C15" s="35">
        <v>43200</v>
      </c>
      <c r="D15" s="17">
        <v>0</v>
      </c>
      <c r="E15" s="221">
        <f t="shared" ref="E15:E20" si="0">D15/C15*100</f>
        <v>0</v>
      </c>
    </row>
    <row r="16" spans="1:5">
      <c r="A16" s="328" t="s">
        <v>216</v>
      </c>
      <c r="B16" s="36">
        <f>SUM(B14:B15)</f>
        <v>203200</v>
      </c>
      <c r="C16" s="36">
        <f>SUM(C14:C15)</f>
        <v>161603</v>
      </c>
      <c r="D16" s="36">
        <f>SUM(D14:D15)</f>
        <v>0</v>
      </c>
      <c r="E16" s="222">
        <f t="shared" si="0"/>
        <v>0</v>
      </c>
    </row>
    <row r="17" spans="1:5">
      <c r="A17" s="329"/>
      <c r="B17" s="36"/>
      <c r="C17" s="36"/>
      <c r="D17" s="17"/>
      <c r="E17" s="221"/>
    </row>
    <row r="18" spans="1:5">
      <c r="A18" s="173" t="s">
        <v>222</v>
      </c>
      <c r="B18" s="37">
        <f>B16</f>
        <v>203200</v>
      </c>
      <c r="C18" s="37">
        <f>SUM(C16:C17)</f>
        <v>161603</v>
      </c>
      <c r="D18" s="37">
        <f>D16</f>
        <v>0</v>
      </c>
      <c r="E18" s="222">
        <f t="shared" si="0"/>
        <v>0</v>
      </c>
    </row>
    <row r="19" spans="1:5">
      <c r="A19" s="173"/>
      <c r="B19" s="37"/>
      <c r="C19" s="37"/>
      <c r="D19" s="17"/>
      <c r="E19" s="221"/>
    </row>
    <row r="20" spans="1:5">
      <c r="A20" s="330" t="s">
        <v>18</v>
      </c>
      <c r="B20" s="37">
        <f>+B18</f>
        <v>203200</v>
      </c>
      <c r="C20" s="37">
        <f>SUM(C18:C19)</f>
        <v>161603</v>
      </c>
      <c r="D20" s="37">
        <f>+D18</f>
        <v>0</v>
      </c>
      <c r="E20" s="222">
        <f t="shared" si="0"/>
        <v>0</v>
      </c>
    </row>
    <row r="21" spans="1:5">
      <c r="A21" s="327"/>
      <c r="B21" s="44"/>
      <c r="C21" s="44"/>
    </row>
    <row r="22" spans="1:5">
      <c r="A22" s="628" t="s">
        <v>244</v>
      </c>
      <c r="B22" s="629"/>
      <c r="C22" s="629"/>
      <c r="D22" s="629"/>
      <c r="E22" s="630"/>
    </row>
    <row r="23" spans="1:5">
      <c r="A23" s="331"/>
      <c r="B23" s="33"/>
      <c r="C23" s="33"/>
    </row>
    <row r="24" spans="1:5">
      <c r="A24" s="302" t="s">
        <v>224</v>
      </c>
      <c r="B24" s="35">
        <v>8500000</v>
      </c>
      <c r="C24" s="35">
        <v>8638195</v>
      </c>
      <c r="D24" s="6">
        <v>8638195</v>
      </c>
      <c r="E24" s="221">
        <f>D24/C24*100</f>
        <v>100</v>
      </c>
    </row>
    <row r="25" spans="1:5">
      <c r="A25" s="302" t="s">
        <v>226</v>
      </c>
      <c r="B25" s="35">
        <f>B24*0.27</f>
        <v>2295000</v>
      </c>
      <c r="C25" s="35">
        <v>2240324</v>
      </c>
      <c r="D25" s="6">
        <v>2240324</v>
      </c>
      <c r="E25" s="221">
        <f t="shared" ref="E25:E30" si="1">D25/C25*100</f>
        <v>100</v>
      </c>
    </row>
    <row r="26" spans="1:5">
      <c r="A26" s="328" t="s">
        <v>213</v>
      </c>
      <c r="B26" s="36">
        <f>SUM(B24:B25)</f>
        <v>10795000</v>
      </c>
      <c r="C26" s="36">
        <f>SUM(C24:C25)</f>
        <v>10878519</v>
      </c>
      <c r="D26" s="36">
        <f>SUM(D24:D25)</f>
        <v>10878519</v>
      </c>
      <c r="E26" s="222">
        <f t="shared" si="1"/>
        <v>100</v>
      </c>
    </row>
    <row r="27" spans="1:5">
      <c r="A27" s="329"/>
      <c r="B27" s="36"/>
      <c r="C27" s="36"/>
      <c r="D27" s="36"/>
      <c r="E27" s="222"/>
    </row>
    <row r="28" spans="1:5">
      <c r="A28" s="173" t="s">
        <v>222</v>
      </c>
      <c r="B28" s="36">
        <f>B26</f>
        <v>10795000</v>
      </c>
      <c r="C28" s="36">
        <f>C26</f>
        <v>10878519</v>
      </c>
      <c r="D28" s="36">
        <f>D26</f>
        <v>10878519</v>
      </c>
      <c r="E28" s="222">
        <f t="shared" si="1"/>
        <v>100</v>
      </c>
    </row>
    <row r="29" spans="1:5">
      <c r="A29" s="173"/>
      <c r="B29" s="36"/>
      <c r="C29" s="36"/>
      <c r="D29" s="17"/>
      <c r="E29" s="221"/>
    </row>
    <row r="30" spans="1:5">
      <c r="A30" s="330" t="s">
        <v>18</v>
      </c>
      <c r="B30" s="36">
        <f>+B28</f>
        <v>10795000</v>
      </c>
      <c r="C30" s="36">
        <f>SUM(C28:C29)</f>
        <v>10878519</v>
      </c>
      <c r="D30" s="11">
        <f>SUM(D28:D29)</f>
        <v>10878519</v>
      </c>
      <c r="E30" s="222">
        <f t="shared" si="1"/>
        <v>100</v>
      </c>
    </row>
    <row r="31" spans="1:5">
      <c r="A31" s="330"/>
      <c r="B31" s="36"/>
      <c r="C31" s="36"/>
    </row>
    <row r="32" spans="1:5">
      <c r="A32" s="628" t="s">
        <v>236</v>
      </c>
      <c r="B32" s="629"/>
      <c r="C32" s="629"/>
      <c r="D32" s="629"/>
      <c r="E32" s="630"/>
    </row>
    <row r="33" spans="1:5">
      <c r="A33" s="332"/>
      <c r="B33" s="34"/>
      <c r="C33" s="34"/>
    </row>
    <row r="34" spans="1:5">
      <c r="A34" s="333" t="s">
        <v>41</v>
      </c>
      <c r="B34" s="82">
        <v>815000</v>
      </c>
      <c r="C34" s="82">
        <v>746900</v>
      </c>
      <c r="D34" s="6">
        <v>746900</v>
      </c>
      <c r="E34" s="221">
        <f t="shared" ref="E34:E58" si="2">D34/C34*100</f>
        <v>100</v>
      </c>
    </row>
    <row r="35" spans="1:5">
      <c r="A35" s="304" t="s">
        <v>198</v>
      </c>
      <c r="B35" s="34">
        <f>SUM(B34)</f>
        <v>815000</v>
      </c>
      <c r="C35" s="34">
        <f>SUM(C34)</f>
        <v>746900</v>
      </c>
      <c r="D35" s="11">
        <f>SUM(D34)</f>
        <v>746900</v>
      </c>
      <c r="E35" s="222">
        <f t="shared" si="2"/>
        <v>100</v>
      </c>
    </row>
    <row r="36" spans="1:5">
      <c r="A36" s="304"/>
      <c r="B36" s="34"/>
      <c r="C36" s="34"/>
      <c r="D36" s="17"/>
      <c r="E36" s="221"/>
    </row>
    <row r="37" spans="1:5">
      <c r="A37" s="303" t="s">
        <v>138</v>
      </c>
      <c r="B37" s="82">
        <v>220000</v>
      </c>
      <c r="C37" s="82">
        <v>198000</v>
      </c>
      <c r="D37" s="6">
        <v>198000</v>
      </c>
      <c r="E37" s="221">
        <f t="shared" si="2"/>
        <v>100</v>
      </c>
    </row>
    <row r="38" spans="1:5">
      <c r="A38" s="304" t="s">
        <v>200</v>
      </c>
      <c r="B38" s="83">
        <f>SUM(B37)</f>
        <v>220000</v>
      </c>
      <c r="C38" s="83">
        <f>SUM(C37)</f>
        <v>198000</v>
      </c>
      <c r="D38" s="11">
        <f>SUM(D37)</f>
        <v>198000</v>
      </c>
      <c r="E38" s="222">
        <f t="shared" si="2"/>
        <v>100</v>
      </c>
    </row>
    <row r="39" spans="1:5">
      <c r="A39" s="331"/>
      <c r="B39" s="33"/>
      <c r="C39" s="33"/>
      <c r="D39" s="17"/>
      <c r="E39" s="221"/>
    </row>
    <row r="40" spans="1:5">
      <c r="A40" s="333" t="s">
        <v>204</v>
      </c>
      <c r="B40" s="33">
        <v>20000</v>
      </c>
      <c r="C40" s="33">
        <v>7615</v>
      </c>
      <c r="D40" s="6">
        <v>7615</v>
      </c>
      <c r="E40" s="221">
        <f t="shared" si="2"/>
        <v>100</v>
      </c>
    </row>
    <row r="41" spans="1:5">
      <c r="A41" s="302" t="s">
        <v>205</v>
      </c>
      <c r="B41" s="33">
        <v>20000</v>
      </c>
      <c r="C41" s="33">
        <v>1155</v>
      </c>
      <c r="D41" s="6">
        <v>1155</v>
      </c>
      <c r="E41" s="221">
        <f t="shared" si="2"/>
        <v>100</v>
      </c>
    </row>
    <row r="42" spans="1:5">
      <c r="A42" s="302" t="s">
        <v>333</v>
      </c>
      <c r="B42" s="33">
        <v>0</v>
      </c>
      <c r="C42" s="33">
        <v>6724</v>
      </c>
      <c r="D42" s="6">
        <v>6724</v>
      </c>
      <c r="E42" s="221">
        <f t="shared" si="2"/>
        <v>100</v>
      </c>
    </row>
    <row r="43" spans="1:5">
      <c r="A43" s="302" t="s">
        <v>334</v>
      </c>
      <c r="B43" s="33">
        <v>0</v>
      </c>
      <c r="C43" s="33">
        <v>170028</v>
      </c>
      <c r="D43" s="6">
        <v>170028</v>
      </c>
      <c r="E43" s="221">
        <f t="shared" si="2"/>
        <v>100</v>
      </c>
    </row>
    <row r="44" spans="1:5">
      <c r="A44" s="334" t="s">
        <v>208</v>
      </c>
      <c r="B44" s="83">
        <f>SUM(B40:B43)</f>
        <v>40000</v>
      </c>
      <c r="C44" s="83">
        <f>SUM(C40:C43)</f>
        <v>185522</v>
      </c>
      <c r="D44" s="11">
        <f>SUM(D40:D43)</f>
        <v>185522</v>
      </c>
      <c r="E44" s="222">
        <f t="shared" si="2"/>
        <v>100</v>
      </c>
    </row>
    <row r="45" spans="1:5">
      <c r="A45" s="301" t="s">
        <v>212</v>
      </c>
      <c r="B45" s="33">
        <v>100000</v>
      </c>
      <c r="C45" s="33">
        <v>96500</v>
      </c>
      <c r="D45" s="6">
        <v>95520</v>
      </c>
      <c r="E45" s="221">
        <f t="shared" si="2"/>
        <v>98.984455958549219</v>
      </c>
    </row>
    <row r="46" spans="1:5">
      <c r="A46" s="328" t="s">
        <v>210</v>
      </c>
      <c r="B46" s="83">
        <f>SUM(B45:B45)</f>
        <v>100000</v>
      </c>
      <c r="C46" s="83">
        <f>SUM(C45)</f>
        <v>96500</v>
      </c>
      <c r="D46" s="11">
        <f>SUM(D45)</f>
        <v>95520</v>
      </c>
      <c r="E46" s="222">
        <f t="shared" si="2"/>
        <v>98.984455958549219</v>
      </c>
    </row>
    <row r="47" spans="1:5">
      <c r="A47" s="302" t="s">
        <v>223</v>
      </c>
      <c r="B47" s="33">
        <f>850000*0.82</f>
        <v>697000</v>
      </c>
      <c r="C47" s="33">
        <v>731430</v>
      </c>
      <c r="D47" s="6">
        <v>731428</v>
      </c>
      <c r="E47" s="221">
        <f t="shared" si="2"/>
        <v>99.999726563034059</v>
      </c>
    </row>
    <row r="48" spans="1:5">
      <c r="A48" s="302" t="s">
        <v>224</v>
      </c>
      <c r="B48" s="33">
        <v>220000</v>
      </c>
      <c r="C48" s="33">
        <v>220000</v>
      </c>
      <c r="D48" s="6">
        <v>219897</v>
      </c>
      <c r="E48" s="221">
        <f t="shared" si="2"/>
        <v>99.953181818181818</v>
      </c>
    </row>
    <row r="49" spans="1:5">
      <c r="A49" s="302" t="s">
        <v>297</v>
      </c>
      <c r="B49" s="33">
        <v>60000</v>
      </c>
      <c r="C49" s="33">
        <v>54151</v>
      </c>
      <c r="D49" s="6">
        <v>53797</v>
      </c>
      <c r="E49" s="221">
        <f t="shared" si="2"/>
        <v>99.346272460342377</v>
      </c>
    </row>
    <row r="50" spans="1:5">
      <c r="A50" s="328" t="s">
        <v>213</v>
      </c>
      <c r="B50" s="83">
        <f>SUM(B47:B49)</f>
        <v>977000</v>
      </c>
      <c r="C50" s="83">
        <f>SUM(C47:C49)</f>
        <v>1005581</v>
      </c>
      <c r="D50" s="11">
        <f>SUM(D47:D49)</f>
        <v>1005122</v>
      </c>
      <c r="E50" s="222">
        <f t="shared" si="2"/>
        <v>99.95435474616167</v>
      </c>
    </row>
    <row r="51" spans="1:5">
      <c r="A51" s="302" t="s">
        <v>227</v>
      </c>
      <c r="B51" s="33">
        <v>100000</v>
      </c>
      <c r="C51" s="33">
        <v>36416</v>
      </c>
      <c r="D51" s="6">
        <v>36142</v>
      </c>
      <c r="E51" s="221">
        <f t="shared" si="2"/>
        <v>99.2475834797891</v>
      </c>
    </row>
    <row r="52" spans="1:5">
      <c r="A52" s="302" t="s">
        <v>214</v>
      </c>
      <c r="B52" s="33">
        <f>5590000+300000</f>
        <v>5890000</v>
      </c>
      <c r="C52" s="33">
        <v>5855200</v>
      </c>
      <c r="D52" s="6">
        <v>5855200</v>
      </c>
      <c r="E52" s="221">
        <f t="shared" si="2"/>
        <v>100</v>
      </c>
    </row>
    <row r="53" spans="1:5">
      <c r="A53" s="302" t="s">
        <v>219</v>
      </c>
      <c r="B53" s="33">
        <v>20000</v>
      </c>
      <c r="C53" s="33">
        <v>11500</v>
      </c>
      <c r="D53" s="6">
        <v>11494</v>
      </c>
      <c r="E53" s="221">
        <f t="shared" si="2"/>
        <v>99.947826086956525</v>
      </c>
    </row>
    <row r="54" spans="1:5">
      <c r="A54" s="328" t="s">
        <v>216</v>
      </c>
      <c r="B54" s="68">
        <f>SUM(B51:B53)</f>
        <v>6010000</v>
      </c>
      <c r="C54" s="68">
        <f>SUM(C51:C53)</f>
        <v>5903116</v>
      </c>
      <c r="D54" s="11">
        <f>SUM(D51:D53)</f>
        <v>5902836</v>
      </c>
      <c r="E54" s="222">
        <f t="shared" si="2"/>
        <v>99.995256742371325</v>
      </c>
    </row>
    <row r="55" spans="1:5">
      <c r="A55" s="302" t="s">
        <v>226</v>
      </c>
      <c r="B55" s="35">
        <f>(B40+B41+B45+B47+B48+B51+B53+B49)*0.27</f>
        <v>333990</v>
      </c>
      <c r="C55" s="35">
        <v>355178</v>
      </c>
      <c r="D55" s="6">
        <v>354708</v>
      </c>
      <c r="E55" s="221">
        <f t="shared" si="2"/>
        <v>99.867671984188206</v>
      </c>
    </row>
    <row r="56" spans="1:5">
      <c r="A56" s="302" t="s">
        <v>335</v>
      </c>
      <c r="B56" s="35">
        <v>0</v>
      </c>
      <c r="C56" s="35">
        <v>52000</v>
      </c>
      <c r="D56" s="6">
        <v>52000</v>
      </c>
      <c r="E56" s="221">
        <f t="shared" si="2"/>
        <v>100</v>
      </c>
    </row>
    <row r="57" spans="1:5" ht="12" customHeight="1">
      <c r="A57" s="334" t="s">
        <v>221</v>
      </c>
      <c r="B57" s="68">
        <f>SUM(B55:B55)</f>
        <v>333990</v>
      </c>
      <c r="C57" s="68">
        <f>SUM(C55:C56)</f>
        <v>407178</v>
      </c>
      <c r="D57" s="11">
        <f>SUM(D55:D56)</f>
        <v>406708</v>
      </c>
      <c r="E57" s="222">
        <f t="shared" si="2"/>
        <v>99.884571366822371</v>
      </c>
    </row>
    <row r="58" spans="1:5">
      <c r="A58" s="173" t="s">
        <v>222</v>
      </c>
      <c r="B58" s="36">
        <f>B44+B46+B50+B54+B57</f>
        <v>7460990</v>
      </c>
      <c r="C58" s="36">
        <f>SUM(C44+C46+C50+C54+C57)</f>
        <v>7597897</v>
      </c>
      <c r="D58" s="11">
        <f>SUM(D44+D46+D50+D54+D57)</f>
        <v>7595708</v>
      </c>
      <c r="E58" s="222">
        <f t="shared" si="2"/>
        <v>99.971189396223707</v>
      </c>
    </row>
    <row r="59" spans="1:5">
      <c r="A59" s="330" t="s">
        <v>18</v>
      </c>
      <c r="B59" s="36">
        <f>SUM(B35+B38+B44+B46+B50+B54+B57)</f>
        <v>8495990</v>
      </c>
      <c r="C59" s="36">
        <f>SUM(C35+C38+C44+C46+C50+C54+C57)</f>
        <v>8542797</v>
      </c>
      <c r="D59" s="11">
        <f>SUM(D35+D38+D58)</f>
        <v>8540608</v>
      </c>
      <c r="E59" s="222">
        <f>D59/C59*100</f>
        <v>99.974376073784725</v>
      </c>
    </row>
    <row r="60" spans="1:5">
      <c r="A60" s="173"/>
      <c r="B60" s="36"/>
      <c r="C60" s="36"/>
      <c r="D60" s="17"/>
      <c r="E60" s="17"/>
    </row>
    <row r="61" spans="1:5">
      <c r="A61" s="636" t="s">
        <v>246</v>
      </c>
      <c r="B61" s="637"/>
      <c r="C61" s="637"/>
      <c r="D61" s="637"/>
      <c r="E61" s="638"/>
    </row>
    <row r="62" spans="1:5">
      <c r="A62" s="330"/>
      <c r="B62" s="36"/>
      <c r="C62" s="36"/>
      <c r="E62" s="17"/>
    </row>
    <row r="63" spans="1:5">
      <c r="A63" s="302" t="s">
        <v>223</v>
      </c>
      <c r="B63" s="33">
        <v>172000</v>
      </c>
      <c r="C63" s="33">
        <v>186000</v>
      </c>
      <c r="D63" s="6">
        <v>182858</v>
      </c>
      <c r="E63" s="221">
        <f>D63/C63*100</f>
        <v>98.310752688172045</v>
      </c>
    </row>
    <row r="64" spans="1:5">
      <c r="A64" s="302" t="s">
        <v>224</v>
      </c>
      <c r="B64" s="33">
        <v>60000</v>
      </c>
      <c r="C64" s="33">
        <v>55000</v>
      </c>
      <c r="D64" s="6">
        <v>54807</v>
      </c>
      <c r="E64" s="221">
        <f t="shared" ref="E64:E74" si="3">D64/C64*100</f>
        <v>99.649090909090916</v>
      </c>
    </row>
    <row r="65" spans="1:10">
      <c r="A65" s="302" t="s">
        <v>297</v>
      </c>
      <c r="B65" s="33">
        <v>30000</v>
      </c>
      <c r="C65" s="33">
        <v>27000</v>
      </c>
      <c r="D65" s="6">
        <v>26901</v>
      </c>
      <c r="E65" s="221">
        <f t="shared" si="3"/>
        <v>99.633333333333326</v>
      </c>
    </row>
    <row r="66" spans="1:10">
      <c r="A66" s="328" t="s">
        <v>213</v>
      </c>
      <c r="B66" s="83">
        <f>SUM(B63:B65)</f>
        <v>262000</v>
      </c>
      <c r="C66" s="83">
        <f>SUM(C63:C65)</f>
        <v>268000</v>
      </c>
      <c r="D66" s="11">
        <f>SUM(D63:D65)</f>
        <v>264566</v>
      </c>
      <c r="E66" s="222">
        <f t="shared" si="3"/>
        <v>98.718656716417911</v>
      </c>
    </row>
    <row r="67" spans="1:10">
      <c r="A67" s="302" t="s">
        <v>227</v>
      </c>
      <c r="B67" s="33">
        <v>30000</v>
      </c>
      <c r="C67" s="33">
        <v>21400</v>
      </c>
      <c r="D67" s="6">
        <v>21343</v>
      </c>
      <c r="E67" s="221">
        <f t="shared" si="3"/>
        <v>99.733644859813083</v>
      </c>
    </row>
    <row r="68" spans="1:10">
      <c r="A68" s="302" t="s">
        <v>219</v>
      </c>
      <c r="B68" s="33">
        <v>24000</v>
      </c>
      <c r="C68" s="33">
        <v>0</v>
      </c>
      <c r="D68" s="17"/>
      <c r="E68" s="221"/>
    </row>
    <row r="69" spans="1:10">
      <c r="A69" s="328" t="s">
        <v>216</v>
      </c>
      <c r="B69" s="68">
        <f>SUM(B67:B68)</f>
        <v>54000</v>
      </c>
      <c r="C69" s="68">
        <f>SUM(C67:C68)</f>
        <v>21400</v>
      </c>
      <c r="D69" s="11">
        <f>SUM(D67:D68)</f>
        <v>21343</v>
      </c>
      <c r="E69" s="222">
        <f t="shared" si="3"/>
        <v>99.733644859813083</v>
      </c>
    </row>
    <row r="70" spans="1:10">
      <c r="A70" s="302" t="s">
        <v>226</v>
      </c>
      <c r="B70" s="35">
        <f>(B63+B64+B65+B67+B68)*0.27</f>
        <v>85320</v>
      </c>
      <c r="C70" s="35">
        <v>77245</v>
      </c>
      <c r="D70" s="6">
        <v>76265</v>
      </c>
      <c r="E70" s="221">
        <f t="shared" si="3"/>
        <v>98.731309469868606</v>
      </c>
    </row>
    <row r="71" spans="1:10" ht="12" customHeight="1">
      <c r="A71" s="334" t="s">
        <v>221</v>
      </c>
      <c r="B71" s="68">
        <f>SUM(B70:B70)</f>
        <v>85320</v>
      </c>
      <c r="C71" s="68">
        <f>SUM(C70)</f>
        <v>77245</v>
      </c>
      <c r="D71" s="11">
        <f>SUM(D70)</f>
        <v>76265</v>
      </c>
      <c r="E71" s="222">
        <f t="shared" si="3"/>
        <v>98.731309469868606</v>
      </c>
    </row>
    <row r="72" spans="1:10">
      <c r="A72" s="173" t="s">
        <v>222</v>
      </c>
      <c r="B72" s="36">
        <f>+B66+B69+B71</f>
        <v>401320</v>
      </c>
      <c r="C72" s="36">
        <f>SUM(C66+C69+C71)</f>
        <v>366645</v>
      </c>
      <c r="D72" s="11">
        <f>SUM(D66+D69+D71)</f>
        <v>362174</v>
      </c>
      <c r="E72" s="222">
        <f t="shared" si="3"/>
        <v>98.78056430607262</v>
      </c>
    </row>
    <row r="73" spans="1:10">
      <c r="A73" s="173"/>
      <c r="B73" s="36"/>
      <c r="C73" s="36"/>
      <c r="D73" s="17"/>
      <c r="E73" s="221"/>
    </row>
    <row r="74" spans="1:10">
      <c r="A74" s="330" t="s">
        <v>18</v>
      </c>
      <c r="B74" s="36">
        <f>SUM(B72:B73)</f>
        <v>401320</v>
      </c>
      <c r="C74" s="36">
        <f>SUM(C72:C73)</f>
        <v>366645</v>
      </c>
      <c r="D74" s="11">
        <f>SUM(D72:D73)</f>
        <v>362174</v>
      </c>
      <c r="E74" s="222">
        <f t="shared" si="3"/>
        <v>98.78056430607262</v>
      </c>
    </row>
    <row r="75" spans="1:10">
      <c r="A75" s="330"/>
      <c r="B75" s="36"/>
      <c r="C75" s="36"/>
      <c r="E75" s="70"/>
    </row>
    <row r="76" spans="1:10">
      <c r="A76" s="330"/>
      <c r="B76" s="36"/>
      <c r="C76" s="36"/>
    </row>
    <row r="77" spans="1:10">
      <c r="A77" s="639" t="s">
        <v>47</v>
      </c>
      <c r="B77" s="640"/>
      <c r="C77" s="640"/>
      <c r="D77" s="640"/>
      <c r="E77" s="641"/>
      <c r="J77" s="43"/>
    </row>
    <row r="78" spans="1:10">
      <c r="A78" s="127"/>
      <c r="B78" s="139"/>
      <c r="C78" s="139"/>
      <c r="J78" s="43"/>
    </row>
    <row r="79" spans="1:10">
      <c r="A79" s="303" t="s">
        <v>67</v>
      </c>
      <c r="B79" s="67">
        <v>25639000</v>
      </c>
      <c r="C79" s="67">
        <v>68163214</v>
      </c>
      <c r="D79" s="6">
        <v>68161175</v>
      </c>
      <c r="E79" s="221">
        <f t="shared" ref="E79:E95" si="4">D79/C79*100</f>
        <v>99.997008650443036</v>
      </c>
    </row>
    <row r="80" spans="1:10">
      <c r="A80" s="303" t="s">
        <v>336</v>
      </c>
      <c r="B80" s="67">
        <v>0</v>
      </c>
      <c r="C80" s="67">
        <v>980505</v>
      </c>
      <c r="D80" s="6">
        <v>980505</v>
      </c>
      <c r="E80" s="221">
        <f t="shared" si="4"/>
        <v>100</v>
      </c>
    </row>
    <row r="81" spans="1:5">
      <c r="A81" s="304" t="s">
        <v>198</v>
      </c>
      <c r="B81" s="68">
        <f>SUM(B79)</f>
        <v>25639000</v>
      </c>
      <c r="C81" s="68">
        <f>SUM(C78:C80)</f>
        <v>69143719</v>
      </c>
      <c r="D81" s="11">
        <f>SUM(D79:D80)</f>
        <v>69141680</v>
      </c>
      <c r="E81" s="222">
        <f t="shared" si="4"/>
        <v>99.997051069815896</v>
      </c>
    </row>
    <row r="82" spans="1:5">
      <c r="A82" s="304"/>
      <c r="B82" s="183"/>
      <c r="C82" s="68"/>
      <c r="D82" s="17"/>
      <c r="E82" s="221"/>
    </row>
    <row r="83" spans="1:5">
      <c r="A83" s="303" t="s">
        <v>138</v>
      </c>
      <c r="B83" s="67">
        <v>3461000</v>
      </c>
      <c r="C83" s="67">
        <v>9460043</v>
      </c>
      <c r="D83" s="6">
        <v>9460043</v>
      </c>
      <c r="E83" s="221">
        <f t="shared" si="4"/>
        <v>100</v>
      </c>
    </row>
    <row r="84" spans="1:5">
      <c r="A84" s="303" t="s">
        <v>45</v>
      </c>
      <c r="B84" s="67">
        <v>0</v>
      </c>
      <c r="C84" s="67">
        <v>89095</v>
      </c>
      <c r="D84" s="6">
        <v>89095</v>
      </c>
      <c r="E84" s="221">
        <f t="shared" si="4"/>
        <v>100</v>
      </c>
    </row>
    <row r="85" spans="1:5">
      <c r="A85" s="303" t="s">
        <v>42</v>
      </c>
      <c r="B85" s="67">
        <v>0</v>
      </c>
      <c r="C85" s="67">
        <v>44590</v>
      </c>
      <c r="D85" s="6">
        <v>44590</v>
      </c>
      <c r="E85" s="221">
        <f t="shared" si="4"/>
        <v>100</v>
      </c>
    </row>
    <row r="86" spans="1:5">
      <c r="A86" s="304" t="s">
        <v>200</v>
      </c>
      <c r="B86" s="68">
        <f>SUM(B83)</f>
        <v>3461000</v>
      </c>
      <c r="C86" s="68">
        <f>SUM(C83:C85)</f>
        <v>9593728</v>
      </c>
      <c r="D86" s="11">
        <f>SUM(D83:D85)</f>
        <v>9593728</v>
      </c>
      <c r="E86" s="222">
        <f t="shared" si="4"/>
        <v>100</v>
      </c>
    </row>
    <row r="87" spans="1:5">
      <c r="A87" s="304"/>
      <c r="B87" s="68"/>
      <c r="C87" s="68"/>
      <c r="D87" s="17"/>
      <c r="E87" s="221"/>
    </row>
    <row r="88" spans="1:5">
      <c r="A88" s="333" t="s">
        <v>337</v>
      </c>
      <c r="B88" s="67">
        <v>0</v>
      </c>
      <c r="C88" s="67">
        <v>971239</v>
      </c>
      <c r="D88" s="6">
        <v>971239</v>
      </c>
      <c r="E88" s="221">
        <f t="shared" si="4"/>
        <v>100</v>
      </c>
    </row>
    <row r="89" spans="1:5">
      <c r="A89" s="304" t="s">
        <v>338</v>
      </c>
      <c r="B89" s="68">
        <f>SUM(B88)</f>
        <v>0</v>
      </c>
      <c r="C89" s="68">
        <f>SUM(C88)</f>
        <v>971239</v>
      </c>
      <c r="D89" s="11">
        <f>SUM(D88)</f>
        <v>971239</v>
      </c>
      <c r="E89" s="222">
        <f t="shared" si="4"/>
        <v>100</v>
      </c>
    </row>
    <row r="90" spans="1:5">
      <c r="A90" s="303" t="s">
        <v>339</v>
      </c>
      <c r="B90" s="67">
        <v>0</v>
      </c>
      <c r="C90" s="67">
        <v>127835</v>
      </c>
      <c r="D90" s="6">
        <v>127835</v>
      </c>
      <c r="E90" s="221">
        <f t="shared" si="4"/>
        <v>100</v>
      </c>
    </row>
    <row r="91" spans="1:5">
      <c r="A91" s="304" t="s">
        <v>216</v>
      </c>
      <c r="B91" s="68">
        <f>SUM(B90)</f>
        <v>0</v>
      </c>
      <c r="C91" s="68">
        <f>SUM(C90)</f>
        <v>127835</v>
      </c>
      <c r="D91" s="11">
        <f>SUM(D90)</f>
        <v>127835</v>
      </c>
      <c r="E91" s="222">
        <f t="shared" si="4"/>
        <v>100</v>
      </c>
    </row>
    <row r="92" spans="1:5">
      <c r="A92" s="303" t="s">
        <v>226</v>
      </c>
      <c r="B92" s="67">
        <v>0</v>
      </c>
      <c r="C92" s="67">
        <v>379951</v>
      </c>
      <c r="D92" s="6">
        <v>266764</v>
      </c>
      <c r="E92" s="221">
        <f t="shared" si="4"/>
        <v>70.210106039989356</v>
      </c>
    </row>
    <row r="93" spans="1:5">
      <c r="A93" s="303" t="s">
        <v>335</v>
      </c>
      <c r="B93" s="67">
        <v>0</v>
      </c>
      <c r="C93" s="67">
        <v>45000</v>
      </c>
      <c r="D93" s="6">
        <v>45000</v>
      </c>
      <c r="E93" s="221">
        <f t="shared" si="4"/>
        <v>100</v>
      </c>
    </row>
    <row r="94" spans="1:5">
      <c r="A94" s="304" t="s">
        <v>340</v>
      </c>
      <c r="B94" s="68">
        <f>SUM(B92:B93)</f>
        <v>0</v>
      </c>
      <c r="C94" s="68">
        <f>SUM(C92:C93)</f>
        <v>424951</v>
      </c>
      <c r="D94" s="11">
        <f>SUM(D92:D93)</f>
        <v>311764</v>
      </c>
      <c r="E94" s="222">
        <f t="shared" si="4"/>
        <v>73.364693811757121</v>
      </c>
    </row>
    <row r="95" spans="1:5">
      <c r="A95" s="304" t="s">
        <v>258</v>
      </c>
      <c r="B95" s="68">
        <f>SUM(B94,B91,B89)</f>
        <v>0</v>
      </c>
      <c r="C95" s="68">
        <f>SUM(C94,C91,C89)</f>
        <v>1524025</v>
      </c>
      <c r="D95" s="11">
        <f>SUM(D94,D91,D89)</f>
        <v>1410838</v>
      </c>
      <c r="E95" s="222">
        <f t="shared" si="4"/>
        <v>92.573153327537284</v>
      </c>
    </row>
    <row r="96" spans="1:5">
      <c r="A96" s="304"/>
      <c r="B96" s="68"/>
      <c r="C96" s="68"/>
      <c r="D96" s="17"/>
      <c r="E96" s="17"/>
    </row>
    <row r="97" spans="1:5">
      <c r="A97" s="330" t="s">
        <v>18</v>
      </c>
      <c r="B97" s="36">
        <f>B81+B86</f>
        <v>29100000</v>
      </c>
      <c r="C97" s="36">
        <f>SUM(C81+C86+C95)</f>
        <v>80261472</v>
      </c>
      <c r="D97" s="11">
        <f>SUM(D81+D86+D95)</f>
        <v>80146246</v>
      </c>
      <c r="E97" s="222">
        <f>D97/C97*100</f>
        <v>99.856436722217097</v>
      </c>
    </row>
    <row r="98" spans="1:5">
      <c r="A98" s="127"/>
      <c r="B98" s="139"/>
      <c r="C98" s="139"/>
    </row>
    <row r="99" spans="1:5">
      <c r="A99" s="642" t="s">
        <v>341</v>
      </c>
      <c r="B99" s="643"/>
      <c r="C99" s="643"/>
      <c r="D99" s="643"/>
      <c r="E99" s="644"/>
    </row>
    <row r="100" spans="1:5">
      <c r="A100" s="127"/>
      <c r="B100" s="139"/>
      <c r="C100" s="139"/>
    </row>
    <row r="101" spans="1:5">
      <c r="A101" s="186" t="s">
        <v>343</v>
      </c>
      <c r="B101" s="190">
        <v>0</v>
      </c>
      <c r="C101" s="185">
        <v>2203867</v>
      </c>
      <c r="D101" s="6">
        <v>2203867</v>
      </c>
      <c r="E101" s="221">
        <f t="shared" ref="E101:E110" si="5">D101/C101*100</f>
        <v>100</v>
      </c>
    </row>
    <row r="102" spans="1:5">
      <c r="A102" s="186" t="s">
        <v>336</v>
      </c>
      <c r="B102" s="190">
        <v>0</v>
      </c>
      <c r="C102" s="185">
        <v>25277</v>
      </c>
      <c r="D102" s="6">
        <v>25277</v>
      </c>
      <c r="E102" s="221">
        <f t="shared" si="5"/>
        <v>100</v>
      </c>
    </row>
    <row r="103" spans="1:5">
      <c r="A103" s="184" t="s">
        <v>198</v>
      </c>
      <c r="B103" s="187">
        <f>SUM(B101:B102)</f>
        <v>0</v>
      </c>
      <c r="C103" s="187">
        <f>SUM(C101:C102)</f>
        <v>2229144</v>
      </c>
      <c r="D103" s="11">
        <f>SUM(D101:D102)</f>
        <v>2229144</v>
      </c>
      <c r="E103" s="222">
        <f t="shared" si="5"/>
        <v>100</v>
      </c>
    </row>
    <row r="104" spans="1:5">
      <c r="A104" s="127"/>
      <c r="B104" s="268"/>
      <c r="C104" s="139"/>
      <c r="E104" s="221"/>
    </row>
    <row r="105" spans="1:5">
      <c r="A105" s="186" t="s">
        <v>138</v>
      </c>
      <c r="B105" s="268">
        <v>0</v>
      </c>
      <c r="C105" s="185">
        <v>298233</v>
      </c>
      <c r="D105" s="6">
        <v>298233</v>
      </c>
      <c r="E105" s="221">
        <f t="shared" si="5"/>
        <v>100</v>
      </c>
    </row>
    <row r="106" spans="1:5">
      <c r="A106" s="186" t="s">
        <v>45</v>
      </c>
      <c r="B106" s="268">
        <v>0</v>
      </c>
      <c r="C106" s="185">
        <v>6426</v>
      </c>
      <c r="D106" s="6">
        <v>6426</v>
      </c>
      <c r="E106" s="221">
        <f t="shared" si="5"/>
        <v>100</v>
      </c>
    </row>
    <row r="107" spans="1:5">
      <c r="A107" s="186" t="s">
        <v>42</v>
      </c>
      <c r="B107" s="268">
        <v>0</v>
      </c>
      <c r="C107" s="185">
        <v>3808</v>
      </c>
      <c r="D107" s="6">
        <v>3808</v>
      </c>
      <c r="E107" s="221">
        <f t="shared" si="5"/>
        <v>100</v>
      </c>
    </row>
    <row r="108" spans="1:5">
      <c r="A108" s="184" t="s">
        <v>200</v>
      </c>
      <c r="B108" s="187">
        <f>SUM(B105:B107)</f>
        <v>0</v>
      </c>
      <c r="C108" s="187">
        <f>SUM(C105:C107)</f>
        <v>308467</v>
      </c>
      <c r="D108" s="11">
        <f>SUM(D105:D107)</f>
        <v>308467</v>
      </c>
      <c r="E108" s="222">
        <f t="shared" si="5"/>
        <v>100</v>
      </c>
    </row>
    <row r="109" spans="1:5">
      <c r="A109" s="186"/>
      <c r="B109" s="139"/>
      <c r="C109" s="185"/>
      <c r="E109" s="221"/>
    </row>
    <row r="110" spans="1:5">
      <c r="A110" s="184" t="s">
        <v>18</v>
      </c>
      <c r="B110" s="187">
        <f>SUM(B103+B108)</f>
        <v>0</v>
      </c>
      <c r="C110" s="187">
        <f>SUM(C103+C108)</f>
        <v>2537611</v>
      </c>
      <c r="D110" s="11">
        <f>SUM(D103+D108)</f>
        <v>2537611</v>
      </c>
      <c r="E110" s="222">
        <f t="shared" si="5"/>
        <v>100</v>
      </c>
    </row>
    <row r="111" spans="1:5">
      <c r="A111" s="184"/>
      <c r="B111" s="139"/>
      <c r="C111" s="187"/>
      <c r="E111" s="17"/>
    </row>
    <row r="112" spans="1:5">
      <c r="A112" s="330"/>
      <c r="B112" s="68"/>
      <c r="C112" s="68"/>
    </row>
    <row r="113" spans="1:5">
      <c r="A113" s="657" t="s">
        <v>296</v>
      </c>
      <c r="B113" s="657"/>
      <c r="C113" s="657"/>
      <c r="D113" s="657"/>
    </row>
    <row r="114" spans="1:5">
      <c r="A114" s="330"/>
      <c r="B114" s="68"/>
      <c r="C114" s="68"/>
    </row>
    <row r="115" spans="1:5">
      <c r="A115" s="628" t="s">
        <v>151</v>
      </c>
      <c r="B115" s="629"/>
      <c r="C115" s="629"/>
      <c r="D115" s="629"/>
      <c r="E115" s="630"/>
    </row>
    <row r="116" spans="1:5">
      <c r="A116" s="332"/>
      <c r="B116" s="148"/>
      <c r="C116" s="148"/>
    </row>
    <row r="117" spans="1:5">
      <c r="A117" s="303" t="s">
        <v>35</v>
      </c>
      <c r="B117" s="150">
        <v>4380000</v>
      </c>
      <c r="C117" s="150">
        <v>4402500</v>
      </c>
      <c r="D117" s="6">
        <v>4393400</v>
      </c>
      <c r="E117" s="221">
        <f t="shared" ref="E117:E142" si="6">D117/C117*100</f>
        <v>99.793299261783076</v>
      </c>
    </row>
    <row r="118" spans="1:5">
      <c r="A118" s="333" t="s">
        <v>46</v>
      </c>
      <c r="B118" s="82">
        <v>85000</v>
      </c>
      <c r="C118" s="82"/>
      <c r="D118" s="17"/>
      <c r="E118" s="221"/>
    </row>
    <row r="119" spans="1:5">
      <c r="A119" s="333" t="s">
        <v>86</v>
      </c>
      <c r="B119" s="82">
        <v>1117000</v>
      </c>
      <c r="C119" s="82">
        <v>1129500</v>
      </c>
      <c r="D119" s="6">
        <v>1126674</v>
      </c>
      <c r="E119" s="221">
        <f t="shared" si="6"/>
        <v>99.74980079681275</v>
      </c>
    </row>
    <row r="120" spans="1:5">
      <c r="A120" s="333" t="s">
        <v>342</v>
      </c>
      <c r="B120" s="82">
        <v>0</v>
      </c>
      <c r="C120" s="82">
        <v>60000</v>
      </c>
      <c r="D120" s="6">
        <v>60000</v>
      </c>
      <c r="E120" s="221">
        <f t="shared" si="6"/>
        <v>100</v>
      </c>
    </row>
    <row r="121" spans="1:5">
      <c r="A121" s="333" t="s">
        <v>336</v>
      </c>
      <c r="B121" s="82">
        <v>0</v>
      </c>
      <c r="C121" s="82">
        <v>110100</v>
      </c>
      <c r="D121" s="6">
        <v>106700</v>
      </c>
      <c r="E121" s="221">
        <f t="shared" si="6"/>
        <v>96.911898274296092</v>
      </c>
    </row>
    <row r="122" spans="1:5">
      <c r="A122" s="333" t="s">
        <v>41</v>
      </c>
      <c r="B122" s="82">
        <v>1620000</v>
      </c>
      <c r="C122" s="82">
        <v>1785807</v>
      </c>
      <c r="D122" s="6">
        <v>1785807</v>
      </c>
      <c r="E122" s="221">
        <f t="shared" si="6"/>
        <v>100</v>
      </c>
    </row>
    <row r="123" spans="1:5">
      <c r="A123" s="304" t="s">
        <v>198</v>
      </c>
      <c r="B123" s="34">
        <f>SUM(B117:B122)</f>
        <v>7202000</v>
      </c>
      <c r="C123" s="34">
        <f>SUM(C117:C122)</f>
        <v>7487907</v>
      </c>
      <c r="D123" s="11">
        <f>SUM(D117:D122)</f>
        <v>7472581</v>
      </c>
      <c r="E123" s="222">
        <f t="shared" si="6"/>
        <v>99.795323312642637</v>
      </c>
    </row>
    <row r="124" spans="1:5">
      <c r="A124" s="304"/>
      <c r="B124" s="34"/>
      <c r="C124" s="34"/>
      <c r="D124" s="17"/>
      <c r="E124" s="221"/>
    </row>
    <row r="125" spans="1:5">
      <c r="A125" s="303" t="s">
        <v>138</v>
      </c>
      <c r="B125" s="33">
        <v>1917000</v>
      </c>
      <c r="C125" s="33">
        <v>1971725</v>
      </c>
      <c r="D125" s="6">
        <v>1971171</v>
      </c>
      <c r="E125" s="221">
        <f t="shared" si="6"/>
        <v>99.971902775488459</v>
      </c>
    </row>
    <row r="126" spans="1:5">
      <c r="A126" s="303" t="s">
        <v>199</v>
      </c>
      <c r="B126" s="33">
        <v>33000</v>
      </c>
      <c r="C126" s="33">
        <v>19278</v>
      </c>
      <c r="D126" s="6">
        <v>19278</v>
      </c>
      <c r="E126" s="221">
        <f t="shared" si="6"/>
        <v>100</v>
      </c>
    </row>
    <row r="127" spans="1:5">
      <c r="A127" s="303" t="s">
        <v>42</v>
      </c>
      <c r="B127" s="33">
        <v>20000</v>
      </c>
      <c r="C127" s="33">
        <v>11424</v>
      </c>
      <c r="D127" s="6">
        <v>11424</v>
      </c>
      <c r="E127" s="221">
        <f t="shared" si="6"/>
        <v>100</v>
      </c>
    </row>
    <row r="128" spans="1:5">
      <c r="A128" s="304" t="s">
        <v>200</v>
      </c>
      <c r="B128" s="34">
        <f>SUM(B125:B127)</f>
        <v>1970000</v>
      </c>
      <c r="C128" s="34">
        <f>SUM(C125:C127)</f>
        <v>2002427</v>
      </c>
      <c r="D128" s="11">
        <f>SUM(D125:D127)</f>
        <v>2001873</v>
      </c>
      <c r="E128" s="222">
        <f t="shared" si="6"/>
        <v>99.972333573208914</v>
      </c>
    </row>
    <row r="129" spans="1:5">
      <c r="A129" s="304"/>
      <c r="B129" s="34"/>
      <c r="C129" s="34"/>
      <c r="D129" s="17"/>
      <c r="E129" s="221"/>
    </row>
    <row r="130" spans="1:5">
      <c r="A130" s="302" t="s">
        <v>273</v>
      </c>
      <c r="B130" s="82">
        <v>400000</v>
      </c>
      <c r="C130" s="82">
        <v>330684</v>
      </c>
      <c r="D130" s="6">
        <v>330684</v>
      </c>
      <c r="E130" s="221">
        <f t="shared" si="6"/>
        <v>100</v>
      </c>
    </row>
    <row r="131" spans="1:5">
      <c r="A131" s="302" t="s">
        <v>344</v>
      </c>
      <c r="B131" s="82"/>
      <c r="C131" s="82">
        <v>183102</v>
      </c>
      <c r="D131" s="6">
        <v>183102</v>
      </c>
      <c r="E131" s="221">
        <f t="shared" si="6"/>
        <v>100</v>
      </c>
    </row>
    <row r="132" spans="1:5">
      <c r="A132" s="334" t="s">
        <v>209</v>
      </c>
      <c r="B132" s="83">
        <f>SUM(B130)</f>
        <v>400000</v>
      </c>
      <c r="C132" s="83">
        <f>SUM(C130:C131)</f>
        <v>513786</v>
      </c>
      <c r="D132" s="11">
        <f>SUM(D130:D131)</f>
        <v>513786</v>
      </c>
      <c r="E132" s="222">
        <f t="shared" si="6"/>
        <v>100</v>
      </c>
    </row>
    <row r="133" spans="1:5">
      <c r="A133" s="302" t="s">
        <v>219</v>
      </c>
      <c r="B133" s="82">
        <v>50000</v>
      </c>
      <c r="C133" s="82">
        <v>1906165</v>
      </c>
      <c r="D133" s="6">
        <v>1906165</v>
      </c>
      <c r="E133" s="221">
        <f t="shared" si="6"/>
        <v>100</v>
      </c>
    </row>
    <row r="134" spans="1:5">
      <c r="A134" s="302" t="s">
        <v>345</v>
      </c>
      <c r="B134" s="82"/>
      <c r="C134" s="82">
        <v>37060</v>
      </c>
      <c r="D134" s="6">
        <v>37060</v>
      </c>
      <c r="E134" s="221">
        <f t="shared" si="6"/>
        <v>100</v>
      </c>
    </row>
    <row r="135" spans="1:5">
      <c r="A135" s="328" t="s">
        <v>216</v>
      </c>
      <c r="B135" s="83">
        <f>SUM(B133)</f>
        <v>50000</v>
      </c>
      <c r="C135" s="83">
        <f>SUM(C133:C134)</f>
        <v>1943225</v>
      </c>
      <c r="D135" s="11">
        <f>SUM(D133:D134)</f>
        <v>1943225</v>
      </c>
      <c r="E135" s="222">
        <f t="shared" si="6"/>
        <v>100</v>
      </c>
    </row>
    <row r="136" spans="1:5">
      <c r="A136" s="302" t="s">
        <v>226</v>
      </c>
      <c r="B136" s="82">
        <f>(B130+B133)*0.27</f>
        <v>121500.00000000001</v>
      </c>
      <c r="C136" s="82">
        <v>614793</v>
      </c>
      <c r="D136" s="6">
        <v>614793</v>
      </c>
      <c r="E136" s="221">
        <f t="shared" si="6"/>
        <v>100</v>
      </c>
    </row>
    <row r="137" spans="1:5">
      <c r="A137" s="302" t="s">
        <v>346</v>
      </c>
      <c r="B137" s="82"/>
      <c r="C137" s="82">
        <v>2262000</v>
      </c>
      <c r="D137" s="6">
        <v>2262000</v>
      </c>
      <c r="E137" s="221">
        <f t="shared" si="6"/>
        <v>100</v>
      </c>
    </row>
    <row r="138" spans="1:5" ht="22.5">
      <c r="A138" s="334" t="s">
        <v>221</v>
      </c>
      <c r="B138" s="34">
        <f>SUM(B136)</f>
        <v>121500.00000000001</v>
      </c>
      <c r="C138" s="34">
        <f>SUM(C136:C137)</f>
        <v>2876793</v>
      </c>
      <c r="D138" s="11">
        <f>SUM(D136:D137)</f>
        <v>2876793</v>
      </c>
      <c r="E138" s="222">
        <f t="shared" si="6"/>
        <v>100</v>
      </c>
    </row>
    <row r="139" spans="1:5">
      <c r="A139" s="334"/>
      <c r="B139" s="35"/>
      <c r="C139" s="35"/>
      <c r="D139" s="17"/>
      <c r="E139" s="221"/>
    </row>
    <row r="140" spans="1:5">
      <c r="A140" s="173" t="s">
        <v>222</v>
      </c>
      <c r="B140" s="68">
        <f>B132+B138+B135</f>
        <v>571500</v>
      </c>
      <c r="C140" s="68">
        <f>SUM(C132+C135+C138)</f>
        <v>5333804</v>
      </c>
      <c r="D140" s="11">
        <f>SUM(D132+D135+D138)</f>
        <v>5333804</v>
      </c>
      <c r="E140" s="222">
        <f t="shared" si="6"/>
        <v>100</v>
      </c>
    </row>
    <row r="141" spans="1:5">
      <c r="A141" s="173"/>
      <c r="B141" s="35"/>
      <c r="C141" s="35"/>
      <c r="D141" s="17"/>
      <c r="E141" s="221"/>
    </row>
    <row r="142" spans="1:5">
      <c r="A142" s="330" t="s">
        <v>18</v>
      </c>
      <c r="B142" s="68">
        <f>B123+B128+B140</f>
        <v>9743500</v>
      </c>
      <c r="C142" s="68">
        <f>SUM(C123+C128+C140)</f>
        <v>14824138</v>
      </c>
      <c r="D142" s="11">
        <f>SUM(D123+D128+D140)</f>
        <v>14808258</v>
      </c>
      <c r="E142" s="222">
        <f t="shared" si="6"/>
        <v>99.8928774138503</v>
      </c>
    </row>
    <row r="143" spans="1:5">
      <c r="A143" s="329"/>
      <c r="B143" s="36"/>
      <c r="C143" s="36"/>
    </row>
    <row r="144" spans="1:5">
      <c r="A144" s="658" t="s">
        <v>108</v>
      </c>
      <c r="B144" s="658"/>
      <c r="C144" s="658"/>
      <c r="D144" s="658"/>
    </row>
    <row r="145" spans="1:5">
      <c r="A145" s="330"/>
      <c r="B145" s="36"/>
      <c r="C145" s="36"/>
    </row>
    <row r="146" spans="1:5">
      <c r="A146" s="628" t="s">
        <v>248</v>
      </c>
      <c r="B146" s="629"/>
      <c r="C146" s="629"/>
      <c r="D146" s="629"/>
      <c r="E146" s="630"/>
    </row>
    <row r="147" spans="1:5">
      <c r="A147" s="332"/>
      <c r="B147" s="139"/>
      <c r="C147" s="139"/>
    </row>
    <row r="148" spans="1:5">
      <c r="A148" s="186" t="s">
        <v>37</v>
      </c>
      <c r="B148" s="190">
        <v>0</v>
      </c>
      <c r="C148" s="185">
        <v>2400000</v>
      </c>
      <c r="D148" s="6">
        <v>2400000</v>
      </c>
      <c r="E148" s="221">
        <f t="shared" ref="E148:E173" si="7">D148/C148*100</f>
        <v>100</v>
      </c>
    </row>
    <row r="149" spans="1:5">
      <c r="A149" s="333" t="s">
        <v>40</v>
      </c>
      <c r="B149" s="82">
        <v>5990000</v>
      </c>
      <c r="C149" s="82">
        <v>5990000</v>
      </c>
      <c r="D149" s="6">
        <v>5956897</v>
      </c>
      <c r="E149" s="221">
        <f t="shared" si="7"/>
        <v>99.447362270450753</v>
      </c>
    </row>
    <row r="150" spans="1:5">
      <c r="A150" s="333" t="s">
        <v>41</v>
      </c>
      <c r="B150" s="82">
        <v>0</v>
      </c>
      <c r="C150" s="82">
        <v>192000</v>
      </c>
      <c r="D150" s="6">
        <v>191718</v>
      </c>
      <c r="E150" s="221">
        <f t="shared" si="7"/>
        <v>99.853124999999991</v>
      </c>
    </row>
    <row r="151" spans="1:5">
      <c r="A151" s="333" t="s">
        <v>342</v>
      </c>
      <c r="B151" s="82">
        <v>0</v>
      </c>
      <c r="C151" s="82">
        <v>25000</v>
      </c>
      <c r="D151" s="6">
        <v>25000</v>
      </c>
      <c r="E151" s="221">
        <f t="shared" si="7"/>
        <v>100</v>
      </c>
    </row>
    <row r="152" spans="1:5">
      <c r="A152" s="304" t="s">
        <v>198</v>
      </c>
      <c r="B152" s="34">
        <f>SUM(B149:B149)</f>
        <v>5990000</v>
      </c>
      <c r="C152" s="34">
        <f>SUM(C148:C151)</f>
        <v>8607000</v>
      </c>
      <c r="D152" s="11">
        <f>SUM(D148:D151)</f>
        <v>8573615</v>
      </c>
      <c r="E152" s="222">
        <f t="shared" si="7"/>
        <v>99.612118043452995</v>
      </c>
    </row>
    <row r="153" spans="1:5">
      <c r="A153" s="304"/>
      <c r="B153" s="34"/>
      <c r="C153" s="34"/>
      <c r="D153" s="17"/>
      <c r="E153" s="221"/>
    </row>
    <row r="154" spans="1:5">
      <c r="A154" s="303" t="s">
        <v>138</v>
      </c>
      <c r="B154" s="33">
        <v>809000</v>
      </c>
      <c r="C154" s="33">
        <v>1987151</v>
      </c>
      <c r="D154" s="6">
        <v>1987104</v>
      </c>
      <c r="E154" s="221">
        <f t="shared" si="7"/>
        <v>99.997634804803454</v>
      </c>
    </row>
    <row r="155" spans="1:5">
      <c r="A155" s="303" t="s">
        <v>347</v>
      </c>
      <c r="B155" s="33">
        <v>0</v>
      </c>
      <c r="C155" s="33">
        <v>150600</v>
      </c>
      <c r="D155" s="6">
        <v>150593</v>
      </c>
      <c r="E155" s="221">
        <f t="shared" si="7"/>
        <v>99.995351925630814</v>
      </c>
    </row>
    <row r="156" spans="1:5">
      <c r="A156" s="303" t="s">
        <v>42</v>
      </c>
      <c r="B156" s="33">
        <v>0</v>
      </c>
      <c r="C156" s="33">
        <v>4760</v>
      </c>
      <c r="D156" s="6">
        <v>4760</v>
      </c>
      <c r="E156" s="221">
        <f t="shared" si="7"/>
        <v>100</v>
      </c>
    </row>
    <row r="157" spans="1:5">
      <c r="A157" s="304" t="s">
        <v>200</v>
      </c>
      <c r="B157" s="34">
        <v>0</v>
      </c>
      <c r="C157" s="34">
        <f>SUM(C154:C156)</f>
        <v>2142511</v>
      </c>
      <c r="D157" s="11">
        <f>SUM(D154:D156)</f>
        <v>2142457</v>
      </c>
      <c r="E157" s="222">
        <f t="shared" si="7"/>
        <v>99.997479592870235</v>
      </c>
    </row>
    <row r="158" spans="1:5">
      <c r="A158" s="304"/>
      <c r="B158" s="34"/>
      <c r="C158" s="34"/>
      <c r="D158" s="17"/>
      <c r="E158" s="221"/>
    </row>
    <row r="159" spans="1:5">
      <c r="A159" s="303" t="s">
        <v>348</v>
      </c>
      <c r="B159" s="82">
        <v>0</v>
      </c>
      <c r="C159" s="33">
        <v>704</v>
      </c>
      <c r="D159" s="17">
        <v>704</v>
      </c>
      <c r="E159" s="221">
        <f t="shared" si="7"/>
        <v>100</v>
      </c>
    </row>
    <row r="160" spans="1:5">
      <c r="A160" s="303" t="s">
        <v>337</v>
      </c>
      <c r="B160" s="82">
        <v>0</v>
      </c>
      <c r="C160" s="33">
        <v>118482</v>
      </c>
      <c r="D160" s="6">
        <v>118482</v>
      </c>
      <c r="E160" s="221">
        <f t="shared" si="7"/>
        <v>100</v>
      </c>
    </row>
    <row r="161" spans="1:5">
      <c r="A161" s="310" t="s">
        <v>275</v>
      </c>
      <c r="B161" s="82">
        <v>0</v>
      </c>
      <c r="C161" s="6">
        <v>2525307</v>
      </c>
      <c r="D161" s="6">
        <v>2525307</v>
      </c>
      <c r="E161" s="221">
        <f t="shared" si="7"/>
        <v>100</v>
      </c>
    </row>
    <row r="162" spans="1:5">
      <c r="A162" s="302" t="s">
        <v>87</v>
      </c>
      <c r="B162" s="67">
        <v>1200000</v>
      </c>
      <c r="C162" s="67">
        <v>731655</v>
      </c>
      <c r="D162" s="6">
        <v>731548</v>
      </c>
      <c r="E162" s="221">
        <f t="shared" si="7"/>
        <v>99.985375621023564</v>
      </c>
    </row>
    <row r="163" spans="1:5">
      <c r="A163" s="328" t="s">
        <v>216</v>
      </c>
      <c r="B163" s="83">
        <f>SUM(B162)</f>
        <v>1200000</v>
      </c>
      <c r="C163" s="83">
        <f>SUM(C159:C162)</f>
        <v>3376148</v>
      </c>
      <c r="D163" s="11">
        <f>SUM(D159:D162)</f>
        <v>3376041</v>
      </c>
      <c r="E163" s="222">
        <f t="shared" si="7"/>
        <v>99.996830707658546</v>
      </c>
    </row>
    <row r="164" spans="1:5">
      <c r="A164" s="302" t="s">
        <v>226</v>
      </c>
      <c r="B164" s="67">
        <f>B162*0.27</f>
        <v>324000</v>
      </c>
      <c r="C164" s="67">
        <v>738195</v>
      </c>
      <c r="D164" s="6">
        <v>738119</v>
      </c>
      <c r="E164" s="221">
        <f t="shared" si="7"/>
        <v>99.989704617343662</v>
      </c>
    </row>
    <row r="165" spans="1:5">
      <c r="A165" s="302" t="s">
        <v>225</v>
      </c>
      <c r="B165" s="152">
        <f>'3_melléklet'!B15+'3_melléklet'!B18+'3_melléklet'!B31</f>
        <v>3637980</v>
      </c>
      <c r="C165" s="152">
        <v>1567000</v>
      </c>
      <c r="D165" s="6">
        <v>1567000</v>
      </c>
      <c r="E165" s="221">
        <f t="shared" si="7"/>
        <v>100</v>
      </c>
    </row>
    <row r="166" spans="1:5">
      <c r="A166" s="331" t="s">
        <v>218</v>
      </c>
      <c r="B166" s="67">
        <f>1600000+6350000</f>
        <v>7950000</v>
      </c>
      <c r="C166" s="67">
        <v>4527874</v>
      </c>
      <c r="D166" s="6">
        <v>4527874</v>
      </c>
      <c r="E166" s="221">
        <f t="shared" si="7"/>
        <v>100</v>
      </c>
    </row>
    <row r="167" spans="1:5">
      <c r="A167" s="301" t="s">
        <v>17</v>
      </c>
      <c r="B167" s="67">
        <f>2800000+9000000</f>
        <v>11800000</v>
      </c>
      <c r="C167" s="67">
        <v>6456469</v>
      </c>
      <c r="D167" s="6">
        <v>6456469</v>
      </c>
      <c r="E167" s="221">
        <f t="shared" si="7"/>
        <v>100</v>
      </c>
    </row>
    <row r="168" spans="1:5">
      <c r="A168" s="301" t="s">
        <v>349</v>
      </c>
      <c r="B168" s="67">
        <v>0</v>
      </c>
      <c r="C168" s="67">
        <v>1273236</v>
      </c>
      <c r="D168" s="6">
        <v>299931</v>
      </c>
      <c r="E168" s="221">
        <f t="shared" si="7"/>
        <v>23.556591236817052</v>
      </c>
    </row>
    <row r="169" spans="1:5" ht="22.5">
      <c r="A169" s="334" t="s">
        <v>221</v>
      </c>
      <c r="B169" s="68">
        <f>SUM(B164:B167)</f>
        <v>23711980</v>
      </c>
      <c r="C169" s="68">
        <f>SUM(C164:C168)</f>
        <v>14562774</v>
      </c>
      <c r="D169" s="11">
        <f>SUM(D164:D168)</f>
        <v>13589393</v>
      </c>
      <c r="E169" s="222">
        <f t="shared" si="7"/>
        <v>93.315964389751571</v>
      </c>
    </row>
    <row r="170" spans="1:5">
      <c r="A170" s="334"/>
      <c r="B170" s="36"/>
      <c r="C170" s="36"/>
      <c r="D170" s="17"/>
      <c r="E170" s="221"/>
    </row>
    <row r="171" spans="1:5">
      <c r="A171" s="173" t="s">
        <v>222</v>
      </c>
      <c r="B171" s="37">
        <f>B169+B163</f>
        <v>24911980</v>
      </c>
      <c r="C171" s="37">
        <f>SUM(C163+C169)</f>
        <v>17938922</v>
      </c>
      <c r="D171" s="11">
        <f>SUM(D163+D169)</f>
        <v>16965434</v>
      </c>
      <c r="E171" s="222">
        <f t="shared" si="7"/>
        <v>94.573319400128952</v>
      </c>
    </row>
    <row r="172" spans="1:5">
      <c r="A172" s="173"/>
      <c r="B172" s="37"/>
      <c r="C172" s="37"/>
      <c r="D172" s="17"/>
      <c r="E172" s="221"/>
    </row>
    <row r="173" spans="1:5">
      <c r="A173" s="330" t="s">
        <v>18</v>
      </c>
      <c r="B173" s="37">
        <f>B171+B152+B157</f>
        <v>30901980</v>
      </c>
      <c r="C173" s="37">
        <f>SUM(C152+C157+C163+C169)</f>
        <v>28688433</v>
      </c>
      <c r="D173" s="11">
        <f>SUM(D152+D157+D171)</f>
        <v>27681506</v>
      </c>
      <c r="E173" s="222">
        <f t="shared" si="7"/>
        <v>96.490128965914593</v>
      </c>
    </row>
    <row r="174" spans="1:5">
      <c r="A174" s="330"/>
      <c r="B174" s="37"/>
      <c r="C174" s="37"/>
      <c r="D174" s="11"/>
      <c r="E174" s="222"/>
    </row>
    <row r="175" spans="1:5">
      <c r="A175" s="330"/>
      <c r="B175" s="37"/>
      <c r="C175" s="37"/>
      <c r="D175" s="17"/>
    </row>
    <row r="176" spans="1:5">
      <c r="A176" s="657" t="s">
        <v>296</v>
      </c>
      <c r="B176" s="657"/>
      <c r="C176" s="657"/>
      <c r="D176" s="657"/>
    </row>
    <row r="177" spans="1:5">
      <c r="A177" s="330"/>
      <c r="B177" s="37"/>
      <c r="C177" s="37"/>
    </row>
    <row r="178" spans="1:5">
      <c r="A178" s="628" t="s">
        <v>266</v>
      </c>
      <c r="B178" s="629"/>
      <c r="C178" s="629"/>
      <c r="D178" s="629"/>
      <c r="E178" s="630"/>
    </row>
    <row r="179" spans="1:5">
      <c r="A179" s="330"/>
      <c r="B179" s="37"/>
      <c r="C179" s="37"/>
    </row>
    <row r="180" spans="1:5">
      <c r="A180" s="303" t="s">
        <v>2</v>
      </c>
      <c r="B180" s="150">
        <v>1420000</v>
      </c>
      <c r="C180" s="150">
        <v>0</v>
      </c>
      <c r="D180" s="17">
        <v>0</v>
      </c>
      <c r="E180" s="221">
        <v>0</v>
      </c>
    </row>
    <row r="181" spans="1:5">
      <c r="A181" s="304" t="s">
        <v>198</v>
      </c>
      <c r="B181" s="37">
        <f>SUM(B180)</f>
        <v>1420000</v>
      </c>
      <c r="C181" s="37">
        <v>0</v>
      </c>
      <c r="D181" s="70">
        <v>0</v>
      </c>
      <c r="E181" s="222">
        <v>0</v>
      </c>
    </row>
    <row r="182" spans="1:5">
      <c r="A182" s="330"/>
      <c r="B182" s="37"/>
      <c r="C182" s="37"/>
      <c r="D182" s="17"/>
      <c r="E182" s="221"/>
    </row>
    <row r="183" spans="1:5">
      <c r="A183" s="303" t="s">
        <v>138</v>
      </c>
      <c r="B183" s="175">
        <f>B180*0.27</f>
        <v>383400</v>
      </c>
      <c r="C183" s="175">
        <v>0</v>
      </c>
      <c r="D183" s="17">
        <v>0</v>
      </c>
      <c r="E183" s="221">
        <v>0</v>
      </c>
    </row>
    <row r="184" spans="1:5">
      <c r="A184" s="304" t="s">
        <v>200</v>
      </c>
      <c r="B184" s="37">
        <f>SUM(B183)</f>
        <v>383400</v>
      </c>
      <c r="C184" s="37">
        <v>0</v>
      </c>
      <c r="D184" s="70">
        <v>0</v>
      </c>
      <c r="E184" s="222">
        <v>0</v>
      </c>
    </row>
    <row r="185" spans="1:5">
      <c r="A185" s="304"/>
      <c r="B185" s="37"/>
      <c r="C185" s="37"/>
      <c r="D185" s="17"/>
      <c r="E185" s="221"/>
    </row>
    <row r="186" spans="1:5">
      <c r="A186" s="302" t="s">
        <v>224</v>
      </c>
      <c r="B186" s="175">
        <v>800000</v>
      </c>
      <c r="C186" s="175">
        <v>0</v>
      </c>
      <c r="D186" s="17">
        <v>0</v>
      </c>
      <c r="E186" s="221">
        <v>0</v>
      </c>
    </row>
    <row r="187" spans="1:5">
      <c r="A187" s="328" t="s">
        <v>213</v>
      </c>
      <c r="B187" s="37">
        <f>B186</f>
        <v>800000</v>
      </c>
      <c r="C187" s="37">
        <v>0</v>
      </c>
      <c r="D187" s="70">
        <v>0</v>
      </c>
      <c r="E187" s="222">
        <v>0</v>
      </c>
    </row>
    <row r="188" spans="1:5">
      <c r="A188" s="302" t="s">
        <v>227</v>
      </c>
      <c r="B188" s="175">
        <v>500000</v>
      </c>
      <c r="C188" s="175">
        <v>0</v>
      </c>
      <c r="D188" s="17">
        <v>0</v>
      </c>
      <c r="E188" s="221">
        <v>0</v>
      </c>
    </row>
    <row r="189" spans="1:5">
      <c r="A189" s="328" t="s">
        <v>216</v>
      </c>
      <c r="B189" s="37">
        <f>B188</f>
        <v>500000</v>
      </c>
      <c r="C189" s="37">
        <v>0</v>
      </c>
      <c r="D189" s="70">
        <v>0</v>
      </c>
      <c r="E189" s="222">
        <v>0</v>
      </c>
    </row>
    <row r="190" spans="1:5">
      <c r="A190" s="302" t="s">
        <v>226</v>
      </c>
      <c r="B190" s="175">
        <f>(B186+B188)*0.27</f>
        <v>351000</v>
      </c>
      <c r="C190" s="175">
        <v>0</v>
      </c>
      <c r="D190" s="17">
        <v>0</v>
      </c>
      <c r="E190" s="221">
        <v>0</v>
      </c>
    </row>
    <row r="191" spans="1:5" ht="22.5">
      <c r="A191" s="334" t="s">
        <v>221</v>
      </c>
      <c r="B191" s="37">
        <f>+B190</f>
        <v>351000</v>
      </c>
      <c r="C191" s="37">
        <v>0</v>
      </c>
      <c r="D191" s="70">
        <v>0</v>
      </c>
      <c r="E191" s="222">
        <v>0</v>
      </c>
    </row>
    <row r="192" spans="1:5">
      <c r="A192" s="301"/>
      <c r="B192" s="37"/>
      <c r="C192" s="37"/>
      <c r="D192" s="17"/>
      <c r="E192" s="221"/>
    </row>
    <row r="193" spans="1:5">
      <c r="A193" s="173" t="s">
        <v>222</v>
      </c>
      <c r="B193" s="37">
        <f>B189+B187+B191</f>
        <v>1651000</v>
      </c>
      <c r="C193" s="37">
        <v>0</v>
      </c>
      <c r="D193" s="70">
        <v>0</v>
      </c>
      <c r="E193" s="222">
        <v>0</v>
      </c>
    </row>
    <row r="194" spans="1:5">
      <c r="A194" s="173"/>
      <c r="B194" s="37"/>
      <c r="C194" s="37"/>
      <c r="D194" s="17"/>
      <c r="E194" s="221"/>
    </row>
    <row r="195" spans="1:5">
      <c r="A195" s="330" t="s">
        <v>18</v>
      </c>
      <c r="B195" s="37">
        <f>B193+B184+B181</f>
        <v>3454400</v>
      </c>
      <c r="C195" s="37">
        <v>0</v>
      </c>
      <c r="D195" s="70">
        <v>0</v>
      </c>
      <c r="E195" s="222">
        <v>0</v>
      </c>
    </row>
    <row r="196" spans="1:5">
      <c r="A196" s="330"/>
      <c r="B196" s="37"/>
      <c r="C196" s="37"/>
      <c r="D196" s="17"/>
      <c r="E196" s="221"/>
    </row>
    <row r="197" spans="1:5">
      <c r="A197" s="90"/>
      <c r="B197" s="36"/>
      <c r="C197" s="36"/>
    </row>
    <row r="198" spans="1:5">
      <c r="A198" s="645" t="s">
        <v>350</v>
      </c>
      <c r="B198" s="646"/>
      <c r="C198" s="646"/>
      <c r="D198" s="646"/>
      <c r="E198" s="647"/>
    </row>
    <row r="199" spans="1:5">
      <c r="A199" s="90"/>
      <c r="B199" s="36"/>
      <c r="C199" s="36"/>
    </row>
    <row r="200" spans="1:5">
      <c r="A200" s="189" t="s">
        <v>351</v>
      </c>
      <c r="B200" s="67">
        <v>0</v>
      </c>
      <c r="C200" s="67">
        <v>190228</v>
      </c>
      <c r="D200" s="6">
        <v>190228</v>
      </c>
      <c r="E200" s="221">
        <f t="shared" ref="E200:E219" si="8">D200/C200*100</f>
        <v>100</v>
      </c>
    </row>
    <row r="201" spans="1:5">
      <c r="A201" s="189" t="s">
        <v>352</v>
      </c>
      <c r="B201" s="67">
        <v>0</v>
      </c>
      <c r="C201" s="67">
        <v>3780</v>
      </c>
      <c r="D201" s="6">
        <v>3780</v>
      </c>
      <c r="E201" s="221">
        <f t="shared" si="8"/>
        <v>100</v>
      </c>
    </row>
    <row r="202" spans="1:5">
      <c r="A202" s="173" t="s">
        <v>338</v>
      </c>
      <c r="B202" s="36">
        <f>SUM(B200:B201)</f>
        <v>0</v>
      </c>
      <c r="C202" s="36">
        <f>SUM(C200:C201)</f>
        <v>194008</v>
      </c>
      <c r="D202" s="11">
        <f>SUM(D200:D201)</f>
        <v>194008</v>
      </c>
      <c r="E202" s="222">
        <f t="shared" si="8"/>
        <v>100</v>
      </c>
    </row>
    <row r="203" spans="1:5">
      <c r="A203" s="189" t="s">
        <v>353</v>
      </c>
      <c r="B203" s="67">
        <v>0</v>
      </c>
      <c r="C203" s="67">
        <v>365905</v>
      </c>
      <c r="D203" s="6">
        <v>365905</v>
      </c>
      <c r="E203" s="221">
        <f t="shared" si="8"/>
        <v>100</v>
      </c>
    </row>
    <row r="204" spans="1:5">
      <c r="A204" s="173" t="s">
        <v>213</v>
      </c>
      <c r="B204" s="36">
        <f>SUM(B203)</f>
        <v>0</v>
      </c>
      <c r="C204" s="36">
        <f>SUM(C203)</f>
        <v>365905</v>
      </c>
      <c r="D204" s="11">
        <f>SUM(D203)</f>
        <v>365905</v>
      </c>
      <c r="E204" s="222">
        <f t="shared" si="8"/>
        <v>100</v>
      </c>
    </row>
    <row r="205" spans="1:5">
      <c r="A205" s="189" t="s">
        <v>354</v>
      </c>
      <c r="B205" s="67">
        <v>0</v>
      </c>
      <c r="C205" s="67">
        <v>1106</v>
      </c>
      <c r="D205" s="6">
        <v>1106</v>
      </c>
      <c r="E205" s="221">
        <f t="shared" si="8"/>
        <v>100</v>
      </c>
    </row>
    <row r="206" spans="1:5">
      <c r="A206" s="173" t="s">
        <v>216</v>
      </c>
      <c r="B206" s="36">
        <f>SUM(B205)</f>
        <v>0</v>
      </c>
      <c r="C206" s="36">
        <f>SUM(C205)</f>
        <v>1106</v>
      </c>
      <c r="D206" s="11">
        <f>SUM(D205)</f>
        <v>1106</v>
      </c>
      <c r="E206" s="222">
        <f t="shared" si="8"/>
        <v>100</v>
      </c>
    </row>
    <row r="207" spans="1:5">
      <c r="A207" s="189" t="s">
        <v>226</v>
      </c>
      <c r="B207" s="36">
        <v>0</v>
      </c>
      <c r="C207" s="67">
        <v>129281</v>
      </c>
      <c r="D207" s="6">
        <v>129281</v>
      </c>
      <c r="E207" s="221">
        <f t="shared" si="8"/>
        <v>100</v>
      </c>
    </row>
    <row r="208" spans="1:5" ht="22.5">
      <c r="A208" s="173" t="s">
        <v>221</v>
      </c>
      <c r="B208" s="36">
        <f>SUM(B207)</f>
        <v>0</v>
      </c>
      <c r="C208" s="36">
        <f>SUM(C207)</f>
        <v>129281</v>
      </c>
      <c r="D208" s="11">
        <f>SUM(D207)</f>
        <v>129281</v>
      </c>
      <c r="E208" s="222">
        <f t="shared" si="8"/>
        <v>100</v>
      </c>
    </row>
    <row r="209" spans="1:5">
      <c r="A209" s="173"/>
      <c r="B209" s="36"/>
      <c r="C209" s="36"/>
      <c r="D209" s="17"/>
      <c r="E209" s="221"/>
    </row>
    <row r="210" spans="1:5">
      <c r="A210" s="173" t="s">
        <v>222</v>
      </c>
      <c r="B210" s="36">
        <f>SUM(B208,B206,B204,B202)</f>
        <v>0</v>
      </c>
      <c r="C210" s="36">
        <f>SUM(C208,C206,C204,C202)</f>
        <v>690300</v>
      </c>
      <c r="D210" s="11">
        <f>SUM(D202+D204+D206+D208)</f>
        <v>690300</v>
      </c>
      <c r="E210" s="222">
        <f t="shared" si="8"/>
        <v>100</v>
      </c>
    </row>
    <row r="211" spans="1:5">
      <c r="A211" s="173"/>
      <c r="B211" s="36"/>
      <c r="C211" s="36"/>
      <c r="D211" s="17"/>
      <c r="E211" s="221"/>
    </row>
    <row r="212" spans="1:5">
      <c r="A212" s="330" t="s">
        <v>18</v>
      </c>
      <c r="B212" s="36">
        <f>SUM(B202+B204+B206+B208)</f>
        <v>0</v>
      </c>
      <c r="C212" s="36">
        <f>SUM(C202+C204+C206+C208)</f>
        <v>690300</v>
      </c>
      <c r="D212" s="11">
        <f>SUM(D210:D211)</f>
        <v>690300</v>
      </c>
      <c r="E212" s="222">
        <f t="shared" si="8"/>
        <v>100</v>
      </c>
    </row>
    <row r="213" spans="1:5">
      <c r="A213" s="330"/>
      <c r="B213" s="36"/>
      <c r="C213" s="36"/>
      <c r="D213" s="17"/>
      <c r="E213" s="221"/>
    </row>
    <row r="214" spans="1:5">
      <c r="A214" s="304" t="s">
        <v>198</v>
      </c>
      <c r="B214" s="36">
        <v>41066000</v>
      </c>
      <c r="C214" s="36">
        <f>SUM(C35+C81+C103+C123+C152)</f>
        <v>88214670</v>
      </c>
      <c r="D214" s="11">
        <f>SUM(D35+D81+D103+D123+D152)</f>
        <v>88163920</v>
      </c>
      <c r="E214" s="222">
        <f t="shared" si="8"/>
        <v>99.942469886244538</v>
      </c>
    </row>
    <row r="215" spans="1:5">
      <c r="A215" s="304" t="s">
        <v>200</v>
      </c>
      <c r="B215" s="36">
        <v>6843400</v>
      </c>
      <c r="C215" s="36">
        <f>SUM(C38+C86+C108+C128+C157)</f>
        <v>14245133</v>
      </c>
      <c r="D215" s="11">
        <f>SUM(D38+D86+D108+D128+D157)</f>
        <v>14244525</v>
      </c>
      <c r="E215" s="222">
        <f t="shared" si="8"/>
        <v>99.995731875581654</v>
      </c>
    </row>
    <row r="216" spans="1:5">
      <c r="A216" s="173" t="s">
        <v>258</v>
      </c>
      <c r="B216" s="36">
        <v>45994990</v>
      </c>
      <c r="C216" s="36">
        <f>SUM(C18+C28+C58+C72+C95+C140+C171+C210)</f>
        <v>44491715</v>
      </c>
      <c r="D216" s="11">
        <f>SUM(D28+D58+D72+D95+D140+D171+D210)</f>
        <v>43236777</v>
      </c>
      <c r="E216" s="222">
        <f t="shared" si="8"/>
        <v>97.179389466106215</v>
      </c>
    </row>
    <row r="217" spans="1:5">
      <c r="A217" s="173" t="s">
        <v>270</v>
      </c>
      <c r="B217" s="36">
        <f>'4_ melléklet'!B5</f>
        <v>68000394</v>
      </c>
      <c r="C217" s="180">
        <v>68227455</v>
      </c>
      <c r="D217" s="11">
        <f>'4_ melléklet'!D5</f>
        <v>47384899</v>
      </c>
      <c r="E217" s="222">
        <f t="shared" si="8"/>
        <v>69.45136528982357</v>
      </c>
    </row>
    <row r="218" spans="1:5" ht="9" customHeight="1">
      <c r="A218" s="173" t="s">
        <v>918</v>
      </c>
      <c r="B218" s="36"/>
      <c r="C218" s="180"/>
      <c r="D218" s="11"/>
      <c r="E218" s="222"/>
    </row>
    <row r="219" spans="1:5">
      <c r="A219" s="90" t="s">
        <v>917</v>
      </c>
      <c r="B219" s="36">
        <f>SUM(B214:B217)</f>
        <v>161904784</v>
      </c>
      <c r="C219" s="36">
        <f>SUM(C214:C217)</f>
        <v>215178973</v>
      </c>
      <c r="D219" s="36">
        <f>SUM(D214:D217)</f>
        <v>193030121</v>
      </c>
      <c r="E219" s="222">
        <f t="shared" si="8"/>
        <v>89.706776786224367</v>
      </c>
    </row>
    <row r="220" spans="1:5">
      <c r="A220" s="90"/>
      <c r="B220" s="36"/>
      <c r="C220" s="36"/>
      <c r="D220" s="17"/>
    </row>
    <row r="221" spans="1:5">
      <c r="A221" s="90"/>
      <c r="B221" s="36"/>
      <c r="C221" s="36"/>
      <c r="D221" s="17"/>
    </row>
    <row r="222" spans="1:5">
      <c r="A222" s="90"/>
      <c r="B222" s="36"/>
      <c r="C222" s="36"/>
      <c r="D222" s="17"/>
    </row>
    <row r="223" spans="1:5">
      <c r="A223" s="659" t="s">
        <v>167</v>
      </c>
      <c r="B223" s="659"/>
      <c r="C223" s="659"/>
      <c r="D223" s="659"/>
      <c r="E223" s="659"/>
    </row>
    <row r="224" spans="1:5">
      <c r="A224" s="335"/>
      <c r="B224" s="36"/>
      <c r="C224" s="36"/>
      <c r="D224" s="17"/>
    </row>
    <row r="225" spans="1:5">
      <c r="A225" s="633" t="s">
        <v>107</v>
      </c>
      <c r="B225" s="633"/>
      <c r="C225" s="114"/>
      <c r="D225" s="17"/>
    </row>
    <row r="226" spans="1:5" ht="14.25">
      <c r="A226" s="336"/>
      <c r="B226" s="36"/>
      <c r="C226" s="36"/>
    </row>
    <row r="227" spans="1:5">
      <c r="A227" s="628" t="s">
        <v>250</v>
      </c>
      <c r="B227" s="629"/>
      <c r="C227" s="629"/>
      <c r="D227" s="629"/>
      <c r="E227" s="630"/>
    </row>
    <row r="228" spans="1:5">
      <c r="A228" s="303" t="s">
        <v>69</v>
      </c>
      <c r="B228" s="33">
        <v>9278000</v>
      </c>
      <c r="C228" s="33">
        <v>9324008</v>
      </c>
      <c r="D228" s="6">
        <v>9315480</v>
      </c>
      <c r="E228" s="221">
        <f t="shared" ref="E228:E260" si="9">D228/C228*100</f>
        <v>99.908537187012286</v>
      </c>
    </row>
    <row r="229" spans="1:5">
      <c r="A229" s="333" t="s">
        <v>68</v>
      </c>
      <c r="B229" s="82">
        <v>42000</v>
      </c>
      <c r="C229" s="82">
        <v>64119</v>
      </c>
      <c r="D229" s="6">
        <v>64119</v>
      </c>
      <c r="E229" s="221">
        <f t="shared" si="9"/>
        <v>100</v>
      </c>
    </row>
    <row r="230" spans="1:5">
      <c r="A230" s="333" t="s">
        <v>336</v>
      </c>
      <c r="B230" s="82">
        <v>0</v>
      </c>
      <c r="C230" s="82">
        <v>535889</v>
      </c>
      <c r="D230" s="6">
        <v>535889</v>
      </c>
      <c r="E230" s="221">
        <f t="shared" si="9"/>
        <v>100</v>
      </c>
    </row>
    <row r="231" spans="1:5">
      <c r="A231" s="333" t="s">
        <v>41</v>
      </c>
      <c r="B231" s="82">
        <v>0</v>
      </c>
      <c r="C231" s="82">
        <v>483632</v>
      </c>
      <c r="D231" s="6">
        <v>467026</v>
      </c>
      <c r="E231" s="221">
        <f t="shared" si="9"/>
        <v>96.566397591557219</v>
      </c>
    </row>
    <row r="232" spans="1:5">
      <c r="A232" s="304" t="s">
        <v>198</v>
      </c>
      <c r="B232" s="34">
        <f>SUM(B228:B229)</f>
        <v>9320000</v>
      </c>
      <c r="C232" s="34">
        <f>SUM(C228:C231)</f>
        <v>10407648</v>
      </c>
      <c r="D232" s="11">
        <f>SUM(D228:D231)</f>
        <v>10382514</v>
      </c>
      <c r="E232" s="222">
        <f t="shared" si="9"/>
        <v>99.758504515141183</v>
      </c>
    </row>
    <row r="233" spans="1:5">
      <c r="A233" s="304"/>
      <c r="B233" s="34"/>
      <c r="C233" s="34"/>
      <c r="D233" s="17"/>
      <c r="E233" s="221"/>
    </row>
    <row r="234" spans="1:5">
      <c r="A234" s="303" t="s">
        <v>138</v>
      </c>
      <c r="B234" s="33">
        <v>2505000</v>
      </c>
      <c r="C234" s="33">
        <v>2713173</v>
      </c>
      <c r="D234" s="6">
        <v>2713173</v>
      </c>
      <c r="E234" s="221">
        <f t="shared" si="9"/>
        <v>100</v>
      </c>
    </row>
    <row r="235" spans="1:5">
      <c r="A235" s="303" t="s">
        <v>199</v>
      </c>
      <c r="B235" s="33">
        <v>14000</v>
      </c>
      <c r="C235" s="33">
        <v>60530</v>
      </c>
      <c r="D235" s="6">
        <v>60530</v>
      </c>
      <c r="E235" s="221">
        <f t="shared" si="9"/>
        <v>100</v>
      </c>
    </row>
    <row r="236" spans="1:5">
      <c r="A236" s="303" t="s">
        <v>45</v>
      </c>
      <c r="B236" s="33">
        <v>20000</v>
      </c>
      <c r="C236" s="33">
        <v>111879</v>
      </c>
      <c r="D236" s="6">
        <v>111879</v>
      </c>
      <c r="E236" s="221">
        <f t="shared" si="9"/>
        <v>100</v>
      </c>
    </row>
    <row r="237" spans="1:5">
      <c r="A237" s="303" t="s">
        <v>42</v>
      </c>
      <c r="B237" s="33">
        <v>8000</v>
      </c>
      <c r="C237" s="33">
        <v>44420</v>
      </c>
      <c r="D237" s="6">
        <v>44420</v>
      </c>
      <c r="E237" s="221">
        <f t="shared" si="9"/>
        <v>100</v>
      </c>
    </row>
    <row r="238" spans="1:5">
      <c r="A238" s="304" t="s">
        <v>200</v>
      </c>
      <c r="B238" s="34">
        <f>SUM(B234:B237)</f>
        <v>2547000</v>
      </c>
      <c r="C238" s="34">
        <f>SUM(C234:C237)</f>
        <v>2930002</v>
      </c>
      <c r="D238" s="11">
        <f>SUM(D234:D237)</f>
        <v>2930002</v>
      </c>
      <c r="E238" s="222">
        <f t="shared" si="9"/>
        <v>100</v>
      </c>
    </row>
    <row r="239" spans="1:5">
      <c r="A239" s="304"/>
      <c r="B239" s="36"/>
      <c r="C239" s="36"/>
      <c r="D239" s="17"/>
      <c r="E239" s="221"/>
    </row>
    <row r="240" spans="1:5">
      <c r="A240" s="304"/>
      <c r="B240" s="36"/>
      <c r="C240" s="36"/>
      <c r="D240" s="17"/>
      <c r="E240" s="221"/>
    </row>
    <row r="241" spans="1:5">
      <c r="A241" s="333" t="s">
        <v>355</v>
      </c>
      <c r="B241" s="36">
        <v>0</v>
      </c>
      <c r="C241" s="67">
        <v>4677</v>
      </c>
      <c r="D241" s="6">
        <v>4677</v>
      </c>
      <c r="E241" s="221">
        <f t="shared" si="9"/>
        <v>100</v>
      </c>
    </row>
    <row r="242" spans="1:5">
      <c r="A242" s="302" t="s">
        <v>272</v>
      </c>
      <c r="B242" s="67">
        <v>20000</v>
      </c>
      <c r="C242" s="67">
        <v>5315</v>
      </c>
      <c r="D242" s="6">
        <v>5315</v>
      </c>
      <c r="E242" s="221">
        <f t="shared" si="9"/>
        <v>100</v>
      </c>
    </row>
    <row r="243" spans="1:5">
      <c r="A243" s="302" t="s">
        <v>273</v>
      </c>
      <c r="B243" s="67">
        <v>70000</v>
      </c>
      <c r="C243" s="67">
        <v>53291</v>
      </c>
      <c r="D243" s="6">
        <v>53291</v>
      </c>
      <c r="E243" s="221">
        <f t="shared" si="9"/>
        <v>100</v>
      </c>
    </row>
    <row r="244" spans="1:5">
      <c r="A244" s="302" t="s">
        <v>207</v>
      </c>
      <c r="B244" s="67">
        <v>1000000</v>
      </c>
      <c r="C244" s="67">
        <v>1445708</v>
      </c>
      <c r="D244" s="6">
        <v>1445708</v>
      </c>
      <c r="E244" s="221">
        <f t="shared" si="9"/>
        <v>100</v>
      </c>
    </row>
    <row r="245" spans="1:5">
      <c r="A245" s="334" t="s">
        <v>209</v>
      </c>
      <c r="B245" s="68">
        <f>SUM(B242:B244)</f>
        <v>1090000</v>
      </c>
      <c r="C245" s="68">
        <f>SUM(C241:C244)</f>
        <v>1508991</v>
      </c>
      <c r="D245" s="11">
        <f>SUM(D241:D244)</f>
        <v>1508991</v>
      </c>
      <c r="E245" s="222">
        <f t="shared" si="9"/>
        <v>100</v>
      </c>
    </row>
    <row r="246" spans="1:5">
      <c r="A246" s="302" t="s">
        <v>223</v>
      </c>
      <c r="B246" s="67">
        <v>11280000</v>
      </c>
      <c r="C246" s="67">
        <v>12939526</v>
      </c>
      <c r="D246" s="6">
        <v>12939526</v>
      </c>
      <c r="E246" s="221">
        <f t="shared" si="9"/>
        <v>100</v>
      </c>
    </row>
    <row r="247" spans="1:5">
      <c r="A247" s="302" t="s">
        <v>224</v>
      </c>
      <c r="B247" s="67">
        <v>2700000</v>
      </c>
      <c r="C247" s="67">
        <v>2520324</v>
      </c>
      <c r="D247" s="6">
        <v>2520324</v>
      </c>
      <c r="E247" s="221">
        <f t="shared" si="9"/>
        <v>100</v>
      </c>
    </row>
    <row r="248" spans="1:5">
      <c r="A248" s="302" t="s">
        <v>297</v>
      </c>
      <c r="B248" s="67">
        <v>1500000</v>
      </c>
      <c r="C248" s="67">
        <v>784910</v>
      </c>
      <c r="D248" s="6">
        <v>784910</v>
      </c>
      <c r="E248" s="221">
        <f t="shared" si="9"/>
        <v>100</v>
      </c>
    </row>
    <row r="249" spans="1:5">
      <c r="A249" s="328" t="s">
        <v>213</v>
      </c>
      <c r="B249" s="68">
        <f>SUM(B246:B248)</f>
        <v>15480000</v>
      </c>
      <c r="C249" s="68">
        <f>SUM(C246:C248)</f>
        <v>16244760</v>
      </c>
      <c r="D249" s="11">
        <f>SUM(D246:D248)</f>
        <v>16244760</v>
      </c>
      <c r="E249" s="222">
        <f t="shared" si="9"/>
        <v>100</v>
      </c>
    </row>
    <row r="250" spans="1:5">
      <c r="A250" s="302" t="s">
        <v>227</v>
      </c>
      <c r="B250" s="67">
        <v>400000</v>
      </c>
      <c r="C250" s="67">
        <v>209854</v>
      </c>
      <c r="D250" s="6">
        <v>209854</v>
      </c>
      <c r="E250" s="221">
        <f t="shared" si="9"/>
        <v>100</v>
      </c>
    </row>
    <row r="251" spans="1:5">
      <c r="A251" s="302" t="s">
        <v>219</v>
      </c>
      <c r="B251" s="67">
        <v>900000</v>
      </c>
      <c r="C251" s="67">
        <v>1112264</v>
      </c>
      <c r="D251" s="6">
        <v>1112264</v>
      </c>
      <c r="E251" s="221">
        <f t="shared" si="9"/>
        <v>100</v>
      </c>
    </row>
    <row r="252" spans="1:5">
      <c r="A252" s="328" t="s">
        <v>216</v>
      </c>
      <c r="B252" s="68">
        <f>SUM(B250:B251)</f>
        <v>1300000</v>
      </c>
      <c r="C252" s="68">
        <f>SUM(C250:C251)</f>
        <v>1322118</v>
      </c>
      <c r="D252" s="11">
        <f>SUM(D250:D251)</f>
        <v>1322118</v>
      </c>
      <c r="E252" s="222">
        <f t="shared" si="9"/>
        <v>100</v>
      </c>
    </row>
    <row r="253" spans="1:5">
      <c r="A253" s="302" t="s">
        <v>226</v>
      </c>
      <c r="B253" s="67">
        <f>(B242+B243+B244+B246+B247+B248+B250+B251)*0.27</f>
        <v>4824900</v>
      </c>
      <c r="C253" s="67">
        <v>4886395</v>
      </c>
      <c r="D253" s="6">
        <v>4886395</v>
      </c>
      <c r="E253" s="221">
        <f t="shared" si="9"/>
        <v>100</v>
      </c>
    </row>
    <row r="254" spans="1:5">
      <c r="A254" s="302" t="s">
        <v>356</v>
      </c>
      <c r="B254" s="67">
        <v>0</v>
      </c>
      <c r="C254" s="67">
        <v>570594</v>
      </c>
      <c r="D254" s="6">
        <v>570594</v>
      </c>
      <c r="E254" s="221">
        <f t="shared" si="9"/>
        <v>100</v>
      </c>
    </row>
    <row r="255" spans="1:5">
      <c r="A255" s="302" t="s">
        <v>357</v>
      </c>
      <c r="B255" s="67">
        <v>0</v>
      </c>
      <c r="C255" s="67">
        <v>10903</v>
      </c>
      <c r="D255" s="6">
        <v>10903</v>
      </c>
      <c r="E255" s="221">
        <f t="shared" si="9"/>
        <v>100</v>
      </c>
    </row>
    <row r="256" spans="1:5" ht="22.5">
      <c r="A256" s="334" t="s">
        <v>221</v>
      </c>
      <c r="B256" s="68">
        <f>SUM(B253)</f>
        <v>4824900</v>
      </c>
      <c r="C256" s="68">
        <f>SUM(C253:C255)</f>
        <v>5467892</v>
      </c>
      <c r="D256" s="11">
        <f>SUM(D253:D255)</f>
        <v>5467892</v>
      </c>
      <c r="E256" s="222">
        <f t="shared" si="9"/>
        <v>100</v>
      </c>
    </row>
    <row r="257" spans="1:5">
      <c r="A257" s="334"/>
      <c r="B257" s="67"/>
      <c r="C257" s="67"/>
      <c r="D257" s="17"/>
      <c r="E257" s="221"/>
    </row>
    <row r="258" spans="1:5">
      <c r="A258" s="173" t="s">
        <v>222</v>
      </c>
      <c r="B258" s="68">
        <f>B245+B249+B252+B256</f>
        <v>22694900</v>
      </c>
      <c r="C258" s="180">
        <f>SUM(C245+C249+C252+C256)</f>
        <v>24543761</v>
      </c>
      <c r="D258" s="11">
        <f>SUM(D245+D249+D252+D256)</f>
        <v>24543761</v>
      </c>
      <c r="E258" s="222">
        <f t="shared" si="9"/>
        <v>100</v>
      </c>
    </row>
    <row r="259" spans="1:5">
      <c r="A259" s="173"/>
      <c r="B259" s="68"/>
      <c r="C259" s="68"/>
      <c r="D259" s="17"/>
      <c r="E259" s="221"/>
    </row>
    <row r="260" spans="1:5">
      <c r="A260" s="330" t="s">
        <v>18</v>
      </c>
      <c r="B260" s="68">
        <f>B232+B238+B258</f>
        <v>34561900</v>
      </c>
      <c r="C260" s="68">
        <f>SUM(C232+C238+C245+C249+C252+C256)</f>
        <v>37881411</v>
      </c>
      <c r="D260" s="11">
        <f>SUM(D232+D238+D258)</f>
        <v>37856277</v>
      </c>
      <c r="E260" s="222">
        <f t="shared" si="9"/>
        <v>99.933650834706228</v>
      </c>
    </row>
    <row r="261" spans="1:5">
      <c r="A261" s="330"/>
      <c r="B261" s="37"/>
      <c r="C261" s="37"/>
      <c r="D261" s="17"/>
      <c r="E261" s="17"/>
    </row>
    <row r="262" spans="1:5">
      <c r="A262" s="303"/>
      <c r="B262" s="33"/>
      <c r="C262" s="33"/>
      <c r="D262" s="17"/>
      <c r="E262" s="17"/>
    </row>
    <row r="263" spans="1:5">
      <c r="A263" s="628" t="s">
        <v>247</v>
      </c>
      <c r="B263" s="629"/>
      <c r="C263" s="629"/>
      <c r="D263" s="629"/>
      <c r="E263" s="630"/>
    </row>
    <row r="264" spans="1:5">
      <c r="A264" s="337"/>
      <c r="B264" s="34"/>
      <c r="C264" s="34"/>
    </row>
    <row r="265" spans="1:5" ht="16.899999999999999" customHeight="1">
      <c r="A265" s="303" t="s">
        <v>29</v>
      </c>
      <c r="B265" s="33">
        <v>1460000</v>
      </c>
      <c r="C265" s="33">
        <v>1999913</v>
      </c>
      <c r="D265" s="6">
        <v>1686835</v>
      </c>
      <c r="E265" s="221">
        <f t="shared" ref="E265:E294" si="10">D265/C265*100</f>
        <v>84.345419025727622</v>
      </c>
    </row>
    <row r="266" spans="1:5" ht="16.899999999999999" customHeight="1">
      <c r="A266" s="333" t="s">
        <v>71</v>
      </c>
      <c r="B266" s="82">
        <v>12000</v>
      </c>
      <c r="C266" s="82">
        <v>117062</v>
      </c>
      <c r="D266" s="6">
        <v>117062</v>
      </c>
      <c r="E266" s="221">
        <f t="shared" si="10"/>
        <v>100</v>
      </c>
    </row>
    <row r="267" spans="1:5">
      <c r="A267" s="333" t="s">
        <v>342</v>
      </c>
      <c r="B267" s="82"/>
      <c r="C267" s="82">
        <v>163300</v>
      </c>
      <c r="D267" s="6">
        <v>151300</v>
      </c>
      <c r="E267" s="221">
        <f t="shared" si="10"/>
        <v>92.651561543172079</v>
      </c>
    </row>
    <row r="268" spans="1:5">
      <c r="A268" s="333" t="s">
        <v>41</v>
      </c>
      <c r="B268" s="82">
        <v>400000</v>
      </c>
      <c r="C268" s="82">
        <v>217790</v>
      </c>
      <c r="D268" s="6">
        <v>41855</v>
      </c>
      <c r="E268" s="221">
        <f t="shared" si="10"/>
        <v>19.218054088801139</v>
      </c>
    </row>
    <row r="269" spans="1:5">
      <c r="A269" s="333" t="s">
        <v>43</v>
      </c>
      <c r="B269" s="82">
        <v>1355000</v>
      </c>
      <c r="C269" s="82">
        <v>1530920</v>
      </c>
      <c r="D269" s="6">
        <v>1530920</v>
      </c>
      <c r="E269" s="221">
        <f t="shared" si="10"/>
        <v>100</v>
      </c>
    </row>
    <row r="270" spans="1:5">
      <c r="A270" s="304" t="s">
        <v>198</v>
      </c>
      <c r="B270" s="34">
        <f>SUM(B265:B269)</f>
        <v>3227000</v>
      </c>
      <c r="C270" s="34">
        <f>SUM(C265:C269)</f>
        <v>4028985</v>
      </c>
      <c r="D270" s="11">
        <f>SUM(D265:D269)</f>
        <v>3527972</v>
      </c>
      <c r="E270" s="222">
        <f t="shared" si="10"/>
        <v>87.564783686213772</v>
      </c>
    </row>
    <row r="271" spans="1:5">
      <c r="A271" s="304"/>
      <c r="B271" s="34"/>
      <c r="C271" s="34"/>
      <c r="D271" s="17"/>
      <c r="E271" s="221"/>
    </row>
    <row r="272" spans="1:5">
      <c r="A272" s="303" t="s">
        <v>138</v>
      </c>
      <c r="B272" s="33">
        <v>868000</v>
      </c>
      <c r="C272" s="33">
        <v>945916</v>
      </c>
      <c r="D272" s="6">
        <v>941256</v>
      </c>
      <c r="E272" s="221">
        <f t="shared" si="10"/>
        <v>99.507355832864647</v>
      </c>
    </row>
    <row r="273" spans="1:5">
      <c r="A273" s="303" t="s">
        <v>199</v>
      </c>
      <c r="B273" s="33">
        <v>4000</v>
      </c>
      <c r="C273" s="33">
        <v>4000</v>
      </c>
      <c r="D273" s="17">
        <v>0</v>
      </c>
      <c r="E273" s="221">
        <f t="shared" si="10"/>
        <v>0</v>
      </c>
    </row>
    <row r="274" spans="1:5">
      <c r="A274" s="303" t="s">
        <v>42</v>
      </c>
      <c r="B274" s="33">
        <v>2000</v>
      </c>
      <c r="C274" s="33">
        <v>0</v>
      </c>
      <c r="D274" s="17">
        <v>0</v>
      </c>
      <c r="E274" s="221">
        <v>0</v>
      </c>
    </row>
    <row r="275" spans="1:5">
      <c r="A275" s="304" t="s">
        <v>200</v>
      </c>
      <c r="B275" s="34">
        <f>SUM(B272:B274)</f>
        <v>874000</v>
      </c>
      <c r="C275" s="34">
        <f>SUM(C272:C274)</f>
        <v>949916</v>
      </c>
      <c r="D275" s="11">
        <f>SUM(D272:D274)</f>
        <v>941256</v>
      </c>
      <c r="E275" s="222">
        <f t="shared" si="10"/>
        <v>99.08834044273388</v>
      </c>
    </row>
    <row r="276" spans="1:5">
      <c r="A276" s="304"/>
      <c r="B276" s="34"/>
      <c r="C276" s="34"/>
      <c r="D276" s="17"/>
      <c r="E276" s="221"/>
    </row>
    <row r="277" spans="1:5">
      <c r="A277" s="302" t="s">
        <v>206</v>
      </c>
      <c r="B277" s="82">
        <v>1600000</v>
      </c>
      <c r="C277" s="82">
        <v>1387842</v>
      </c>
      <c r="D277" s="6">
        <v>1385581</v>
      </c>
      <c r="E277" s="221">
        <f t="shared" si="10"/>
        <v>99.837085201341353</v>
      </c>
    </row>
    <row r="278" spans="1:5">
      <c r="A278" s="302" t="s">
        <v>207</v>
      </c>
      <c r="B278" s="82">
        <v>250000</v>
      </c>
      <c r="C278" s="82">
        <v>254950</v>
      </c>
      <c r="D278" s="6">
        <v>254950</v>
      </c>
      <c r="E278" s="221">
        <f t="shared" si="10"/>
        <v>100</v>
      </c>
    </row>
    <row r="279" spans="1:5">
      <c r="A279" s="334" t="s">
        <v>209</v>
      </c>
      <c r="B279" s="83">
        <f>SUM(B277:B278)</f>
        <v>1850000</v>
      </c>
      <c r="C279" s="83">
        <f>SUM(C277:C278)</f>
        <v>1642792</v>
      </c>
      <c r="D279" s="11">
        <f>SUM(D277:D278)</f>
        <v>1640531</v>
      </c>
      <c r="E279" s="222">
        <f t="shared" si="10"/>
        <v>99.862368455653552</v>
      </c>
    </row>
    <row r="280" spans="1:5">
      <c r="A280" s="302" t="s">
        <v>223</v>
      </c>
      <c r="B280" s="82">
        <v>250000</v>
      </c>
      <c r="C280" s="82">
        <v>303495</v>
      </c>
      <c r="D280" s="6">
        <v>303495</v>
      </c>
      <c r="E280" s="221">
        <f t="shared" si="10"/>
        <v>100</v>
      </c>
    </row>
    <row r="281" spans="1:5">
      <c r="A281" s="302" t="s">
        <v>224</v>
      </c>
      <c r="B281" s="82">
        <v>400000</v>
      </c>
      <c r="C281" s="82">
        <v>595648</v>
      </c>
      <c r="D281" s="6">
        <v>586975</v>
      </c>
      <c r="E281" s="221">
        <f t="shared" si="10"/>
        <v>98.543938702052216</v>
      </c>
    </row>
    <row r="282" spans="1:5">
      <c r="A282" s="302" t="s">
        <v>297</v>
      </c>
      <c r="B282" s="82">
        <v>380000</v>
      </c>
      <c r="C282" s="82">
        <v>326505</v>
      </c>
      <c r="D282" s="6">
        <v>255455</v>
      </c>
      <c r="E282" s="221">
        <f t="shared" si="10"/>
        <v>78.2392306396533</v>
      </c>
    </row>
    <row r="283" spans="1:5">
      <c r="A283" s="328" t="s">
        <v>213</v>
      </c>
      <c r="B283" s="68">
        <f>SUM(B280:B282)</f>
        <v>1030000</v>
      </c>
      <c r="C283" s="68">
        <f>SUM(C280:C282)</f>
        <v>1225648</v>
      </c>
      <c r="D283" s="11">
        <f>SUM(D280:D282)</f>
        <v>1145925</v>
      </c>
      <c r="E283" s="222">
        <f t="shared" si="10"/>
        <v>93.495440779081761</v>
      </c>
    </row>
    <row r="284" spans="1:5">
      <c r="A284" s="302" t="s">
        <v>227</v>
      </c>
      <c r="B284" s="67">
        <v>70000</v>
      </c>
      <c r="C284" s="67">
        <v>126058</v>
      </c>
      <c r="D284" s="6">
        <v>126058</v>
      </c>
      <c r="E284" s="221">
        <f t="shared" si="10"/>
        <v>100</v>
      </c>
    </row>
    <row r="285" spans="1:5">
      <c r="A285" s="302" t="s">
        <v>36</v>
      </c>
      <c r="B285" s="67">
        <v>600000</v>
      </c>
      <c r="C285" s="67">
        <v>600000</v>
      </c>
      <c r="D285" s="6">
        <v>526500</v>
      </c>
      <c r="E285" s="221">
        <f t="shared" si="10"/>
        <v>87.75</v>
      </c>
    </row>
    <row r="286" spans="1:5">
      <c r="A286" s="302" t="s">
        <v>219</v>
      </c>
      <c r="B286" s="67">
        <v>300000</v>
      </c>
      <c r="C286" s="67">
        <v>243942</v>
      </c>
      <c r="D286" s="6">
        <v>212670</v>
      </c>
      <c r="E286" s="221">
        <f t="shared" si="10"/>
        <v>87.180559313279389</v>
      </c>
    </row>
    <row r="287" spans="1:5">
      <c r="A287" s="328" t="s">
        <v>216</v>
      </c>
      <c r="B287" s="68">
        <f>SUM(B284:B286)</f>
        <v>970000</v>
      </c>
      <c r="C287" s="68">
        <f>SUM(C284:C286)</f>
        <v>970000</v>
      </c>
      <c r="D287" s="11">
        <f>SUM(D284:D286)</f>
        <v>865228</v>
      </c>
      <c r="E287" s="222">
        <f t="shared" si="10"/>
        <v>89.198762886597933</v>
      </c>
    </row>
    <row r="288" spans="1:5">
      <c r="A288" s="302" t="s">
        <v>226</v>
      </c>
      <c r="B288" s="67">
        <f>(+B277+B280+B281+B282+B284+B278+B285+B286)*0.27</f>
        <v>1039500.0000000001</v>
      </c>
      <c r="C288" s="67">
        <v>1452093</v>
      </c>
      <c r="D288" s="6">
        <v>1336091</v>
      </c>
      <c r="E288" s="221">
        <f t="shared" si="10"/>
        <v>92.011393209663566</v>
      </c>
    </row>
    <row r="289" spans="1:5">
      <c r="A289" s="302" t="s">
        <v>220</v>
      </c>
      <c r="B289" s="67">
        <v>500000</v>
      </c>
      <c r="C289" s="67">
        <v>496292</v>
      </c>
      <c r="D289" s="6">
        <v>496292</v>
      </c>
      <c r="E289" s="221">
        <f t="shared" si="10"/>
        <v>100</v>
      </c>
    </row>
    <row r="290" spans="1:5" ht="22.5">
      <c r="A290" s="334" t="s">
        <v>221</v>
      </c>
      <c r="B290" s="68">
        <f>SUM(B288:B289)</f>
        <v>1539500</v>
      </c>
      <c r="C290" s="68">
        <f>SUM(C288:C289)</f>
        <v>1948385</v>
      </c>
      <c r="D290" s="11">
        <f>SUM(D288:D289)</f>
        <v>1832383</v>
      </c>
      <c r="E290" s="222">
        <f t="shared" si="10"/>
        <v>94.046248559704566</v>
      </c>
    </row>
    <row r="291" spans="1:5">
      <c r="A291" s="334"/>
      <c r="B291" s="36"/>
      <c r="C291" s="36"/>
      <c r="D291" s="17"/>
      <c r="E291" s="221"/>
    </row>
    <row r="292" spans="1:5">
      <c r="A292" s="173" t="s">
        <v>222</v>
      </c>
      <c r="B292" s="36">
        <f>+B279+B283+B287+B290</f>
        <v>5389500</v>
      </c>
      <c r="C292" s="36">
        <f>SUM(C279+C283+C287+C290)</f>
        <v>5786825</v>
      </c>
      <c r="D292" s="11">
        <f>SUM(D279+D283+D287+D290)</f>
        <v>5484067</v>
      </c>
      <c r="E292" s="222">
        <f t="shared" si="10"/>
        <v>94.768150065018389</v>
      </c>
    </row>
    <row r="293" spans="1:5">
      <c r="A293" s="173"/>
      <c r="B293" s="35"/>
      <c r="C293" s="35"/>
      <c r="D293" s="17"/>
      <c r="E293" s="221"/>
    </row>
    <row r="294" spans="1:5">
      <c r="A294" s="330" t="s">
        <v>18</v>
      </c>
      <c r="B294" s="36">
        <f>B270+B275+B292</f>
        <v>9490500</v>
      </c>
      <c r="C294" s="36">
        <f>SUM(C270+C275+C292)</f>
        <v>10765726</v>
      </c>
      <c r="D294" s="11">
        <f>SUM(D270+D275+D292)</f>
        <v>9953295</v>
      </c>
      <c r="E294" s="222">
        <f t="shared" si="10"/>
        <v>92.453541916262765</v>
      </c>
    </row>
    <row r="295" spans="1:5">
      <c r="A295" s="330"/>
      <c r="B295" s="36"/>
      <c r="C295" s="36"/>
      <c r="D295" s="17"/>
      <c r="E295" s="17"/>
    </row>
    <row r="296" spans="1:5">
      <c r="A296" s="330"/>
      <c r="B296" s="36"/>
      <c r="C296" s="36"/>
      <c r="D296" s="17"/>
      <c r="E296" s="17"/>
    </row>
    <row r="297" spans="1:5">
      <c r="A297" s="659" t="s">
        <v>108</v>
      </c>
      <c r="B297" s="659"/>
      <c r="C297" s="659"/>
      <c r="D297" s="659"/>
      <c r="E297" s="17"/>
    </row>
    <row r="298" spans="1:5">
      <c r="A298" s="330"/>
      <c r="B298" s="36"/>
      <c r="C298" s="36"/>
      <c r="D298" s="17"/>
      <c r="E298" s="17"/>
    </row>
    <row r="299" spans="1:5">
      <c r="A299" s="648" t="s">
        <v>248</v>
      </c>
      <c r="B299" s="648"/>
      <c r="C299" s="648"/>
      <c r="D299" s="648"/>
      <c r="E299" s="648"/>
    </row>
    <row r="300" spans="1:5">
      <c r="A300" s="303"/>
      <c r="B300" s="33"/>
      <c r="C300" s="33"/>
    </row>
    <row r="301" spans="1:5">
      <c r="A301" s="303" t="s">
        <v>28</v>
      </c>
      <c r="B301" s="33">
        <v>47979000</v>
      </c>
      <c r="C301" s="33">
        <v>45881268</v>
      </c>
      <c r="D301" s="6">
        <v>45686987</v>
      </c>
      <c r="E301" s="221">
        <f t="shared" ref="E301:E357" si="11">D301/C301*100</f>
        <v>99.576557038484637</v>
      </c>
    </row>
    <row r="302" spans="1:5">
      <c r="A302" s="303" t="s">
        <v>46</v>
      </c>
      <c r="B302" s="33">
        <v>500000</v>
      </c>
      <c r="C302" s="33">
        <v>1236638</v>
      </c>
      <c r="D302" s="6">
        <v>1236638</v>
      </c>
      <c r="E302" s="221">
        <f t="shared" si="11"/>
        <v>100</v>
      </c>
    </row>
    <row r="303" spans="1:5">
      <c r="A303" s="333" t="s">
        <v>38</v>
      </c>
      <c r="B303" s="82">
        <v>1306000</v>
      </c>
      <c r="C303" s="82">
        <v>1430056</v>
      </c>
      <c r="D303" s="6">
        <v>1430056</v>
      </c>
      <c r="E303" s="221">
        <f t="shared" si="11"/>
        <v>100</v>
      </c>
    </row>
    <row r="304" spans="1:5">
      <c r="A304" s="333" t="s">
        <v>238</v>
      </c>
      <c r="B304" s="82">
        <v>680000</v>
      </c>
      <c r="C304" s="82">
        <v>714400</v>
      </c>
      <c r="D304" s="6">
        <v>714400</v>
      </c>
      <c r="E304" s="221">
        <f t="shared" si="11"/>
        <v>100</v>
      </c>
    </row>
    <row r="305" spans="1:5">
      <c r="A305" s="333" t="s">
        <v>144</v>
      </c>
      <c r="B305" s="82">
        <v>2800000</v>
      </c>
      <c r="C305" s="82">
        <v>2620000</v>
      </c>
      <c r="D305" s="6">
        <v>2584486</v>
      </c>
      <c r="E305" s="221">
        <f t="shared" si="11"/>
        <v>98.6445038167939</v>
      </c>
    </row>
    <row r="306" spans="1:5">
      <c r="A306" s="333" t="s">
        <v>358</v>
      </c>
      <c r="B306" s="82">
        <v>600000</v>
      </c>
      <c r="C306" s="82">
        <v>463362</v>
      </c>
      <c r="D306" s="6">
        <v>420291</v>
      </c>
      <c r="E306" s="221">
        <f t="shared" si="11"/>
        <v>90.704675825812217</v>
      </c>
    </row>
    <row r="307" spans="1:5">
      <c r="A307" s="333" t="s">
        <v>44</v>
      </c>
      <c r="B307" s="82">
        <v>1105000</v>
      </c>
      <c r="C307" s="82">
        <v>789400</v>
      </c>
      <c r="D307" s="6">
        <v>709180</v>
      </c>
      <c r="E307" s="221">
        <f t="shared" si="11"/>
        <v>89.837851532809736</v>
      </c>
    </row>
    <row r="308" spans="1:5" ht="22.5">
      <c r="A308" s="333" t="s">
        <v>39</v>
      </c>
      <c r="B308" s="82">
        <v>280000</v>
      </c>
      <c r="C308" s="82">
        <v>1514295</v>
      </c>
      <c r="D308" s="6">
        <v>1487558</v>
      </c>
      <c r="E308" s="221">
        <f t="shared" si="11"/>
        <v>98.234359883642213</v>
      </c>
    </row>
    <row r="309" spans="1:5">
      <c r="A309" s="333" t="s">
        <v>40</v>
      </c>
      <c r="B309" s="82">
        <v>808000</v>
      </c>
      <c r="C309" s="82">
        <v>2177760</v>
      </c>
      <c r="D309" s="6">
        <v>2177760</v>
      </c>
      <c r="E309" s="221">
        <f t="shared" si="11"/>
        <v>100</v>
      </c>
    </row>
    <row r="310" spans="1:5">
      <c r="A310" s="333" t="s">
        <v>59</v>
      </c>
      <c r="B310" s="82">
        <v>950000</v>
      </c>
      <c r="C310" s="82">
        <v>738132</v>
      </c>
      <c r="D310" s="6">
        <v>634969</v>
      </c>
      <c r="E310" s="221">
        <f t="shared" si="11"/>
        <v>86.023773525602465</v>
      </c>
    </row>
    <row r="311" spans="1:5">
      <c r="A311" s="333" t="s">
        <v>41</v>
      </c>
      <c r="B311" s="82">
        <v>400000</v>
      </c>
      <c r="C311" s="82">
        <v>486557</v>
      </c>
      <c r="D311" s="6">
        <v>486557</v>
      </c>
      <c r="E311" s="221">
        <f t="shared" si="11"/>
        <v>100</v>
      </c>
    </row>
    <row r="312" spans="1:5">
      <c r="A312" s="304" t="s">
        <v>198</v>
      </c>
      <c r="B312" s="34">
        <f>SUM(B301:B311)</f>
        <v>57408000</v>
      </c>
      <c r="C312" s="34">
        <f>SUM(C301:C311)</f>
        <v>58051868</v>
      </c>
      <c r="D312" s="11">
        <f>SUM(D301:D311)</f>
        <v>57568882</v>
      </c>
      <c r="E312" s="222">
        <f t="shared" si="11"/>
        <v>99.168009546221668</v>
      </c>
    </row>
    <row r="313" spans="1:5">
      <c r="A313" s="304"/>
      <c r="B313" s="34"/>
      <c r="C313" s="34"/>
      <c r="D313" s="17"/>
      <c r="E313" s="221"/>
    </row>
    <row r="314" spans="1:5">
      <c r="A314" s="303" t="s">
        <v>138</v>
      </c>
      <c r="B314" s="33">
        <v>14182000</v>
      </c>
      <c r="C314" s="33">
        <v>14360569</v>
      </c>
      <c r="D314" s="6">
        <v>14360569</v>
      </c>
      <c r="E314" s="221">
        <f t="shared" si="11"/>
        <v>100</v>
      </c>
    </row>
    <row r="315" spans="1:5">
      <c r="A315" s="303" t="s">
        <v>199</v>
      </c>
      <c r="B315" s="33">
        <v>1285000</v>
      </c>
      <c r="C315" s="33">
        <v>1129513</v>
      </c>
      <c r="D315" s="6">
        <v>685943</v>
      </c>
      <c r="E315" s="221">
        <f t="shared" si="11"/>
        <v>60.729092980780209</v>
      </c>
    </row>
    <row r="316" spans="1:5">
      <c r="A316" s="303" t="s">
        <v>42</v>
      </c>
      <c r="B316" s="33">
        <v>762000</v>
      </c>
      <c r="C316" s="33">
        <v>806245</v>
      </c>
      <c r="D316" s="6">
        <v>806245</v>
      </c>
      <c r="E316" s="221">
        <f t="shared" si="11"/>
        <v>100</v>
      </c>
    </row>
    <row r="317" spans="1:5">
      <c r="A317" s="304" t="s">
        <v>200</v>
      </c>
      <c r="B317" s="34">
        <f>SUM(B314:B316)</f>
        <v>16229000</v>
      </c>
      <c r="C317" s="34">
        <f>SUM(C314:C316)</f>
        <v>16296327</v>
      </c>
      <c r="D317" s="11">
        <f>SUM(D314:D316)</f>
        <v>15852757</v>
      </c>
      <c r="E317" s="222">
        <f t="shared" si="11"/>
        <v>97.278098310128414</v>
      </c>
    </row>
    <row r="318" spans="1:5">
      <c r="A318" s="304"/>
      <c r="B318" s="34"/>
      <c r="C318" s="34"/>
      <c r="D318" s="17"/>
      <c r="E318" s="221"/>
    </row>
    <row r="319" spans="1:5">
      <c r="A319" s="302" t="s">
        <v>202</v>
      </c>
      <c r="B319" s="82">
        <v>100000</v>
      </c>
      <c r="C319" s="82">
        <v>125022</v>
      </c>
      <c r="D319" s="6">
        <v>125022</v>
      </c>
      <c r="E319" s="221">
        <f t="shared" si="11"/>
        <v>100</v>
      </c>
    </row>
    <row r="320" spans="1:5">
      <c r="A320" s="302" t="s">
        <v>203</v>
      </c>
      <c r="B320" s="82">
        <v>450000</v>
      </c>
      <c r="C320" s="82">
        <v>627234</v>
      </c>
      <c r="D320" s="6">
        <v>627234</v>
      </c>
      <c r="E320" s="221">
        <f t="shared" si="11"/>
        <v>100</v>
      </c>
    </row>
    <row r="321" spans="1:5">
      <c r="A321" s="302" t="s">
        <v>205</v>
      </c>
      <c r="B321" s="35">
        <v>200000</v>
      </c>
      <c r="C321" s="35">
        <v>0</v>
      </c>
      <c r="D321" s="6">
        <v>0</v>
      </c>
      <c r="E321" s="221">
        <v>0</v>
      </c>
    </row>
    <row r="322" spans="1:5">
      <c r="A322" s="302" t="s">
        <v>359</v>
      </c>
      <c r="B322" s="35">
        <v>0</v>
      </c>
      <c r="C322" s="35">
        <v>13068</v>
      </c>
      <c r="D322" s="6">
        <v>13068</v>
      </c>
      <c r="E322" s="221">
        <f t="shared" si="11"/>
        <v>100</v>
      </c>
    </row>
    <row r="323" spans="1:5">
      <c r="A323" s="334" t="s">
        <v>208</v>
      </c>
      <c r="B323" s="68">
        <f>SUM(B319:B322)</f>
        <v>750000</v>
      </c>
      <c r="C323" s="68">
        <f>SUM(C319:C322)</f>
        <v>765324</v>
      </c>
      <c r="D323" s="11">
        <f>SUM(D319:D322)</f>
        <v>765324</v>
      </c>
      <c r="E323" s="222">
        <f t="shared" si="11"/>
        <v>100</v>
      </c>
    </row>
    <row r="324" spans="1:5">
      <c r="A324" s="302" t="s">
        <v>272</v>
      </c>
      <c r="B324" s="35">
        <v>1000000</v>
      </c>
      <c r="C324" s="35">
        <v>986576</v>
      </c>
      <c r="D324" s="6">
        <v>986576</v>
      </c>
      <c r="E324" s="221">
        <f t="shared" si="11"/>
        <v>100</v>
      </c>
    </row>
    <row r="325" spans="1:5">
      <c r="A325" s="302" t="s">
        <v>207</v>
      </c>
      <c r="B325" s="35">
        <v>1000000</v>
      </c>
      <c r="C325" s="35">
        <v>782348</v>
      </c>
      <c r="D325" s="6">
        <v>782348</v>
      </c>
      <c r="E325" s="221">
        <f t="shared" si="11"/>
        <v>100</v>
      </c>
    </row>
    <row r="326" spans="1:5">
      <c r="A326" s="334" t="s">
        <v>209</v>
      </c>
      <c r="B326" s="68">
        <f>SUM(B324:B325)</f>
        <v>2000000</v>
      </c>
      <c r="C326" s="68">
        <f>SUM(C324:C325)</f>
        <v>1768924</v>
      </c>
      <c r="D326" s="11">
        <f>SUM(D324:D325)</f>
        <v>1768924</v>
      </c>
      <c r="E326" s="222">
        <f t="shared" si="11"/>
        <v>100</v>
      </c>
    </row>
    <row r="327" spans="1:5">
      <c r="A327" s="301" t="s">
        <v>212</v>
      </c>
      <c r="B327" s="35">
        <v>3200000</v>
      </c>
      <c r="C327" s="35">
        <v>3114438</v>
      </c>
      <c r="D327" s="6">
        <v>3114438</v>
      </c>
      <c r="E327" s="221">
        <f t="shared" si="11"/>
        <v>100</v>
      </c>
    </row>
    <row r="328" spans="1:5">
      <c r="A328" s="302" t="s">
        <v>211</v>
      </c>
      <c r="B328" s="67">
        <v>400000</v>
      </c>
      <c r="C328" s="67">
        <v>272087</v>
      </c>
      <c r="D328" s="6">
        <v>266584</v>
      </c>
      <c r="E328" s="221">
        <f t="shared" si="11"/>
        <v>97.977485142619827</v>
      </c>
    </row>
    <row r="329" spans="1:5">
      <c r="A329" s="328" t="s">
        <v>210</v>
      </c>
      <c r="B329" s="68">
        <f>SUM(B327:B328)</f>
        <v>3600000</v>
      </c>
      <c r="C329" s="68">
        <f>SUM(C327:C328)</f>
        <v>3386525</v>
      </c>
      <c r="D329" s="11">
        <f>SUM(D327:D328)</f>
        <v>3381022</v>
      </c>
      <c r="E329" s="222">
        <f t="shared" si="11"/>
        <v>99.837503045156907</v>
      </c>
    </row>
    <row r="330" spans="1:5">
      <c r="A330" s="302" t="s">
        <v>223</v>
      </c>
      <c r="B330" s="67">
        <v>820000</v>
      </c>
      <c r="C330" s="67">
        <v>702750</v>
      </c>
      <c r="D330" s="6">
        <v>702750</v>
      </c>
      <c r="E330" s="221">
        <f t="shared" si="11"/>
        <v>100</v>
      </c>
    </row>
    <row r="331" spans="1:5">
      <c r="A331" s="302" t="s">
        <v>224</v>
      </c>
      <c r="B331" s="67">
        <v>530000</v>
      </c>
      <c r="C331" s="67">
        <v>518202</v>
      </c>
      <c r="D331" s="6">
        <v>518202</v>
      </c>
      <c r="E331" s="221">
        <f t="shared" si="11"/>
        <v>100</v>
      </c>
    </row>
    <row r="332" spans="1:5">
      <c r="A332" s="302" t="s">
        <v>297</v>
      </c>
      <c r="B332" s="35">
        <v>180000</v>
      </c>
      <c r="C332" s="35">
        <v>156406</v>
      </c>
      <c r="D332" s="6">
        <v>156406</v>
      </c>
      <c r="E332" s="221">
        <f t="shared" si="11"/>
        <v>100</v>
      </c>
    </row>
    <row r="333" spans="1:5">
      <c r="A333" s="328" t="s">
        <v>213</v>
      </c>
      <c r="B333" s="68">
        <f>SUM(B330:B332)</f>
        <v>1530000</v>
      </c>
      <c r="C333" s="68">
        <f>SUM(C330:C332)</f>
        <v>1377358</v>
      </c>
      <c r="D333" s="11">
        <f>SUM(D330:D332)</f>
        <v>1377358</v>
      </c>
      <c r="E333" s="222">
        <f t="shared" si="11"/>
        <v>100</v>
      </c>
    </row>
    <row r="334" spans="1:5">
      <c r="A334" s="302" t="s">
        <v>239</v>
      </c>
      <c r="B334" s="67">
        <v>400000</v>
      </c>
      <c r="C334" s="67">
        <v>412320</v>
      </c>
      <c r="D334" s="6">
        <v>412320</v>
      </c>
      <c r="E334" s="221">
        <f t="shared" si="11"/>
        <v>100</v>
      </c>
    </row>
    <row r="335" spans="1:5">
      <c r="A335" s="302" t="s">
        <v>227</v>
      </c>
      <c r="B335" s="67">
        <v>650000</v>
      </c>
      <c r="C335" s="67">
        <v>518080</v>
      </c>
      <c r="D335" s="6">
        <v>511784</v>
      </c>
      <c r="E335" s="221">
        <f t="shared" si="11"/>
        <v>98.784743668931441</v>
      </c>
    </row>
    <row r="336" spans="1:5">
      <c r="A336" s="302" t="s">
        <v>120</v>
      </c>
      <c r="B336" s="35">
        <v>2300000</v>
      </c>
      <c r="C336" s="35">
        <v>2575589</v>
      </c>
      <c r="D336" s="6">
        <v>2575589</v>
      </c>
      <c r="E336" s="221">
        <f t="shared" si="11"/>
        <v>100</v>
      </c>
    </row>
    <row r="337" spans="1:5">
      <c r="A337" s="302" t="s">
        <v>214</v>
      </c>
      <c r="B337" s="35">
        <f>1300000+670000</f>
        <v>1970000</v>
      </c>
      <c r="C337" s="35">
        <v>1515092</v>
      </c>
      <c r="D337" s="6">
        <v>1515092</v>
      </c>
      <c r="E337" s="221">
        <f t="shared" si="11"/>
        <v>100</v>
      </c>
    </row>
    <row r="338" spans="1:5">
      <c r="A338" s="302" t="s">
        <v>219</v>
      </c>
      <c r="B338" s="35">
        <v>2300000</v>
      </c>
      <c r="C338" s="35">
        <v>1951207</v>
      </c>
      <c r="D338" s="6">
        <v>1877394</v>
      </c>
      <c r="E338" s="221">
        <f t="shared" si="11"/>
        <v>96.217059491893991</v>
      </c>
    </row>
    <row r="339" spans="1:5">
      <c r="A339" s="328" t="s">
        <v>216</v>
      </c>
      <c r="B339" s="68">
        <f>SUM(B334:B338)</f>
        <v>7620000</v>
      </c>
      <c r="C339" s="68">
        <f>SUM(C334:C338)</f>
        <v>6972288</v>
      </c>
      <c r="D339" s="11">
        <f>SUM(D334:D338)</f>
        <v>6892179</v>
      </c>
      <c r="E339" s="222">
        <f t="shared" si="11"/>
        <v>98.851037134438513</v>
      </c>
    </row>
    <row r="340" spans="1:5">
      <c r="A340" s="302" t="s">
        <v>215</v>
      </c>
      <c r="B340" s="35">
        <v>0</v>
      </c>
      <c r="C340" s="35">
        <v>351375</v>
      </c>
      <c r="D340" s="6">
        <v>351375</v>
      </c>
      <c r="E340" s="221">
        <f t="shared" si="11"/>
        <v>100</v>
      </c>
    </row>
    <row r="341" spans="1:5">
      <c r="A341" s="328" t="s">
        <v>217</v>
      </c>
      <c r="B341" s="68">
        <f>SUM(B340:B340)</f>
        <v>0</v>
      </c>
      <c r="C341" s="68">
        <f>SUM(C340)</f>
        <v>351375</v>
      </c>
      <c r="D341" s="11">
        <f>SUM(D340)</f>
        <v>351375</v>
      </c>
      <c r="E341" s="222">
        <f t="shared" si="11"/>
        <v>100</v>
      </c>
    </row>
    <row r="342" spans="1:5">
      <c r="A342" s="328"/>
      <c r="B342" s="68"/>
      <c r="C342" s="68"/>
      <c r="D342" s="17"/>
      <c r="E342" s="221"/>
    </row>
    <row r="343" spans="1:5">
      <c r="A343" s="302" t="s">
        <v>226</v>
      </c>
      <c r="B343" s="67">
        <v>4262580</v>
      </c>
      <c r="C343" s="67">
        <v>3928931</v>
      </c>
      <c r="D343" s="6">
        <v>3170405</v>
      </c>
      <c r="E343" s="221">
        <f t="shared" si="11"/>
        <v>80.693832495403967</v>
      </c>
    </row>
    <row r="344" spans="1:5">
      <c r="A344" s="302" t="s">
        <v>225</v>
      </c>
      <c r="B344" s="67">
        <f>'3_melléklet'!B65+'3_melléklet'!B67*0.27</f>
        <v>774630</v>
      </c>
      <c r="C344" s="67">
        <v>19774</v>
      </c>
      <c r="D344" s="6">
        <v>19774</v>
      </c>
      <c r="E344" s="221">
        <f t="shared" si="11"/>
        <v>100</v>
      </c>
    </row>
    <row r="345" spans="1:5">
      <c r="A345" s="302" t="s">
        <v>220</v>
      </c>
      <c r="B345" s="35">
        <v>1200000</v>
      </c>
      <c r="C345" s="35">
        <v>1613981</v>
      </c>
      <c r="D345" s="6">
        <v>1613973</v>
      </c>
      <c r="E345" s="221">
        <f t="shared" si="11"/>
        <v>99.999504331215789</v>
      </c>
    </row>
    <row r="346" spans="1:5" ht="22.5">
      <c r="A346" s="334" t="s">
        <v>221</v>
      </c>
      <c r="B346" s="68">
        <f>SUM(B343:B345)</f>
        <v>6237210</v>
      </c>
      <c r="C346" s="68">
        <f>SUM(C343:C345)</f>
        <v>5562686</v>
      </c>
      <c r="D346" s="11">
        <f>SUM(D343:D345)</f>
        <v>4804152</v>
      </c>
      <c r="E346" s="222">
        <f t="shared" si="11"/>
        <v>86.363889674880085</v>
      </c>
    </row>
    <row r="347" spans="1:5">
      <c r="A347" s="334"/>
      <c r="B347" s="35"/>
      <c r="C347" s="35"/>
      <c r="D347" s="17"/>
      <c r="E347" s="221"/>
    </row>
    <row r="348" spans="1:5">
      <c r="A348" s="173" t="s">
        <v>222</v>
      </c>
      <c r="B348" s="68">
        <f>B323+B326+B329+B333+B339+B341+B346</f>
        <v>21737210</v>
      </c>
      <c r="C348" s="68">
        <f>SUM(C323+C326+C329+C333+C339+C341+C346)</f>
        <v>20184480</v>
      </c>
      <c r="D348" s="11">
        <f>SUM(D323+D326+D329+D333+D339+D341+D346)</f>
        <v>19340334</v>
      </c>
      <c r="E348" s="222">
        <f t="shared" si="11"/>
        <v>95.81784618677321</v>
      </c>
    </row>
    <row r="349" spans="1:5">
      <c r="A349" s="173"/>
      <c r="B349" s="36"/>
      <c r="C349" s="36"/>
      <c r="D349" s="17"/>
      <c r="E349" s="221"/>
    </row>
    <row r="350" spans="1:5">
      <c r="A350" s="330" t="s">
        <v>18</v>
      </c>
      <c r="B350" s="37">
        <f>B312+B317+B348</f>
        <v>95374210</v>
      </c>
      <c r="C350" s="37">
        <f>SUM(C312+C317+C348)</f>
        <v>94532675</v>
      </c>
      <c r="D350" s="11">
        <f>SUM(D312+D317+D323+D326+D329+D333+D339+D341+D346)</f>
        <v>92761973</v>
      </c>
      <c r="E350" s="222">
        <f t="shared" si="11"/>
        <v>98.126888930203236</v>
      </c>
    </row>
    <row r="351" spans="1:5">
      <c r="A351" s="173"/>
      <c r="B351" s="44"/>
      <c r="C351" s="17"/>
      <c r="D351" s="17"/>
      <c r="E351" s="221"/>
    </row>
    <row r="352" spans="1:5">
      <c r="A352" s="330"/>
      <c r="B352" s="37"/>
      <c r="C352" s="37"/>
      <c r="D352" s="17"/>
      <c r="E352" s="221"/>
    </row>
    <row r="353" spans="1:5">
      <c r="A353" s="304" t="s">
        <v>198</v>
      </c>
      <c r="B353" s="83">
        <f>B232+B270+B312</f>
        <v>69955000</v>
      </c>
      <c r="C353" s="83">
        <f>SUM(C232+C270+C312)</f>
        <v>72488501</v>
      </c>
      <c r="D353" s="11">
        <f>SUM(D232+D270+D312)</f>
        <v>71479368</v>
      </c>
      <c r="E353" s="222">
        <f t="shared" si="11"/>
        <v>98.607871612629978</v>
      </c>
    </row>
    <row r="354" spans="1:5">
      <c r="A354" s="304" t="s">
        <v>200</v>
      </c>
      <c r="B354" s="36">
        <f>B238+B275+B317</f>
        <v>19650000</v>
      </c>
      <c r="C354" s="36">
        <f>SUM(C238+C275+C317)</f>
        <v>20176245</v>
      </c>
      <c r="D354" s="11">
        <f>SUM(D238+D275+D317)</f>
        <v>19724015</v>
      </c>
      <c r="E354" s="222">
        <f t="shared" si="11"/>
        <v>97.75860176162611</v>
      </c>
    </row>
    <row r="355" spans="1:5">
      <c r="A355" s="173" t="s">
        <v>258</v>
      </c>
      <c r="B355" s="36">
        <f>B258+B292+B348</f>
        <v>49821610</v>
      </c>
      <c r="C355" s="36">
        <f>SUM(C258+C292+C348)</f>
        <v>50515066</v>
      </c>
      <c r="D355" s="11">
        <f>SUM(D258+D292+D348)</f>
        <v>49368162</v>
      </c>
      <c r="E355" s="222">
        <f t="shared" si="11"/>
        <v>97.729580319661466</v>
      </c>
    </row>
    <row r="356" spans="1:5">
      <c r="A356" s="173" t="s">
        <v>270</v>
      </c>
      <c r="B356" s="36">
        <f>'4_ melléklet'!B40</f>
        <v>15334200</v>
      </c>
      <c r="C356" s="36">
        <v>15334200</v>
      </c>
      <c r="D356" s="36">
        <f>'4_ melléklet'!D40</f>
        <v>14164563</v>
      </c>
      <c r="E356" s="222">
        <f t="shared" si="11"/>
        <v>92.37236373596275</v>
      </c>
    </row>
    <row r="357" spans="1:5" ht="22.5">
      <c r="A357" s="90" t="s">
        <v>330</v>
      </c>
      <c r="B357" s="36">
        <f>SUM(B353:B356)</f>
        <v>154760810</v>
      </c>
      <c r="C357" s="36">
        <f>SUM(C353:C356)</f>
        <v>158514012</v>
      </c>
      <c r="D357" s="36">
        <f>SUM(D353:D356)</f>
        <v>154736108</v>
      </c>
      <c r="E357" s="222">
        <f t="shared" si="11"/>
        <v>97.616675048260078</v>
      </c>
    </row>
    <row r="358" spans="1:5">
      <c r="A358" s="90"/>
      <c r="B358" s="36"/>
      <c r="C358" s="36"/>
      <c r="D358" s="17"/>
      <c r="E358" s="17"/>
    </row>
    <row r="359" spans="1:5">
      <c r="A359" s="90"/>
      <c r="B359" s="36"/>
      <c r="C359" s="36"/>
      <c r="D359" s="17"/>
      <c r="E359" s="17"/>
    </row>
    <row r="360" spans="1:5">
      <c r="A360" s="90"/>
      <c r="B360" s="36"/>
      <c r="C360" s="36"/>
      <c r="D360" s="17"/>
      <c r="E360" s="17"/>
    </row>
    <row r="361" spans="1:5">
      <c r="A361" s="660" t="s">
        <v>271</v>
      </c>
      <c r="B361" s="660"/>
      <c r="C361" s="660"/>
      <c r="D361" s="660"/>
      <c r="E361" s="17"/>
    </row>
    <row r="362" spans="1:5">
      <c r="A362" s="338"/>
      <c r="B362" s="33"/>
      <c r="C362" s="33"/>
      <c r="D362" s="17"/>
      <c r="E362" s="17"/>
    </row>
    <row r="363" spans="1:5">
      <c r="A363" s="633" t="s">
        <v>107</v>
      </c>
      <c r="B363" s="633"/>
      <c r="C363" s="633"/>
      <c r="D363" s="633"/>
    </row>
    <row r="364" spans="1:5">
      <c r="A364" s="304"/>
      <c r="B364" s="35"/>
      <c r="C364" s="35"/>
      <c r="D364" s="17"/>
    </row>
    <row r="365" spans="1:5">
      <c r="A365" s="628" t="s">
        <v>251</v>
      </c>
      <c r="B365" s="629"/>
      <c r="C365" s="629"/>
      <c r="D365" s="629"/>
      <c r="E365" s="630"/>
    </row>
    <row r="366" spans="1:5">
      <c r="A366" s="303"/>
      <c r="B366" s="139"/>
      <c r="C366" s="190"/>
      <c r="D366" s="17"/>
    </row>
    <row r="367" spans="1:5">
      <c r="A367" s="303" t="s">
        <v>72</v>
      </c>
      <c r="B367" s="33">
        <v>6103000</v>
      </c>
      <c r="C367" s="33">
        <v>6194429</v>
      </c>
      <c r="D367" s="6">
        <v>6194429</v>
      </c>
      <c r="E367" s="221">
        <f t="shared" ref="E367:E409" si="12">D367/C367*100</f>
        <v>100</v>
      </c>
    </row>
    <row r="368" spans="1:5">
      <c r="A368" s="333" t="s">
        <v>46</v>
      </c>
      <c r="B368" s="33">
        <v>110000</v>
      </c>
      <c r="C368" s="33">
        <v>110000</v>
      </c>
      <c r="D368" s="6">
        <v>4000</v>
      </c>
      <c r="E368" s="221">
        <f t="shared" si="12"/>
        <v>3.6363636363636362</v>
      </c>
    </row>
    <row r="369" spans="1:5">
      <c r="A369" s="333" t="s">
        <v>358</v>
      </c>
      <c r="B369" s="33">
        <v>50000</v>
      </c>
      <c r="C369" s="33">
        <v>50000</v>
      </c>
      <c r="D369" s="6">
        <v>40602</v>
      </c>
      <c r="E369" s="221">
        <f t="shared" si="12"/>
        <v>81.203999999999994</v>
      </c>
    </row>
    <row r="370" spans="1:5">
      <c r="A370" s="333" t="s">
        <v>328</v>
      </c>
      <c r="B370" s="82">
        <v>12000</v>
      </c>
      <c r="C370" s="82">
        <v>18319</v>
      </c>
      <c r="D370" s="6">
        <v>18319</v>
      </c>
      <c r="E370" s="221">
        <f t="shared" si="12"/>
        <v>100</v>
      </c>
    </row>
    <row r="371" spans="1:5">
      <c r="A371" s="333" t="s">
        <v>342</v>
      </c>
      <c r="B371" s="82"/>
      <c r="C371" s="82">
        <v>144425</v>
      </c>
      <c r="D371" s="6">
        <v>136379</v>
      </c>
      <c r="E371" s="221">
        <f t="shared" si="12"/>
        <v>94.428942357625061</v>
      </c>
    </row>
    <row r="372" spans="1:5">
      <c r="A372" s="304" t="s">
        <v>198</v>
      </c>
      <c r="B372" s="83">
        <f>SUM(B367:B371)</f>
        <v>6275000</v>
      </c>
      <c r="C372" s="83">
        <f>SUM(C367:C371)</f>
        <v>6517173</v>
      </c>
      <c r="D372" s="11">
        <f>SUM(D367:D371)</f>
        <v>6393729</v>
      </c>
      <c r="E372" s="222">
        <f t="shared" si="12"/>
        <v>98.105865840909857</v>
      </c>
    </row>
    <row r="373" spans="1:5">
      <c r="A373" s="304"/>
      <c r="B373" s="83"/>
      <c r="C373" s="83"/>
      <c r="D373" s="17"/>
      <c r="E373" s="221"/>
    </row>
    <row r="374" spans="1:5">
      <c r="A374" s="303" t="s">
        <v>138</v>
      </c>
      <c r="B374" s="82">
        <v>1648000</v>
      </c>
      <c r="C374" s="82">
        <v>1678323</v>
      </c>
      <c r="D374" s="6">
        <v>1678323</v>
      </c>
      <c r="E374" s="221">
        <f t="shared" si="12"/>
        <v>100</v>
      </c>
    </row>
    <row r="375" spans="1:5">
      <c r="A375" s="303" t="s">
        <v>199</v>
      </c>
      <c r="B375" s="82">
        <v>39000</v>
      </c>
      <c r="C375" s="82">
        <v>44083</v>
      </c>
      <c r="D375" s="6">
        <v>44083</v>
      </c>
      <c r="E375" s="221">
        <f t="shared" si="12"/>
        <v>100</v>
      </c>
    </row>
    <row r="376" spans="1:5">
      <c r="A376" s="303" t="s">
        <v>45</v>
      </c>
      <c r="B376" s="82">
        <v>20000</v>
      </c>
      <c r="C376" s="82">
        <v>20000</v>
      </c>
      <c r="D376" s="17">
        <v>0</v>
      </c>
      <c r="E376" s="221">
        <f t="shared" si="12"/>
        <v>0</v>
      </c>
    </row>
    <row r="377" spans="1:5">
      <c r="A377" s="303" t="s">
        <v>42</v>
      </c>
      <c r="B377" s="82">
        <v>23000</v>
      </c>
      <c r="C377" s="82">
        <v>26122</v>
      </c>
      <c r="D377" s="6">
        <v>26122</v>
      </c>
      <c r="E377" s="221">
        <f t="shared" si="12"/>
        <v>100</v>
      </c>
    </row>
    <row r="378" spans="1:5">
      <c r="A378" s="304" t="s">
        <v>200</v>
      </c>
      <c r="B378" s="83">
        <f>SUM(B374:B377)</f>
        <v>1730000</v>
      </c>
      <c r="C378" s="83">
        <f>SUM(C374:C377)</f>
        <v>1768528</v>
      </c>
      <c r="D378" s="11">
        <f>SUM(D374:D377)</f>
        <v>1748528</v>
      </c>
      <c r="E378" s="222">
        <f t="shared" si="12"/>
        <v>98.869116010603165</v>
      </c>
    </row>
    <row r="379" spans="1:5">
      <c r="A379" s="304"/>
      <c r="B379" s="34"/>
      <c r="C379" s="34"/>
      <c r="D379" s="17"/>
      <c r="E379" s="221"/>
    </row>
    <row r="380" spans="1:5">
      <c r="A380" s="333" t="s">
        <v>204</v>
      </c>
      <c r="B380" s="82">
        <v>20000</v>
      </c>
      <c r="C380" s="82">
        <v>5154</v>
      </c>
      <c r="D380" s="6">
        <v>5154</v>
      </c>
      <c r="E380" s="221">
        <f t="shared" si="12"/>
        <v>100</v>
      </c>
    </row>
    <row r="381" spans="1:5">
      <c r="A381" s="302" t="s">
        <v>202</v>
      </c>
      <c r="B381" s="82">
        <v>10000</v>
      </c>
      <c r="C381" s="82">
        <v>0</v>
      </c>
      <c r="D381" s="17">
        <v>0</v>
      </c>
      <c r="E381" s="221">
        <v>0</v>
      </c>
    </row>
    <row r="382" spans="1:5">
      <c r="A382" s="302" t="s">
        <v>205</v>
      </c>
      <c r="B382" s="67">
        <v>60000</v>
      </c>
      <c r="C382" s="67">
        <v>0</v>
      </c>
      <c r="D382" s="17">
        <v>0</v>
      </c>
      <c r="E382" s="221">
        <v>0</v>
      </c>
    </row>
    <row r="383" spans="1:5">
      <c r="A383" s="334" t="s">
        <v>208</v>
      </c>
      <c r="B383" s="68">
        <f>SUM(B380:B382)</f>
        <v>90000</v>
      </c>
      <c r="C383" s="68">
        <f>SUM(C380:C382)</f>
        <v>5154</v>
      </c>
      <c r="D383" s="11">
        <f>SUM(D380:D382)</f>
        <v>5154</v>
      </c>
      <c r="E383" s="222">
        <f t="shared" si="12"/>
        <v>100</v>
      </c>
    </row>
    <row r="384" spans="1:5">
      <c r="A384" s="302" t="s">
        <v>272</v>
      </c>
      <c r="B384" s="35">
        <v>120000</v>
      </c>
      <c r="C384" s="35">
        <v>177864</v>
      </c>
      <c r="D384" s="6">
        <v>177864</v>
      </c>
      <c r="E384" s="221">
        <f t="shared" si="12"/>
        <v>100</v>
      </c>
    </row>
    <row r="385" spans="1:5">
      <c r="A385" s="302" t="s">
        <v>206</v>
      </c>
      <c r="B385" s="35">
        <v>5000</v>
      </c>
      <c r="C385" s="35">
        <v>0</v>
      </c>
      <c r="D385" s="17">
        <v>0</v>
      </c>
      <c r="E385" s="221">
        <v>0</v>
      </c>
    </row>
    <row r="386" spans="1:5">
      <c r="A386" s="302" t="s">
        <v>273</v>
      </c>
      <c r="B386" s="35">
        <v>16000</v>
      </c>
      <c r="C386" s="35">
        <v>23622</v>
      </c>
      <c r="D386" s="6">
        <v>23622</v>
      </c>
      <c r="E386" s="221">
        <f t="shared" si="12"/>
        <v>100</v>
      </c>
    </row>
    <row r="387" spans="1:5">
      <c r="A387" s="302" t="s">
        <v>207</v>
      </c>
      <c r="B387" s="35">
        <v>70000</v>
      </c>
      <c r="C387" s="35">
        <v>282723</v>
      </c>
      <c r="D387" s="6">
        <v>282723</v>
      </c>
      <c r="E387" s="221">
        <f t="shared" si="12"/>
        <v>100</v>
      </c>
    </row>
    <row r="388" spans="1:5">
      <c r="A388" s="334" t="s">
        <v>209</v>
      </c>
      <c r="B388" s="68">
        <f>SUM(B384:B387)</f>
        <v>211000</v>
      </c>
      <c r="C388" s="68">
        <f>SUM(C384:C387)</f>
        <v>484209</v>
      </c>
      <c r="D388" s="11">
        <f>SUM(D384:D387)</f>
        <v>484209</v>
      </c>
      <c r="E388" s="222">
        <f t="shared" si="12"/>
        <v>100</v>
      </c>
    </row>
    <row r="389" spans="1:5">
      <c r="A389" s="301" t="s">
        <v>212</v>
      </c>
      <c r="B389" s="35">
        <v>244000</v>
      </c>
      <c r="C389" s="35">
        <v>244000</v>
      </c>
      <c r="D389" s="6">
        <v>243720</v>
      </c>
      <c r="E389" s="221">
        <f t="shared" si="12"/>
        <v>99.885245901639337</v>
      </c>
    </row>
    <row r="390" spans="1:5">
      <c r="A390" s="302" t="s">
        <v>211</v>
      </c>
      <c r="B390" s="67">
        <v>80000</v>
      </c>
      <c r="C390" s="67">
        <v>61177</v>
      </c>
      <c r="D390" s="6">
        <v>61177</v>
      </c>
      <c r="E390" s="221">
        <f t="shared" si="12"/>
        <v>100</v>
      </c>
    </row>
    <row r="391" spans="1:5">
      <c r="A391" s="328" t="s">
        <v>210</v>
      </c>
      <c r="B391" s="68">
        <f>SUM(B389:B390)</f>
        <v>324000</v>
      </c>
      <c r="C391" s="68">
        <f>SUM(C389:C390)</f>
        <v>305177</v>
      </c>
      <c r="D391" s="11">
        <f>SUM(D389:D390)</f>
        <v>304897</v>
      </c>
      <c r="E391" s="222">
        <f t="shared" si="12"/>
        <v>99.908249966412939</v>
      </c>
    </row>
    <row r="392" spans="1:5">
      <c r="A392" s="302" t="s">
        <v>223</v>
      </c>
      <c r="B392" s="67">
        <v>300000</v>
      </c>
      <c r="C392" s="67">
        <v>365716</v>
      </c>
      <c r="D392" s="6">
        <v>365716</v>
      </c>
      <c r="E392" s="221">
        <f t="shared" si="12"/>
        <v>100</v>
      </c>
    </row>
    <row r="393" spans="1:5">
      <c r="A393" s="302" t="s">
        <v>224</v>
      </c>
      <c r="B393" s="67">
        <v>100000</v>
      </c>
      <c r="C393" s="67">
        <v>109608</v>
      </c>
      <c r="D393" s="6">
        <v>109608</v>
      </c>
      <c r="E393" s="221">
        <f t="shared" si="12"/>
        <v>100</v>
      </c>
    </row>
    <row r="394" spans="1:5">
      <c r="A394" s="302" t="s">
        <v>297</v>
      </c>
      <c r="B394" s="67">
        <v>14000</v>
      </c>
      <c r="C394" s="67">
        <v>14000</v>
      </c>
      <c r="D394" s="6">
        <v>13449</v>
      </c>
      <c r="E394" s="221">
        <f t="shared" si="12"/>
        <v>96.064285714285717</v>
      </c>
    </row>
    <row r="395" spans="1:5">
      <c r="A395" s="328" t="s">
        <v>213</v>
      </c>
      <c r="B395" s="68">
        <f>SUM(B392:B394)</f>
        <v>414000</v>
      </c>
      <c r="C395" s="68">
        <f>SUM(C392:C394)</f>
        <v>489324</v>
      </c>
      <c r="D395" s="11">
        <f>SUM(D392:D394)</f>
        <v>488773</v>
      </c>
      <c r="E395" s="222">
        <f t="shared" si="12"/>
        <v>99.88739567239702</v>
      </c>
    </row>
    <row r="396" spans="1:5">
      <c r="A396" s="302" t="s">
        <v>239</v>
      </c>
      <c r="B396" s="67"/>
      <c r="C396" s="67"/>
      <c r="D396" s="17"/>
      <c r="E396" s="221"/>
    </row>
    <row r="397" spans="1:5">
      <c r="A397" s="302" t="s">
        <v>227</v>
      </c>
      <c r="B397" s="67">
        <v>80000</v>
      </c>
      <c r="C397" s="67">
        <v>11540</v>
      </c>
      <c r="D397" s="6">
        <v>11540</v>
      </c>
      <c r="E397" s="221">
        <f t="shared" si="12"/>
        <v>100</v>
      </c>
    </row>
    <row r="398" spans="1:5">
      <c r="A398" s="302" t="s">
        <v>120</v>
      </c>
      <c r="B398" s="67">
        <v>2700000</v>
      </c>
      <c r="C398" s="67">
        <v>2498982</v>
      </c>
      <c r="D398" s="6">
        <v>2431044</v>
      </c>
      <c r="E398" s="221">
        <f t="shared" si="12"/>
        <v>97.281372975075456</v>
      </c>
    </row>
    <row r="399" spans="1:5">
      <c r="A399" s="302" t="s">
        <v>219</v>
      </c>
      <c r="B399" s="67">
        <v>350000</v>
      </c>
      <c r="C399" s="67">
        <v>731856</v>
      </c>
      <c r="D399" s="6">
        <v>731856</v>
      </c>
      <c r="E399" s="221">
        <f t="shared" si="12"/>
        <v>100</v>
      </c>
    </row>
    <row r="400" spans="1:5">
      <c r="A400" s="328" t="s">
        <v>216</v>
      </c>
      <c r="B400" s="68">
        <f>SUM(B396:B399)</f>
        <v>3130000</v>
      </c>
      <c r="C400" s="68">
        <f>SUM(C397:C399)</f>
        <v>3242378</v>
      </c>
      <c r="D400" s="11">
        <f>SUM(D397:D399)</f>
        <v>3174440</v>
      </c>
      <c r="E400" s="222">
        <f t="shared" si="12"/>
        <v>97.904686005148079</v>
      </c>
    </row>
    <row r="401" spans="1:5">
      <c r="A401" s="302" t="s">
        <v>215</v>
      </c>
      <c r="B401" s="35">
        <v>0</v>
      </c>
      <c r="C401" s="35">
        <v>0</v>
      </c>
      <c r="D401" s="17">
        <v>0</v>
      </c>
      <c r="E401" s="221">
        <v>0</v>
      </c>
    </row>
    <row r="402" spans="1:5">
      <c r="A402" s="328" t="s">
        <v>217</v>
      </c>
      <c r="B402" s="68">
        <f>SUM(B401:B401)</f>
        <v>0</v>
      </c>
      <c r="C402" s="68">
        <f>SUM(C401)</f>
        <v>0</v>
      </c>
      <c r="D402" s="70">
        <f>SUM(D401)</f>
        <v>0</v>
      </c>
      <c r="E402" s="221">
        <v>0</v>
      </c>
    </row>
    <row r="403" spans="1:5">
      <c r="A403" s="301" t="s">
        <v>357</v>
      </c>
      <c r="B403" s="68"/>
      <c r="C403" s="67">
        <v>858</v>
      </c>
      <c r="D403" s="17">
        <v>758</v>
      </c>
      <c r="E403" s="221">
        <f t="shared" si="12"/>
        <v>88.344988344988337</v>
      </c>
    </row>
    <row r="404" spans="1:5">
      <c r="A404" s="302" t="s">
        <v>226</v>
      </c>
      <c r="B404" s="67">
        <v>1139130</v>
      </c>
      <c r="C404" s="67">
        <v>1037237</v>
      </c>
      <c r="D404" s="6">
        <v>1035065</v>
      </c>
      <c r="E404" s="221">
        <f t="shared" si="12"/>
        <v>99.790597520142455</v>
      </c>
    </row>
    <row r="405" spans="1:5" ht="22.5">
      <c r="A405" s="334" t="s">
        <v>221</v>
      </c>
      <c r="B405" s="68">
        <f>SUM(B404:B404)</f>
        <v>1139130</v>
      </c>
      <c r="C405" s="68">
        <f>SUM(C403:C404)</f>
        <v>1038095</v>
      </c>
      <c r="D405" s="11">
        <f>SUM(D403:D404)</f>
        <v>1035823</v>
      </c>
      <c r="E405" s="222">
        <f t="shared" si="12"/>
        <v>99.781137564481099</v>
      </c>
    </row>
    <row r="406" spans="1:5">
      <c r="A406" s="334"/>
      <c r="B406" s="35"/>
      <c r="C406" s="35"/>
      <c r="D406" s="17"/>
      <c r="E406" s="221"/>
    </row>
    <row r="407" spans="1:5">
      <c r="A407" s="173" t="s">
        <v>222</v>
      </c>
      <c r="B407" s="68">
        <f>B383+B388+B391+B395+B400+B402+B405</f>
        <v>5308130</v>
      </c>
      <c r="C407" s="68">
        <f>SUM(C383+C388+C391+C395+C400+C405)</f>
        <v>5564337</v>
      </c>
      <c r="D407" s="11">
        <f>SUM(D383+D388+D391+D395+D400+D405)</f>
        <v>5493296</v>
      </c>
      <c r="E407" s="222">
        <f t="shared" si="12"/>
        <v>98.723280060140141</v>
      </c>
    </row>
    <row r="408" spans="1:5">
      <c r="A408" s="173"/>
      <c r="B408" s="36"/>
      <c r="C408" s="36"/>
      <c r="D408" s="17"/>
      <c r="E408" s="222"/>
    </row>
    <row r="409" spans="1:5">
      <c r="A409" s="330" t="s">
        <v>18</v>
      </c>
      <c r="B409" s="36">
        <f>B372+B378+B407</f>
        <v>13313130</v>
      </c>
      <c r="C409" s="36">
        <f>SUM(C372+C378+C407)</f>
        <v>13850038</v>
      </c>
      <c r="D409" s="11">
        <f>SUM(D372+D378+D407)</f>
        <v>13635553</v>
      </c>
      <c r="E409" s="222">
        <f t="shared" si="12"/>
        <v>98.451376090087265</v>
      </c>
    </row>
    <row r="410" spans="1:5">
      <c r="A410" s="330"/>
      <c r="B410" s="34"/>
      <c r="C410" s="34"/>
      <c r="D410" s="17"/>
      <c r="E410" s="17"/>
    </row>
    <row r="411" spans="1:5">
      <c r="A411" s="330"/>
      <c r="B411" s="34"/>
      <c r="C411" s="34"/>
      <c r="D411" s="17"/>
      <c r="E411" s="17"/>
    </row>
    <row r="412" spans="1:5">
      <c r="A412" s="628" t="s">
        <v>102</v>
      </c>
      <c r="B412" s="629"/>
      <c r="C412" s="629"/>
      <c r="D412" s="629"/>
      <c r="E412" s="630"/>
    </row>
    <row r="413" spans="1:5">
      <c r="A413" s="303"/>
      <c r="B413" s="69"/>
      <c r="C413" s="69"/>
      <c r="D413" s="17"/>
    </row>
    <row r="414" spans="1:5">
      <c r="A414" s="303" t="s">
        <v>70</v>
      </c>
      <c r="B414" s="153">
        <v>2153000</v>
      </c>
      <c r="C414" s="181">
        <v>2154040</v>
      </c>
      <c r="D414" s="6">
        <v>2136438</v>
      </c>
      <c r="E414" s="221">
        <f t="shared" ref="E414:E431" si="13">D414/C414*100</f>
        <v>99.182837830309552</v>
      </c>
    </row>
    <row r="415" spans="1:5">
      <c r="A415" s="333" t="s">
        <v>46</v>
      </c>
      <c r="B415" s="153">
        <v>38000</v>
      </c>
      <c r="C415" s="181">
        <v>38000</v>
      </c>
      <c r="D415" s="17">
        <v>0</v>
      </c>
      <c r="E415" s="221">
        <f t="shared" si="13"/>
        <v>0</v>
      </c>
    </row>
    <row r="416" spans="1:5">
      <c r="A416" s="333" t="s">
        <v>328</v>
      </c>
      <c r="B416" s="153">
        <v>6000</v>
      </c>
      <c r="C416" s="181">
        <v>23684</v>
      </c>
      <c r="D416" s="6">
        <v>23684</v>
      </c>
      <c r="E416" s="221">
        <f t="shared" si="13"/>
        <v>100</v>
      </c>
    </row>
    <row r="417" spans="1:5">
      <c r="A417" s="333" t="s">
        <v>342</v>
      </c>
      <c r="B417" s="153">
        <v>0</v>
      </c>
      <c r="C417" s="181">
        <v>112200</v>
      </c>
      <c r="D417" s="6">
        <v>112200</v>
      </c>
      <c r="E417" s="221">
        <f t="shared" si="13"/>
        <v>100</v>
      </c>
    </row>
    <row r="418" spans="1:5">
      <c r="A418" s="304" t="s">
        <v>198</v>
      </c>
      <c r="B418" s="81">
        <f>SUM(B414:B417)</f>
        <v>2197000</v>
      </c>
      <c r="C418" s="81">
        <f>SUM(C414:C417)</f>
        <v>2327924</v>
      </c>
      <c r="D418" s="11">
        <f>SUM(D414:D417)</f>
        <v>2272322</v>
      </c>
      <c r="E418" s="222">
        <f t="shared" si="13"/>
        <v>97.611519963710151</v>
      </c>
    </row>
    <row r="419" spans="1:5">
      <c r="A419" s="304"/>
      <c r="B419" s="81"/>
      <c r="C419" s="81"/>
      <c r="D419" s="17"/>
      <c r="E419" s="221"/>
    </row>
    <row r="420" spans="1:5">
      <c r="A420" s="303" t="s">
        <v>138</v>
      </c>
      <c r="B420" s="153">
        <v>581000</v>
      </c>
      <c r="C420" s="181">
        <v>614048</v>
      </c>
      <c r="D420" s="6">
        <v>598487</v>
      </c>
      <c r="E420" s="221">
        <f t="shared" si="13"/>
        <v>97.465833289905675</v>
      </c>
    </row>
    <row r="421" spans="1:5">
      <c r="A421" s="303" t="s">
        <v>199</v>
      </c>
      <c r="B421" s="153">
        <v>14000</v>
      </c>
      <c r="C421" s="181">
        <v>14000</v>
      </c>
      <c r="D421" s="6">
        <v>13238</v>
      </c>
      <c r="E421" s="221">
        <f t="shared" si="13"/>
        <v>94.557142857142864</v>
      </c>
    </row>
    <row r="422" spans="1:5">
      <c r="A422" s="303" t="s">
        <v>45</v>
      </c>
      <c r="B422" s="153">
        <v>10000</v>
      </c>
      <c r="C422" s="181">
        <v>10000</v>
      </c>
      <c r="D422" s="17">
        <v>0</v>
      </c>
      <c r="E422" s="221">
        <f t="shared" si="13"/>
        <v>0</v>
      </c>
    </row>
    <row r="423" spans="1:5">
      <c r="A423" s="303" t="s">
        <v>42</v>
      </c>
      <c r="B423" s="153">
        <v>8000</v>
      </c>
      <c r="C423" s="181">
        <v>8000</v>
      </c>
      <c r="D423" s="6">
        <v>7844</v>
      </c>
      <c r="E423" s="221">
        <f t="shared" si="13"/>
        <v>98.05</v>
      </c>
    </row>
    <row r="424" spans="1:5">
      <c r="A424" s="304" t="s">
        <v>200</v>
      </c>
      <c r="B424" s="78">
        <f>SUM(B420:B423)</f>
        <v>613000</v>
      </c>
      <c r="C424" s="78">
        <f>SUM(C420:C423)</f>
        <v>646048</v>
      </c>
      <c r="D424" s="11">
        <f>SUM(D420:D423)</f>
        <v>619569</v>
      </c>
      <c r="E424" s="222">
        <f t="shared" si="13"/>
        <v>95.901388132151169</v>
      </c>
    </row>
    <row r="425" spans="1:5">
      <c r="A425" s="304"/>
      <c r="B425" s="78"/>
      <c r="C425" s="78"/>
      <c r="D425" s="17"/>
      <c r="E425" s="221"/>
    </row>
    <row r="426" spans="1:5">
      <c r="A426" s="302" t="s">
        <v>273</v>
      </c>
      <c r="B426" s="153">
        <v>8000</v>
      </c>
      <c r="C426" s="181">
        <v>0</v>
      </c>
      <c r="D426" s="17">
        <v>0</v>
      </c>
      <c r="E426" s="221">
        <v>0</v>
      </c>
    </row>
    <row r="427" spans="1:5">
      <c r="A427" s="302" t="s">
        <v>226</v>
      </c>
      <c r="B427" s="153">
        <f>B426*0.27</f>
        <v>2160</v>
      </c>
      <c r="C427" s="181">
        <v>2160</v>
      </c>
      <c r="D427" s="17">
        <v>0</v>
      </c>
      <c r="E427" s="221">
        <f t="shared" si="13"/>
        <v>0</v>
      </c>
    </row>
    <row r="428" spans="1:5" ht="22.5">
      <c r="A428" s="334" t="s">
        <v>221</v>
      </c>
      <c r="B428" s="78">
        <f>SUM(B426:B427)</f>
        <v>10160</v>
      </c>
      <c r="C428" s="78">
        <f>SUM(C426:C427)</f>
        <v>2160</v>
      </c>
      <c r="D428" s="70">
        <f>SUM(D427)</f>
        <v>0</v>
      </c>
      <c r="E428" s="222">
        <f t="shared" si="13"/>
        <v>0</v>
      </c>
    </row>
    <row r="429" spans="1:5">
      <c r="A429" s="173" t="s">
        <v>222</v>
      </c>
      <c r="B429" s="78">
        <f>SUM(B428)</f>
        <v>10160</v>
      </c>
      <c r="C429" s="78">
        <f>SUM(C428)</f>
        <v>2160</v>
      </c>
      <c r="D429" s="70">
        <f>SUM(D428)</f>
        <v>0</v>
      </c>
      <c r="E429" s="222">
        <f t="shared" si="13"/>
        <v>0</v>
      </c>
    </row>
    <row r="430" spans="1:5">
      <c r="A430" s="330"/>
      <c r="B430" s="34"/>
      <c r="C430" s="34"/>
      <c r="D430" s="17"/>
      <c r="E430" s="221"/>
    </row>
    <row r="431" spans="1:5">
      <c r="A431" s="330" t="s">
        <v>18</v>
      </c>
      <c r="B431" s="34">
        <f>B418+B424+B429</f>
        <v>2820160</v>
      </c>
      <c r="C431" s="34">
        <f>SUM(C418+C424+C429)</f>
        <v>2976132</v>
      </c>
      <c r="D431" s="11">
        <f>SUM(D418+D424)</f>
        <v>2891891</v>
      </c>
      <c r="E431" s="222">
        <f t="shared" si="13"/>
        <v>97.169446785290432</v>
      </c>
    </row>
    <row r="432" spans="1:5">
      <c r="A432" s="330"/>
      <c r="B432" s="34"/>
      <c r="C432" s="34"/>
      <c r="D432" s="17"/>
    </row>
    <row r="433" spans="1:5">
      <c r="A433" s="628" t="s">
        <v>252</v>
      </c>
      <c r="B433" s="629"/>
      <c r="C433" s="629"/>
      <c r="D433" s="629"/>
      <c r="E433" s="630"/>
    </row>
    <row r="434" spans="1:5">
      <c r="A434" s="303"/>
      <c r="B434" s="33"/>
      <c r="C434" s="33"/>
      <c r="D434" s="17"/>
    </row>
    <row r="435" spans="1:5">
      <c r="A435" s="303" t="s">
        <v>24</v>
      </c>
      <c r="B435" s="33">
        <v>11838000</v>
      </c>
      <c r="C435" s="33">
        <v>13839726</v>
      </c>
      <c r="D435" s="6">
        <v>13839726</v>
      </c>
      <c r="E435" s="221">
        <f t="shared" ref="E435:E476" si="14">D435/C435*100</f>
        <v>100</v>
      </c>
    </row>
    <row r="436" spans="1:5">
      <c r="A436" s="333" t="s">
        <v>46</v>
      </c>
      <c r="B436" s="33">
        <v>199000</v>
      </c>
      <c r="C436" s="33">
        <v>199000</v>
      </c>
      <c r="D436" s="17">
        <v>0</v>
      </c>
      <c r="E436" s="221">
        <f t="shared" si="14"/>
        <v>0</v>
      </c>
    </row>
    <row r="437" spans="1:5">
      <c r="A437" s="333" t="s">
        <v>329</v>
      </c>
      <c r="B437" s="82">
        <v>48000</v>
      </c>
      <c r="C437" s="82">
        <v>62591</v>
      </c>
      <c r="D437" s="6">
        <v>62591</v>
      </c>
      <c r="E437" s="221">
        <f t="shared" si="14"/>
        <v>100</v>
      </c>
    </row>
    <row r="438" spans="1:5">
      <c r="A438" s="333" t="s">
        <v>358</v>
      </c>
      <c r="B438" s="82">
        <v>20000</v>
      </c>
      <c r="C438" s="82">
        <v>20000</v>
      </c>
      <c r="D438" s="6">
        <v>0</v>
      </c>
      <c r="E438" s="221">
        <f t="shared" si="14"/>
        <v>0</v>
      </c>
    </row>
    <row r="439" spans="1:5">
      <c r="A439" s="333" t="s">
        <v>366</v>
      </c>
      <c r="B439" s="82">
        <v>0</v>
      </c>
      <c r="C439" s="82">
        <v>397918</v>
      </c>
      <c r="D439" s="6">
        <v>397918</v>
      </c>
      <c r="E439" s="221">
        <f t="shared" si="14"/>
        <v>100</v>
      </c>
    </row>
    <row r="440" spans="1:5">
      <c r="A440" s="333" t="s">
        <v>48</v>
      </c>
      <c r="B440" s="82">
        <v>432000</v>
      </c>
      <c r="C440" s="82">
        <v>425700</v>
      </c>
      <c r="D440" s="6">
        <v>406000</v>
      </c>
      <c r="E440" s="221">
        <f t="shared" si="14"/>
        <v>95.372327930467463</v>
      </c>
    </row>
    <row r="441" spans="1:5">
      <c r="A441" s="333" t="s">
        <v>59</v>
      </c>
      <c r="B441" s="82">
        <v>10000</v>
      </c>
      <c r="C441" s="82">
        <v>5100</v>
      </c>
      <c r="D441" s="17">
        <v>0</v>
      </c>
      <c r="E441" s="221">
        <f t="shared" si="14"/>
        <v>0</v>
      </c>
    </row>
    <row r="442" spans="1:5">
      <c r="A442" s="304" t="s">
        <v>198</v>
      </c>
      <c r="B442" s="11">
        <f>SUM(B435:B441)</f>
        <v>12547000</v>
      </c>
      <c r="C442" s="11">
        <f>SUM(C435:C441)</f>
        <v>14950035</v>
      </c>
      <c r="D442" s="11">
        <f>SUM(D435:D441)</f>
        <v>14706235</v>
      </c>
      <c r="E442" s="222">
        <f t="shared" si="14"/>
        <v>98.369234587076221</v>
      </c>
    </row>
    <row r="443" spans="1:5">
      <c r="A443" s="304"/>
      <c r="B443" s="33"/>
      <c r="C443" s="33"/>
      <c r="D443" s="17"/>
      <c r="E443" s="221"/>
    </row>
    <row r="444" spans="1:5">
      <c r="A444" s="303" t="s">
        <v>138</v>
      </c>
      <c r="B444" s="82">
        <v>3196000</v>
      </c>
      <c r="C444" s="82">
        <v>3871760</v>
      </c>
      <c r="D444" s="6">
        <v>3655894</v>
      </c>
      <c r="E444" s="221">
        <f t="shared" si="14"/>
        <v>94.424602764634173</v>
      </c>
    </row>
    <row r="445" spans="1:5">
      <c r="A445" s="303" t="s">
        <v>199</v>
      </c>
      <c r="B445" s="82">
        <v>83000</v>
      </c>
      <c r="C445" s="82">
        <v>96939</v>
      </c>
      <c r="D445" s="6">
        <v>96939</v>
      </c>
      <c r="E445" s="221">
        <f t="shared" si="14"/>
        <v>100</v>
      </c>
    </row>
    <row r="446" spans="1:5">
      <c r="A446" s="303" t="s">
        <v>45</v>
      </c>
      <c r="B446" s="82">
        <v>20000</v>
      </c>
      <c r="C446" s="82">
        <v>20000</v>
      </c>
      <c r="D446" s="6">
        <v>2023</v>
      </c>
      <c r="E446" s="221">
        <f t="shared" si="14"/>
        <v>10.115</v>
      </c>
    </row>
    <row r="447" spans="1:5">
      <c r="A447" s="303" t="s">
        <v>42</v>
      </c>
      <c r="B447" s="82">
        <v>49000</v>
      </c>
      <c r="C447" s="82">
        <v>57442</v>
      </c>
      <c r="D447" s="6">
        <v>57442</v>
      </c>
      <c r="E447" s="221">
        <f t="shared" si="14"/>
        <v>100</v>
      </c>
    </row>
    <row r="448" spans="1:5">
      <c r="A448" s="304" t="s">
        <v>200</v>
      </c>
      <c r="B448" s="34">
        <f>SUM(B444:B447)</f>
        <v>3348000</v>
      </c>
      <c r="C448" s="34">
        <f>SUM(C444:C447)</f>
        <v>4046141</v>
      </c>
      <c r="D448" s="11">
        <f>SUM(D444:D447)</f>
        <v>3812298</v>
      </c>
      <c r="E448" s="222">
        <f t="shared" si="14"/>
        <v>94.220591917088399</v>
      </c>
    </row>
    <row r="449" spans="1:5">
      <c r="A449" s="304"/>
      <c r="B449" s="34"/>
      <c r="C449" s="34"/>
      <c r="D449" s="17"/>
      <c r="E449" s="221"/>
    </row>
    <row r="450" spans="1:5">
      <c r="A450" s="333" t="s">
        <v>204</v>
      </c>
      <c r="B450" s="82">
        <v>10000</v>
      </c>
      <c r="C450" s="82">
        <v>9682</v>
      </c>
      <c r="D450" s="6">
        <v>9682</v>
      </c>
      <c r="E450" s="221">
        <f t="shared" si="14"/>
        <v>100</v>
      </c>
    </row>
    <row r="451" spans="1:5">
      <c r="A451" s="302" t="s">
        <v>203</v>
      </c>
      <c r="B451" s="82">
        <v>35000</v>
      </c>
      <c r="C451" s="82">
        <v>36457</v>
      </c>
      <c r="D451" s="6">
        <v>36457</v>
      </c>
      <c r="E451" s="221">
        <f t="shared" si="14"/>
        <v>100</v>
      </c>
    </row>
    <row r="452" spans="1:5">
      <c r="A452" s="302" t="s">
        <v>205</v>
      </c>
      <c r="B452" s="35">
        <v>40000</v>
      </c>
      <c r="C452" s="35">
        <v>0</v>
      </c>
      <c r="D452" s="17">
        <v>0</v>
      </c>
      <c r="E452" s="221">
        <v>0</v>
      </c>
    </row>
    <row r="453" spans="1:5">
      <c r="A453" s="334" t="s">
        <v>208</v>
      </c>
      <c r="B453" s="68">
        <f>SUM(B450:B452)</f>
        <v>85000</v>
      </c>
      <c r="C453" s="68">
        <f>SUM(C450:C452)</f>
        <v>46139</v>
      </c>
      <c r="D453" s="11">
        <f>SUM(D450:D452)</f>
        <v>46139</v>
      </c>
      <c r="E453" s="222">
        <f t="shared" si="14"/>
        <v>100</v>
      </c>
    </row>
    <row r="454" spans="1:5">
      <c r="A454" s="302" t="s">
        <v>272</v>
      </c>
      <c r="B454" s="35">
        <v>40000</v>
      </c>
      <c r="C454" s="35">
        <v>100156</v>
      </c>
      <c r="D454" s="6">
        <v>100156</v>
      </c>
      <c r="E454" s="221">
        <f t="shared" si="14"/>
        <v>100</v>
      </c>
    </row>
    <row r="455" spans="1:5">
      <c r="A455" s="302" t="s">
        <v>206</v>
      </c>
      <c r="B455" s="67">
        <v>20000</v>
      </c>
      <c r="C455" s="67">
        <v>2755</v>
      </c>
      <c r="D455" s="6">
        <v>2755</v>
      </c>
      <c r="E455" s="221">
        <f t="shared" si="14"/>
        <v>100</v>
      </c>
    </row>
    <row r="456" spans="1:5">
      <c r="A456" s="302" t="s">
        <v>273</v>
      </c>
      <c r="B456" s="35">
        <v>56000</v>
      </c>
      <c r="C456" s="35">
        <v>47244</v>
      </c>
      <c r="D456" s="6">
        <v>47244</v>
      </c>
      <c r="E456" s="221">
        <f t="shared" si="14"/>
        <v>100</v>
      </c>
    </row>
    <row r="457" spans="1:5">
      <c r="A457" s="302" t="s">
        <v>207</v>
      </c>
      <c r="B457" s="35">
        <v>100000</v>
      </c>
      <c r="C457" s="35">
        <v>172026</v>
      </c>
      <c r="D457" s="6">
        <v>172026</v>
      </c>
      <c r="E457" s="221">
        <f t="shared" si="14"/>
        <v>100</v>
      </c>
    </row>
    <row r="458" spans="1:5">
      <c r="A458" s="334" t="s">
        <v>209</v>
      </c>
      <c r="B458" s="68">
        <f>SUM(B454:B457)</f>
        <v>216000</v>
      </c>
      <c r="C458" s="68">
        <f>SUM(C454:C457)</f>
        <v>322181</v>
      </c>
      <c r="D458" s="11">
        <f>SUM(D454:D457)</f>
        <v>322181</v>
      </c>
      <c r="E458" s="222">
        <f t="shared" si="14"/>
        <v>100</v>
      </c>
    </row>
    <row r="459" spans="1:5">
      <c r="A459" s="301" t="s">
        <v>212</v>
      </c>
      <c r="B459" s="35">
        <v>90000</v>
      </c>
      <c r="C459" s="35">
        <v>95700</v>
      </c>
      <c r="D459" s="6">
        <v>95700</v>
      </c>
      <c r="E459" s="221">
        <f t="shared" si="14"/>
        <v>100</v>
      </c>
    </row>
    <row r="460" spans="1:5">
      <c r="A460" s="302" t="s">
        <v>211</v>
      </c>
      <c r="B460" s="35">
        <v>60000</v>
      </c>
      <c r="C460" s="35">
        <v>98095</v>
      </c>
      <c r="D460" s="6">
        <v>98095</v>
      </c>
      <c r="E460" s="221">
        <f t="shared" si="14"/>
        <v>100</v>
      </c>
    </row>
    <row r="461" spans="1:5">
      <c r="A461" s="328" t="s">
        <v>210</v>
      </c>
      <c r="B461" s="68">
        <f>SUM(B459:B460)</f>
        <v>150000</v>
      </c>
      <c r="C461" s="68">
        <f>SUM(C459:C460)</f>
        <v>193795</v>
      </c>
      <c r="D461" s="11">
        <f>SUM(D459:D460)</f>
        <v>193795</v>
      </c>
      <c r="E461" s="222">
        <f t="shared" si="14"/>
        <v>100</v>
      </c>
    </row>
    <row r="462" spans="1:5">
      <c r="A462" s="302" t="s">
        <v>223</v>
      </c>
      <c r="B462" s="67">
        <v>400000</v>
      </c>
      <c r="C462" s="67">
        <v>275449</v>
      </c>
      <c r="D462" s="6">
        <v>275449</v>
      </c>
      <c r="E462" s="221">
        <f t="shared" si="14"/>
        <v>100</v>
      </c>
    </row>
    <row r="463" spans="1:5">
      <c r="A463" s="302" t="s">
        <v>224</v>
      </c>
      <c r="B463" s="67">
        <v>90000</v>
      </c>
      <c r="C463" s="67">
        <v>81850</v>
      </c>
      <c r="D463" s="6">
        <v>81850</v>
      </c>
      <c r="E463" s="221">
        <f t="shared" si="14"/>
        <v>100</v>
      </c>
    </row>
    <row r="464" spans="1:5">
      <c r="A464" s="302" t="s">
        <v>297</v>
      </c>
      <c r="B464" s="67">
        <v>160000</v>
      </c>
      <c r="C464" s="67">
        <v>81747</v>
      </c>
      <c r="D464" s="6">
        <v>81747</v>
      </c>
      <c r="E464" s="221">
        <f t="shared" si="14"/>
        <v>100</v>
      </c>
    </row>
    <row r="465" spans="1:5">
      <c r="A465" s="328" t="s">
        <v>213</v>
      </c>
      <c r="B465" s="68">
        <f>SUM(B462:B464)</f>
        <v>650000</v>
      </c>
      <c r="C465" s="68">
        <f>SUM(C462:C464)</f>
        <v>439046</v>
      </c>
      <c r="D465" s="11">
        <f>SUM(D462:D464)</f>
        <v>439046</v>
      </c>
      <c r="E465" s="222">
        <f t="shared" si="14"/>
        <v>100</v>
      </c>
    </row>
    <row r="466" spans="1:5">
      <c r="A466" s="302" t="s">
        <v>227</v>
      </c>
      <c r="B466" s="67">
        <v>100000</v>
      </c>
      <c r="C466" s="67">
        <v>131525</v>
      </c>
      <c r="D466" s="6">
        <v>131525</v>
      </c>
      <c r="E466" s="221">
        <f t="shared" si="14"/>
        <v>100</v>
      </c>
    </row>
    <row r="467" spans="1:5">
      <c r="A467" s="302" t="s">
        <v>214</v>
      </c>
      <c r="B467" s="35">
        <v>60000</v>
      </c>
      <c r="C467" s="35">
        <v>6348</v>
      </c>
      <c r="D467" s="17">
        <v>0</v>
      </c>
      <c r="E467" s="221">
        <f t="shared" si="14"/>
        <v>0</v>
      </c>
    </row>
    <row r="468" spans="1:5">
      <c r="A468" s="302" t="s">
        <v>219</v>
      </c>
      <c r="B468" s="35">
        <v>100000</v>
      </c>
      <c r="C468" s="35">
        <v>105619</v>
      </c>
      <c r="D468" s="6">
        <v>105619</v>
      </c>
      <c r="E468" s="221">
        <f t="shared" si="14"/>
        <v>100</v>
      </c>
    </row>
    <row r="469" spans="1:5">
      <c r="A469" s="328" t="s">
        <v>216</v>
      </c>
      <c r="B469" s="68">
        <f>SUM(B466:B468)</f>
        <v>260000</v>
      </c>
      <c r="C469" s="68">
        <f>SUM(C466:C468)</f>
        <v>243492</v>
      </c>
      <c r="D469" s="11">
        <f>SUM(D466:D468)</f>
        <v>237144</v>
      </c>
      <c r="E469" s="222">
        <f t="shared" si="14"/>
        <v>97.392932827361889</v>
      </c>
    </row>
    <row r="470" spans="1:5">
      <c r="A470" s="302" t="s">
        <v>215</v>
      </c>
      <c r="B470" s="35">
        <v>0</v>
      </c>
      <c r="C470" s="35">
        <v>11855</v>
      </c>
      <c r="D470" s="6">
        <v>11855</v>
      </c>
      <c r="E470" s="221">
        <f t="shared" si="14"/>
        <v>100</v>
      </c>
    </row>
    <row r="471" spans="1:5">
      <c r="A471" s="328" t="s">
        <v>217</v>
      </c>
      <c r="B471" s="68">
        <f>SUM(B470:B470)</f>
        <v>0</v>
      </c>
      <c r="C471" s="68">
        <f>SUM(C470)</f>
        <v>11855</v>
      </c>
      <c r="D471" s="11">
        <f>SUM(D470)</f>
        <v>11855</v>
      </c>
      <c r="E471" s="222">
        <f t="shared" si="14"/>
        <v>100</v>
      </c>
    </row>
    <row r="472" spans="1:5">
      <c r="A472" s="302" t="s">
        <v>226</v>
      </c>
      <c r="B472" s="67">
        <f>(B450+B451+B454+B455+B456+B457+B459+B460+B462+B463+B464+B466+B468+B452+B467)*0.27</f>
        <v>367470</v>
      </c>
      <c r="C472" s="67">
        <v>322378</v>
      </c>
      <c r="D472" s="6">
        <v>310333</v>
      </c>
      <c r="E472" s="221">
        <f t="shared" si="14"/>
        <v>96.263702858135474</v>
      </c>
    </row>
    <row r="473" spans="1:5" ht="22.5">
      <c r="A473" s="334" t="s">
        <v>221</v>
      </c>
      <c r="B473" s="68">
        <f>SUM(B472:B472)</f>
        <v>367470</v>
      </c>
      <c r="C473" s="68">
        <f>SUM(C472)</f>
        <v>322378</v>
      </c>
      <c r="D473" s="11">
        <f>SUM(D472)</f>
        <v>310333</v>
      </c>
      <c r="E473" s="222">
        <f t="shared" si="14"/>
        <v>96.263702858135474</v>
      </c>
    </row>
    <row r="474" spans="1:5">
      <c r="A474" s="173" t="s">
        <v>222</v>
      </c>
      <c r="B474" s="68">
        <f>B453+B458+B461+B465+B469+B471+B473</f>
        <v>1728470</v>
      </c>
      <c r="C474" s="68">
        <f>SUM(C453+C458+C461+C465+C469+C471+C473)</f>
        <v>1578886</v>
      </c>
      <c r="D474" s="11">
        <f>SUM(D473,D471,D469,D465,D461,D458,D453)</f>
        <v>1560493</v>
      </c>
      <c r="E474" s="222">
        <f t="shared" si="14"/>
        <v>98.835064722848898</v>
      </c>
    </row>
    <row r="475" spans="1:5">
      <c r="A475" s="173"/>
      <c r="B475" s="67"/>
      <c r="C475" s="67"/>
      <c r="D475" s="17"/>
      <c r="E475" s="222"/>
    </row>
    <row r="476" spans="1:5">
      <c r="A476" s="330" t="s">
        <v>18</v>
      </c>
      <c r="B476" s="68">
        <f>B442+B448+B474</f>
        <v>17623470</v>
      </c>
      <c r="C476" s="68">
        <f>SUM(C442+C448+C474)</f>
        <v>20575062</v>
      </c>
      <c r="D476" s="11">
        <f>SUM(D442+D448+D474)</f>
        <v>20079026</v>
      </c>
      <c r="E476" s="222">
        <f t="shared" si="14"/>
        <v>97.589139707088123</v>
      </c>
    </row>
    <row r="477" spans="1:5">
      <c r="A477" s="330"/>
      <c r="B477" s="68"/>
      <c r="C477" s="68"/>
      <c r="D477" s="17"/>
    </row>
    <row r="478" spans="1:5">
      <c r="A478" s="628" t="s">
        <v>253</v>
      </c>
      <c r="B478" s="629"/>
      <c r="C478" s="629"/>
      <c r="D478" s="629"/>
      <c r="E478" s="630"/>
    </row>
    <row r="479" spans="1:5">
      <c r="A479" s="303"/>
      <c r="B479" s="33"/>
      <c r="C479" s="33"/>
      <c r="D479" s="17"/>
    </row>
    <row r="480" spans="1:5">
      <c r="A480" s="303" t="s">
        <v>25</v>
      </c>
      <c r="B480" s="33">
        <v>20038000</v>
      </c>
      <c r="C480" s="33">
        <v>22128019</v>
      </c>
      <c r="D480" s="6">
        <v>20401676</v>
      </c>
      <c r="E480" s="221">
        <f t="shared" ref="E480:E515" si="15">D480/C480*100</f>
        <v>92.19838431989777</v>
      </c>
    </row>
    <row r="481" spans="1:5">
      <c r="A481" s="333" t="s">
        <v>46</v>
      </c>
      <c r="B481" s="33">
        <v>307000</v>
      </c>
      <c r="C481" s="33">
        <v>307000</v>
      </c>
      <c r="D481" s="17">
        <v>0</v>
      </c>
      <c r="E481" s="221">
        <f t="shared" si="15"/>
        <v>0</v>
      </c>
    </row>
    <row r="482" spans="1:5">
      <c r="A482" s="333" t="s">
        <v>329</v>
      </c>
      <c r="B482" s="82">
        <v>78000</v>
      </c>
      <c r="C482" s="82">
        <v>333123</v>
      </c>
      <c r="D482" s="6">
        <v>333123</v>
      </c>
      <c r="E482" s="221">
        <f t="shared" si="15"/>
        <v>100</v>
      </c>
    </row>
    <row r="483" spans="1:5">
      <c r="A483" s="333" t="s">
        <v>59</v>
      </c>
      <c r="B483" s="82">
        <v>6000</v>
      </c>
      <c r="C483" s="82">
        <v>3954</v>
      </c>
      <c r="D483" s="17">
        <v>0</v>
      </c>
      <c r="E483" s="221">
        <f t="shared" si="15"/>
        <v>0</v>
      </c>
    </row>
    <row r="484" spans="1:5">
      <c r="A484" s="333" t="s">
        <v>342</v>
      </c>
      <c r="B484" s="82"/>
      <c r="C484" s="82">
        <v>954169</v>
      </c>
      <c r="D484" s="6">
        <v>954169</v>
      </c>
      <c r="E484" s="221">
        <f t="shared" si="15"/>
        <v>100</v>
      </c>
    </row>
    <row r="485" spans="1:5">
      <c r="A485" s="304" t="s">
        <v>198</v>
      </c>
      <c r="B485" s="83">
        <f>SUM(B480:B483)</f>
        <v>20429000</v>
      </c>
      <c r="C485" s="83">
        <f>SUM(C480:C484)</f>
        <v>23726265</v>
      </c>
      <c r="D485" s="11">
        <f>SUM(D480:D484)</f>
        <v>21688968</v>
      </c>
      <c r="E485" s="222">
        <f t="shared" si="15"/>
        <v>91.413326117701217</v>
      </c>
    </row>
    <row r="486" spans="1:5">
      <c r="A486" s="304"/>
      <c r="B486" s="83"/>
      <c r="C486" s="83"/>
      <c r="D486" s="17"/>
      <c r="E486" s="221"/>
    </row>
    <row r="487" spans="1:5">
      <c r="A487" s="303" t="s">
        <v>138</v>
      </c>
      <c r="B487" s="82">
        <v>5410000</v>
      </c>
      <c r="C487" s="82">
        <v>5601886</v>
      </c>
      <c r="D487" s="6">
        <v>5593628</v>
      </c>
      <c r="E487" s="221">
        <f t="shared" si="15"/>
        <v>99.852585361430059</v>
      </c>
    </row>
    <row r="488" spans="1:5">
      <c r="A488" s="303" t="s">
        <v>199</v>
      </c>
      <c r="B488" s="82">
        <v>126000</v>
      </c>
      <c r="C488" s="82">
        <v>176141</v>
      </c>
      <c r="D488" s="6">
        <v>176141</v>
      </c>
      <c r="E488" s="221">
        <f t="shared" si="15"/>
        <v>100</v>
      </c>
    </row>
    <row r="489" spans="1:5">
      <c r="A489" s="303" t="s">
        <v>367</v>
      </c>
      <c r="B489" s="82"/>
      <c r="C489" s="82">
        <v>204930</v>
      </c>
      <c r="D489" s="6">
        <v>204930</v>
      </c>
      <c r="E489" s="221">
        <f t="shared" si="15"/>
        <v>100</v>
      </c>
    </row>
    <row r="490" spans="1:5">
      <c r="A490" s="303" t="s">
        <v>42</v>
      </c>
      <c r="B490" s="82">
        <v>74000</v>
      </c>
      <c r="C490" s="82">
        <v>122660</v>
      </c>
      <c r="D490" s="6">
        <v>122660</v>
      </c>
      <c r="E490" s="221">
        <f t="shared" si="15"/>
        <v>100</v>
      </c>
    </row>
    <row r="491" spans="1:5">
      <c r="A491" s="304" t="s">
        <v>200</v>
      </c>
      <c r="B491" s="83">
        <f>SUM(B487:B490)</f>
        <v>5610000</v>
      </c>
      <c r="C491" s="83">
        <f>SUM(C487:C490)</f>
        <v>6105617</v>
      </c>
      <c r="D491" s="11">
        <f>SUM(D487:D490)</f>
        <v>6097359</v>
      </c>
      <c r="E491" s="222">
        <f t="shared" si="15"/>
        <v>99.86474749398792</v>
      </c>
    </row>
    <row r="492" spans="1:5">
      <c r="A492" s="304"/>
      <c r="B492" s="34"/>
      <c r="C492" s="34"/>
      <c r="D492" s="17"/>
      <c r="E492" s="221"/>
    </row>
    <row r="493" spans="1:5">
      <c r="A493" s="333" t="s">
        <v>204</v>
      </c>
      <c r="B493" s="82">
        <v>10000</v>
      </c>
      <c r="C493" s="82">
        <v>2577</v>
      </c>
      <c r="D493" s="6">
        <v>2577</v>
      </c>
      <c r="E493" s="221">
        <f t="shared" si="15"/>
        <v>100</v>
      </c>
    </row>
    <row r="494" spans="1:5">
      <c r="A494" s="302" t="s">
        <v>205</v>
      </c>
      <c r="B494" s="35">
        <v>75000</v>
      </c>
      <c r="C494" s="35">
        <v>0</v>
      </c>
      <c r="D494" s="17">
        <v>0</v>
      </c>
      <c r="E494" s="221">
        <v>0</v>
      </c>
    </row>
    <row r="495" spans="1:5">
      <c r="A495" s="334" t="s">
        <v>208</v>
      </c>
      <c r="B495" s="68">
        <f>SUM(B493:B494)</f>
        <v>85000</v>
      </c>
      <c r="C495" s="68">
        <f>SUM(C493:C494)</f>
        <v>2577</v>
      </c>
      <c r="D495" s="11">
        <f>SUM(D493:D494)</f>
        <v>2577</v>
      </c>
      <c r="E495" s="222">
        <f t="shared" si="15"/>
        <v>100</v>
      </c>
    </row>
    <row r="496" spans="1:5">
      <c r="A496" s="302" t="s">
        <v>272</v>
      </c>
      <c r="B496" s="35">
        <v>60000</v>
      </c>
      <c r="C496" s="35">
        <v>59919</v>
      </c>
      <c r="D496" s="6">
        <v>59919</v>
      </c>
      <c r="E496" s="221">
        <f t="shared" si="15"/>
        <v>100</v>
      </c>
    </row>
    <row r="497" spans="1:5">
      <c r="A497" s="302" t="s">
        <v>206</v>
      </c>
      <c r="B497" s="67">
        <v>15000</v>
      </c>
      <c r="C497" s="67">
        <v>24745</v>
      </c>
      <c r="D497" s="6">
        <v>24745</v>
      </c>
      <c r="E497" s="221">
        <f t="shared" si="15"/>
        <v>100</v>
      </c>
    </row>
    <row r="498" spans="1:5">
      <c r="A498" s="302" t="s">
        <v>273</v>
      </c>
      <c r="B498" s="67">
        <v>88000</v>
      </c>
      <c r="C498" s="67">
        <v>86614</v>
      </c>
      <c r="D498" s="6">
        <v>86614</v>
      </c>
      <c r="E498" s="221">
        <f t="shared" si="15"/>
        <v>100</v>
      </c>
    </row>
    <row r="499" spans="1:5">
      <c r="A499" s="302" t="s">
        <v>207</v>
      </c>
      <c r="B499" s="35">
        <v>90000</v>
      </c>
      <c r="C499" s="35">
        <v>164424</v>
      </c>
      <c r="D499" s="6">
        <v>164424</v>
      </c>
      <c r="E499" s="221">
        <f t="shared" si="15"/>
        <v>100</v>
      </c>
    </row>
    <row r="500" spans="1:5">
      <c r="A500" s="334" t="s">
        <v>209</v>
      </c>
      <c r="B500" s="68">
        <f>SUM(B496:B499)</f>
        <v>253000</v>
      </c>
      <c r="C500" s="68">
        <f>SUM(C496:C499)</f>
        <v>335702</v>
      </c>
      <c r="D500" s="11">
        <f>SUM(D496:D499)</f>
        <v>335702</v>
      </c>
      <c r="E500" s="222">
        <f t="shared" si="15"/>
        <v>100</v>
      </c>
    </row>
    <row r="501" spans="1:5">
      <c r="A501" s="301" t="s">
        <v>212</v>
      </c>
      <c r="B501" s="35">
        <v>50000</v>
      </c>
      <c r="C501" s="35">
        <v>45674</v>
      </c>
      <c r="D501" s="6">
        <v>45674</v>
      </c>
      <c r="E501" s="221">
        <f t="shared" si="15"/>
        <v>100</v>
      </c>
    </row>
    <row r="502" spans="1:5">
      <c r="A502" s="302" t="s">
        <v>211</v>
      </c>
      <c r="B502" s="35">
        <v>90000</v>
      </c>
      <c r="C502" s="35">
        <v>94443</v>
      </c>
      <c r="D502" s="6">
        <v>94443</v>
      </c>
      <c r="E502" s="221">
        <f t="shared" si="15"/>
        <v>100</v>
      </c>
    </row>
    <row r="503" spans="1:5">
      <c r="A503" s="328" t="s">
        <v>210</v>
      </c>
      <c r="B503" s="68">
        <f>SUM(B501:B502)</f>
        <v>140000</v>
      </c>
      <c r="C503" s="68">
        <f>SUM(C501:C502)</f>
        <v>140117</v>
      </c>
      <c r="D503" s="11">
        <f>SUM(D501:D502)</f>
        <v>140117</v>
      </c>
      <c r="E503" s="222">
        <f t="shared" si="15"/>
        <v>100</v>
      </c>
    </row>
    <row r="504" spans="1:5">
      <c r="A504" s="302" t="s">
        <v>223</v>
      </c>
      <c r="B504" s="67">
        <v>340000</v>
      </c>
      <c r="C504" s="67">
        <v>341163</v>
      </c>
      <c r="D504" s="6">
        <v>341163</v>
      </c>
      <c r="E504" s="221">
        <f t="shared" si="15"/>
        <v>100</v>
      </c>
    </row>
    <row r="505" spans="1:5">
      <c r="A505" s="302" t="s">
        <v>224</v>
      </c>
      <c r="B505" s="67">
        <v>90000</v>
      </c>
      <c r="C505" s="67">
        <v>122369</v>
      </c>
      <c r="D505" s="6">
        <v>122369</v>
      </c>
      <c r="E505" s="221">
        <f t="shared" si="15"/>
        <v>100</v>
      </c>
    </row>
    <row r="506" spans="1:5">
      <c r="A506" s="302" t="s">
        <v>297</v>
      </c>
      <c r="B506" s="67">
        <v>120000</v>
      </c>
      <c r="C506" s="67">
        <v>107438</v>
      </c>
      <c r="D506" s="6">
        <v>70753</v>
      </c>
      <c r="E506" s="221">
        <f t="shared" si="15"/>
        <v>65.854725516111628</v>
      </c>
    </row>
    <row r="507" spans="1:5">
      <c r="A507" s="328" t="s">
        <v>213</v>
      </c>
      <c r="B507" s="68">
        <f>SUM(B504:B506)</f>
        <v>550000</v>
      </c>
      <c r="C507" s="68">
        <f>SUM(C504:C506)</f>
        <v>570970</v>
      </c>
      <c r="D507" s="11">
        <f>SUM(D504:D506)</f>
        <v>534285</v>
      </c>
      <c r="E507" s="222">
        <f t="shared" si="15"/>
        <v>93.574968912552322</v>
      </c>
    </row>
    <row r="508" spans="1:5">
      <c r="A508" s="302" t="s">
        <v>227</v>
      </c>
      <c r="B508" s="67">
        <v>120000</v>
      </c>
      <c r="C508" s="67">
        <v>87960</v>
      </c>
      <c r="D508" s="6">
        <v>87960</v>
      </c>
      <c r="E508" s="221">
        <f t="shared" si="15"/>
        <v>100</v>
      </c>
    </row>
    <row r="509" spans="1:5">
      <c r="A509" s="302" t="s">
        <v>219</v>
      </c>
      <c r="B509" s="35">
        <v>60000</v>
      </c>
      <c r="C509" s="35">
        <v>53168</v>
      </c>
      <c r="D509" s="6">
        <v>53168</v>
      </c>
      <c r="E509" s="221">
        <f t="shared" si="15"/>
        <v>100</v>
      </c>
    </row>
    <row r="510" spans="1:5">
      <c r="A510" s="328" t="s">
        <v>216</v>
      </c>
      <c r="B510" s="68">
        <f>SUM(B508:B509)</f>
        <v>180000</v>
      </c>
      <c r="C510" s="68">
        <f>SUM(C508:C509)</f>
        <v>141128</v>
      </c>
      <c r="D510" s="11">
        <f>SUM(D508:D509)</f>
        <v>141128</v>
      </c>
      <c r="E510" s="222">
        <f t="shared" si="15"/>
        <v>100</v>
      </c>
    </row>
    <row r="511" spans="1:5">
      <c r="A511" s="302" t="s">
        <v>226</v>
      </c>
      <c r="B511" s="67">
        <f>(B493+B494+B497+B498+B501+B502+B504+B505+B506+B508+B496+B499+B509)*0.27</f>
        <v>326160</v>
      </c>
      <c r="C511" s="67">
        <v>299465</v>
      </c>
      <c r="D511" s="6">
        <v>299465</v>
      </c>
      <c r="E511" s="221">
        <f t="shared" si="15"/>
        <v>100</v>
      </c>
    </row>
    <row r="512" spans="1:5" ht="22.5">
      <c r="A512" s="334" t="s">
        <v>221</v>
      </c>
      <c r="B512" s="68">
        <f>SUM(B511:B511)</f>
        <v>326160</v>
      </c>
      <c r="C512" s="68">
        <f>SUM(C511)</f>
        <v>299465</v>
      </c>
      <c r="D512" s="11">
        <f>SUM(D511)</f>
        <v>299465</v>
      </c>
      <c r="E512" s="222">
        <f t="shared" si="15"/>
        <v>100</v>
      </c>
    </row>
    <row r="513" spans="1:5">
      <c r="A513" s="173" t="s">
        <v>222</v>
      </c>
      <c r="B513" s="68">
        <f>B495+B500+B503+B507+B510+B512</f>
        <v>1534160</v>
      </c>
      <c r="C513" s="68">
        <f>SUM(C495+C500+C503+C507+C510+C512)</f>
        <v>1489959</v>
      </c>
      <c r="D513" s="11">
        <f>SUM(D495+D500+D503+D507+D510+D512)</f>
        <v>1453274</v>
      </c>
      <c r="E513" s="222">
        <f t="shared" si="15"/>
        <v>97.537851712698128</v>
      </c>
    </row>
    <row r="514" spans="1:5">
      <c r="A514" s="173"/>
      <c r="B514" s="36"/>
      <c r="C514" s="36"/>
      <c r="D514" s="17"/>
      <c r="E514" s="222"/>
    </row>
    <row r="515" spans="1:5">
      <c r="A515" s="330" t="s">
        <v>18</v>
      </c>
      <c r="B515" s="34">
        <f>B485+B491+B513</f>
        <v>27573160</v>
      </c>
      <c r="C515" s="34">
        <f>SUM(C485+C491+C513)</f>
        <v>31321841</v>
      </c>
      <c r="D515" s="11">
        <f>SUM(D485+D491+D513)</f>
        <v>29239601</v>
      </c>
      <c r="E515" s="222">
        <f t="shared" si="15"/>
        <v>93.352114902824525</v>
      </c>
    </row>
    <row r="516" spans="1:5">
      <c r="A516" s="330"/>
      <c r="B516" s="36"/>
      <c r="C516" s="36"/>
      <c r="D516" s="17"/>
    </row>
    <row r="517" spans="1:5">
      <c r="A517" s="628" t="s">
        <v>254</v>
      </c>
      <c r="B517" s="629"/>
      <c r="C517" s="629"/>
      <c r="D517" s="629"/>
      <c r="E517" s="630"/>
    </row>
    <row r="518" spans="1:5">
      <c r="A518" s="332"/>
      <c r="B518" s="34"/>
      <c r="C518" s="34"/>
      <c r="D518" s="17"/>
    </row>
    <row r="519" spans="1:5">
      <c r="A519" s="303" t="s">
        <v>72</v>
      </c>
      <c r="B519" s="33">
        <v>3808000</v>
      </c>
      <c r="C519" s="33">
        <v>4599190</v>
      </c>
      <c r="D519" s="6">
        <v>4599190</v>
      </c>
      <c r="E519" s="221">
        <f t="shared" ref="E519:E556" si="16">D519/C519*100</f>
        <v>100</v>
      </c>
    </row>
    <row r="520" spans="1:5">
      <c r="A520" s="333" t="s">
        <v>46</v>
      </c>
      <c r="B520" s="33">
        <v>72000</v>
      </c>
      <c r="C520" s="33">
        <v>72000</v>
      </c>
      <c r="D520" s="17">
        <v>0</v>
      </c>
      <c r="E520" s="221">
        <f t="shared" si="16"/>
        <v>0</v>
      </c>
    </row>
    <row r="521" spans="1:5">
      <c r="A521" s="333" t="s">
        <v>329</v>
      </c>
      <c r="B521" s="33">
        <v>12000</v>
      </c>
      <c r="C521" s="33">
        <v>18319</v>
      </c>
      <c r="D521" s="6">
        <v>18319</v>
      </c>
      <c r="E521" s="221">
        <f t="shared" si="16"/>
        <v>100</v>
      </c>
    </row>
    <row r="522" spans="1:5">
      <c r="A522" s="333" t="s">
        <v>358</v>
      </c>
      <c r="B522" s="33">
        <v>50000</v>
      </c>
      <c r="C522" s="33">
        <v>26925</v>
      </c>
      <c r="D522" s="6">
        <v>7316</v>
      </c>
      <c r="E522" s="221">
        <f t="shared" si="16"/>
        <v>27.171773444753946</v>
      </c>
    </row>
    <row r="523" spans="1:5">
      <c r="A523" s="333" t="s">
        <v>59</v>
      </c>
      <c r="B523" s="33">
        <v>6000</v>
      </c>
      <c r="C523" s="33">
        <v>0</v>
      </c>
      <c r="D523" s="17">
        <v>0</v>
      </c>
      <c r="E523" s="221">
        <v>0</v>
      </c>
    </row>
    <row r="524" spans="1:5">
      <c r="A524" s="333" t="s">
        <v>342</v>
      </c>
      <c r="B524" s="33"/>
      <c r="C524" s="33">
        <v>171200</v>
      </c>
      <c r="D524" s="6">
        <v>171200</v>
      </c>
      <c r="E524" s="221">
        <f t="shared" si="16"/>
        <v>100</v>
      </c>
    </row>
    <row r="525" spans="1:5">
      <c r="A525" s="304" t="s">
        <v>198</v>
      </c>
      <c r="B525" s="34">
        <f>SUM(B519:B523)</f>
        <v>3948000</v>
      </c>
      <c r="C525" s="34">
        <f>SUM(C519:C524)</f>
        <v>4887634</v>
      </c>
      <c r="D525" s="11">
        <f>SUM(D519:D524)</f>
        <v>4796025</v>
      </c>
      <c r="E525" s="222">
        <f t="shared" si="16"/>
        <v>98.125698446323923</v>
      </c>
    </row>
    <row r="526" spans="1:5">
      <c r="A526" s="304"/>
      <c r="B526" s="34"/>
      <c r="C526" s="34"/>
      <c r="D526" s="17"/>
      <c r="E526" s="221"/>
    </row>
    <row r="527" spans="1:5">
      <c r="A527" s="303" t="s">
        <v>138</v>
      </c>
      <c r="B527" s="82">
        <v>1028000</v>
      </c>
      <c r="C527" s="82">
        <v>1254509</v>
      </c>
      <c r="D527" s="6">
        <v>1254509</v>
      </c>
      <c r="E527" s="221">
        <f t="shared" si="16"/>
        <v>100</v>
      </c>
    </row>
    <row r="528" spans="1:5">
      <c r="A528" s="303" t="s">
        <v>199</v>
      </c>
      <c r="B528" s="82">
        <v>29000</v>
      </c>
      <c r="C528" s="82">
        <v>45754</v>
      </c>
      <c r="D528" s="6">
        <v>45754</v>
      </c>
      <c r="E528" s="221">
        <f t="shared" si="16"/>
        <v>100</v>
      </c>
    </row>
    <row r="529" spans="1:5">
      <c r="A529" s="303" t="s">
        <v>45</v>
      </c>
      <c r="B529" s="33">
        <v>10000</v>
      </c>
      <c r="C529" s="33">
        <v>10000</v>
      </c>
      <c r="D529" s="6">
        <v>4378</v>
      </c>
      <c r="E529" s="221">
        <f t="shared" si="16"/>
        <v>43.78</v>
      </c>
    </row>
    <row r="530" spans="1:5">
      <c r="A530" s="303" t="s">
        <v>42</v>
      </c>
      <c r="B530" s="33">
        <v>17000</v>
      </c>
      <c r="C530" s="33">
        <v>27112</v>
      </c>
      <c r="D530" s="6">
        <v>27112</v>
      </c>
      <c r="E530" s="221">
        <f t="shared" si="16"/>
        <v>100</v>
      </c>
    </row>
    <row r="531" spans="1:5">
      <c r="A531" s="304" t="s">
        <v>200</v>
      </c>
      <c r="B531" s="83">
        <f>SUM(B527:B530)</f>
        <v>1084000</v>
      </c>
      <c r="C531" s="83">
        <f>SUM(C527:C530)</f>
        <v>1337375</v>
      </c>
      <c r="D531" s="11">
        <f>SUM(D527:D530)</f>
        <v>1331753</v>
      </c>
      <c r="E531" s="222">
        <f t="shared" si="16"/>
        <v>99.57962426394991</v>
      </c>
    </row>
    <row r="532" spans="1:5">
      <c r="A532" s="304"/>
      <c r="B532" s="34"/>
      <c r="C532" s="34"/>
      <c r="D532" s="17"/>
      <c r="E532" s="221"/>
    </row>
    <row r="533" spans="1:5">
      <c r="A533" s="302" t="s">
        <v>205</v>
      </c>
      <c r="B533" s="35">
        <v>20000</v>
      </c>
      <c r="C533" s="35">
        <v>0</v>
      </c>
      <c r="D533" s="17">
        <v>0</v>
      </c>
      <c r="E533" s="221">
        <v>0</v>
      </c>
    </row>
    <row r="534" spans="1:5">
      <c r="A534" s="334" t="s">
        <v>208</v>
      </c>
      <c r="B534" s="68">
        <f>SUM(B533:B533)</f>
        <v>20000</v>
      </c>
      <c r="C534" s="68">
        <f>SUM(C533)</f>
        <v>0</v>
      </c>
      <c r="D534" s="70">
        <f>SUM(D533)</f>
        <v>0</v>
      </c>
      <c r="E534" s="222">
        <v>0</v>
      </c>
    </row>
    <row r="535" spans="1:5">
      <c r="A535" s="302" t="s">
        <v>272</v>
      </c>
      <c r="B535" s="67">
        <v>90000</v>
      </c>
      <c r="C535" s="67">
        <v>39097</v>
      </c>
      <c r="D535" s="6">
        <v>39097</v>
      </c>
      <c r="E535" s="221">
        <f t="shared" si="16"/>
        <v>100</v>
      </c>
    </row>
    <row r="536" spans="1:5">
      <c r="A536" s="302" t="s">
        <v>273</v>
      </c>
      <c r="B536" s="35">
        <v>16000</v>
      </c>
      <c r="C536" s="35">
        <v>15748</v>
      </c>
      <c r="D536" s="6">
        <v>15748</v>
      </c>
      <c r="E536" s="221">
        <f t="shared" si="16"/>
        <v>100</v>
      </c>
    </row>
    <row r="537" spans="1:5">
      <c r="A537" s="302" t="s">
        <v>207</v>
      </c>
      <c r="B537" s="35">
        <v>50000</v>
      </c>
      <c r="C537" s="35">
        <v>196196</v>
      </c>
      <c r="D537" s="6">
        <v>196196</v>
      </c>
      <c r="E537" s="221">
        <f t="shared" si="16"/>
        <v>100</v>
      </c>
    </row>
    <row r="538" spans="1:5">
      <c r="A538" s="334" t="s">
        <v>209</v>
      </c>
      <c r="B538" s="68">
        <f>SUM(B535:B537)</f>
        <v>156000</v>
      </c>
      <c r="C538" s="68">
        <f>SUM(C535:C537)</f>
        <v>251041</v>
      </c>
      <c r="D538" s="11">
        <f>SUM(D535:D537)</f>
        <v>251041</v>
      </c>
      <c r="E538" s="222">
        <f t="shared" si="16"/>
        <v>100</v>
      </c>
    </row>
    <row r="539" spans="1:5">
      <c r="A539" s="301" t="s">
        <v>212</v>
      </c>
      <c r="B539" s="35">
        <v>210000</v>
      </c>
      <c r="C539" s="35">
        <v>198467</v>
      </c>
      <c r="D539" s="6">
        <v>198467</v>
      </c>
      <c r="E539" s="221">
        <f t="shared" si="16"/>
        <v>100</v>
      </c>
    </row>
    <row r="540" spans="1:5">
      <c r="A540" s="302" t="s">
        <v>211</v>
      </c>
      <c r="B540" s="35">
        <v>100000</v>
      </c>
      <c r="C540" s="35">
        <v>82395</v>
      </c>
      <c r="D540" s="6">
        <v>82395</v>
      </c>
      <c r="E540" s="221">
        <f t="shared" si="16"/>
        <v>100</v>
      </c>
    </row>
    <row r="541" spans="1:5">
      <c r="A541" s="328" t="s">
        <v>210</v>
      </c>
      <c r="B541" s="68">
        <f>SUM(B539:B540)</f>
        <v>310000</v>
      </c>
      <c r="C541" s="68">
        <f>SUM(C539:C540)</f>
        <v>280862</v>
      </c>
      <c r="D541" s="11">
        <f>SUM(D539:D540)</f>
        <v>280862</v>
      </c>
      <c r="E541" s="222">
        <f t="shared" si="16"/>
        <v>100</v>
      </c>
    </row>
    <row r="542" spans="1:5">
      <c r="A542" s="302" t="s">
        <v>223</v>
      </c>
      <c r="B542" s="67">
        <v>150000</v>
      </c>
      <c r="C542" s="67">
        <v>182856</v>
      </c>
      <c r="D542" s="6">
        <v>182856</v>
      </c>
      <c r="E542" s="221">
        <f t="shared" si="16"/>
        <v>100</v>
      </c>
    </row>
    <row r="543" spans="1:5">
      <c r="A543" s="302" t="s">
        <v>224</v>
      </c>
      <c r="B543" s="67">
        <v>50000</v>
      </c>
      <c r="C543" s="67">
        <v>54806</v>
      </c>
      <c r="D543" s="6">
        <v>54806</v>
      </c>
      <c r="E543" s="221">
        <f t="shared" si="16"/>
        <v>100</v>
      </c>
    </row>
    <row r="544" spans="1:5">
      <c r="A544" s="302" t="s">
        <v>297</v>
      </c>
      <c r="B544" s="67">
        <v>20000</v>
      </c>
      <c r="C544" s="67">
        <v>20000</v>
      </c>
      <c r="D544" s="6">
        <v>13449</v>
      </c>
      <c r="E544" s="221">
        <f t="shared" si="16"/>
        <v>67.245000000000005</v>
      </c>
    </row>
    <row r="545" spans="1:6">
      <c r="A545" s="328" t="s">
        <v>213</v>
      </c>
      <c r="B545" s="68">
        <f>SUM(B542:B544)</f>
        <v>220000</v>
      </c>
      <c r="C545" s="68">
        <f>SUM(C542:C544)</f>
        <v>257662</v>
      </c>
      <c r="D545" s="11">
        <f>SUM(D542:D544)</f>
        <v>251111</v>
      </c>
      <c r="E545" s="222">
        <f t="shared" si="16"/>
        <v>97.457521869736325</v>
      </c>
    </row>
    <row r="546" spans="1:6">
      <c r="A546" s="302" t="s">
        <v>227</v>
      </c>
      <c r="B546" s="67">
        <v>100000</v>
      </c>
      <c r="C546" s="67">
        <v>103161</v>
      </c>
      <c r="D546" s="6">
        <v>103161</v>
      </c>
      <c r="E546" s="221">
        <f t="shared" si="16"/>
        <v>100</v>
      </c>
    </row>
    <row r="547" spans="1:6">
      <c r="A547" s="302" t="s">
        <v>219</v>
      </c>
      <c r="B547" s="35">
        <v>80000</v>
      </c>
      <c r="C547" s="35">
        <v>18156</v>
      </c>
      <c r="D547" s="6">
        <v>18156</v>
      </c>
      <c r="E547" s="221">
        <f t="shared" si="16"/>
        <v>100</v>
      </c>
    </row>
    <row r="548" spans="1:6">
      <c r="A548" s="328" t="s">
        <v>216</v>
      </c>
      <c r="B548" s="68">
        <f>SUM(B546:B547)</f>
        <v>180000</v>
      </c>
      <c r="C548" s="68">
        <f>SUM(C546:C547)</f>
        <v>121317</v>
      </c>
      <c r="D548" s="11">
        <f>SUM(D546:D547)</f>
        <v>121317</v>
      </c>
      <c r="E548" s="222">
        <f t="shared" si="16"/>
        <v>100</v>
      </c>
    </row>
    <row r="549" spans="1:6">
      <c r="A549" s="302" t="s">
        <v>215</v>
      </c>
      <c r="B549" s="35">
        <v>0</v>
      </c>
      <c r="C549" s="35">
        <v>13260</v>
      </c>
      <c r="D549" s="6">
        <v>13260</v>
      </c>
      <c r="E549" s="221">
        <f t="shared" si="16"/>
        <v>100</v>
      </c>
    </row>
    <row r="550" spans="1:6">
      <c r="A550" s="328" t="s">
        <v>217</v>
      </c>
      <c r="B550" s="68">
        <f>SUM(B549:B549)</f>
        <v>0</v>
      </c>
      <c r="C550" s="68">
        <f>SUM(C549)</f>
        <v>13260</v>
      </c>
      <c r="D550" s="11">
        <f>SUM(D549)</f>
        <v>13260</v>
      </c>
      <c r="E550" s="222">
        <f t="shared" si="16"/>
        <v>100</v>
      </c>
    </row>
    <row r="551" spans="1:6">
      <c r="A551" s="302" t="s">
        <v>226</v>
      </c>
      <c r="B551" s="67">
        <v>228420</v>
      </c>
      <c r="C551" s="67">
        <v>238489</v>
      </c>
      <c r="D551" s="6">
        <v>238489</v>
      </c>
      <c r="E551" s="221">
        <f t="shared" si="16"/>
        <v>100</v>
      </c>
    </row>
    <row r="552" spans="1:6" ht="13.5" customHeight="1">
      <c r="A552" s="334" t="s">
        <v>221</v>
      </c>
      <c r="B552" s="68">
        <f>SUM(B551:B551)</f>
        <v>228420</v>
      </c>
      <c r="C552" s="68">
        <f>SUM(C551)</f>
        <v>238489</v>
      </c>
      <c r="D552" s="11">
        <f>SUM(D551)</f>
        <v>238489</v>
      </c>
      <c r="E552" s="222">
        <f t="shared" si="16"/>
        <v>100</v>
      </c>
    </row>
    <row r="553" spans="1:6">
      <c r="A553" s="334"/>
      <c r="B553" s="35"/>
      <c r="C553" s="35"/>
      <c r="D553" s="17"/>
      <c r="E553" s="221"/>
    </row>
    <row r="554" spans="1:6">
      <c r="A554" s="173" t="s">
        <v>222</v>
      </c>
      <c r="B554" s="180">
        <f>SUM(B534+B538+B541+B545+B548+B552)</f>
        <v>1114420</v>
      </c>
      <c r="C554" s="68">
        <f>SUM(C538+C541+C545+C548+C550+C552)</f>
        <v>1162631</v>
      </c>
      <c r="D554" s="11">
        <f>SUM(D538+D541+D545+D548+D550+D552)</f>
        <v>1156080</v>
      </c>
      <c r="E554" s="222">
        <f t="shared" si="16"/>
        <v>99.436536613938557</v>
      </c>
      <c r="F554" s="70"/>
    </row>
    <row r="555" spans="1:6">
      <c r="A555" s="173"/>
      <c r="B555" s="34"/>
      <c r="C555" s="34"/>
      <c r="D555" s="17"/>
      <c r="E555" s="222"/>
      <c r="F555" s="70"/>
    </row>
    <row r="556" spans="1:6">
      <c r="A556" s="330" t="s">
        <v>201</v>
      </c>
      <c r="B556" s="34">
        <f>B525+B531+B554</f>
        <v>6146420</v>
      </c>
      <c r="C556" s="34">
        <f>SUM(C525+C531+C554)</f>
        <v>7387640</v>
      </c>
      <c r="D556" s="11">
        <f>SUM(D525+D531+D554)</f>
        <v>7283858</v>
      </c>
      <c r="E556" s="222">
        <f t="shared" si="16"/>
        <v>98.595194135068837</v>
      </c>
      <c r="F556" s="70"/>
    </row>
    <row r="557" spans="1:6">
      <c r="A557" s="330"/>
      <c r="B557" s="34"/>
      <c r="C557" s="34"/>
      <c r="D557" s="17"/>
    </row>
    <row r="558" spans="1:6">
      <c r="A558" s="330"/>
      <c r="B558" s="34"/>
      <c r="C558" s="34"/>
      <c r="D558" s="17"/>
    </row>
    <row r="559" spans="1:6">
      <c r="A559" s="628" t="s">
        <v>255</v>
      </c>
      <c r="B559" s="629"/>
      <c r="C559" s="629"/>
      <c r="D559" s="629"/>
      <c r="E559" s="630"/>
    </row>
    <row r="560" spans="1:6">
      <c r="A560" s="332"/>
      <c r="B560" s="46"/>
      <c r="C560" s="46"/>
      <c r="D560" s="17"/>
    </row>
    <row r="561" spans="1:5">
      <c r="A561" s="303" t="s">
        <v>70</v>
      </c>
      <c r="B561" s="82">
        <v>1640000</v>
      </c>
      <c r="C561" s="82">
        <v>1851550</v>
      </c>
      <c r="D561" s="6">
        <v>1787709</v>
      </c>
      <c r="E561" s="221">
        <f t="shared" ref="E561:E582" si="17">D561/C561*100</f>
        <v>96.552023979908725</v>
      </c>
    </row>
    <row r="562" spans="1:5">
      <c r="A562" s="333" t="s">
        <v>46</v>
      </c>
      <c r="B562" s="82">
        <v>37000</v>
      </c>
      <c r="C562" s="82">
        <v>37000</v>
      </c>
      <c r="D562" s="17">
        <v>0</v>
      </c>
      <c r="E562" s="221">
        <f t="shared" si="17"/>
        <v>0</v>
      </c>
    </row>
    <row r="563" spans="1:5">
      <c r="A563" s="333" t="s">
        <v>368</v>
      </c>
      <c r="B563" s="82"/>
      <c r="C563" s="82">
        <v>84700</v>
      </c>
      <c r="D563" s="6">
        <v>84700</v>
      </c>
      <c r="E563" s="221">
        <f t="shared" si="17"/>
        <v>100</v>
      </c>
    </row>
    <row r="564" spans="1:5">
      <c r="A564" s="333" t="s">
        <v>329</v>
      </c>
      <c r="B564" s="82">
        <v>6000</v>
      </c>
      <c r="C564" s="82">
        <v>9160</v>
      </c>
      <c r="D564" s="6">
        <v>9160</v>
      </c>
      <c r="E564" s="221">
        <f t="shared" si="17"/>
        <v>100</v>
      </c>
    </row>
    <row r="565" spans="1:5">
      <c r="A565" s="304" t="s">
        <v>198</v>
      </c>
      <c r="B565" s="83">
        <f>SUM(B561:B564)</f>
        <v>1683000</v>
      </c>
      <c r="C565" s="83">
        <f>SUM(C561:C564)</f>
        <v>1982410</v>
      </c>
      <c r="D565" s="11">
        <f>SUM(D561:D564)</f>
        <v>1881569</v>
      </c>
      <c r="E565" s="222">
        <f t="shared" si="17"/>
        <v>94.913211696874015</v>
      </c>
    </row>
    <row r="566" spans="1:5">
      <c r="A566" s="304"/>
      <c r="B566" s="82"/>
      <c r="C566" s="82"/>
      <c r="D566" s="17"/>
      <c r="E566" s="221"/>
    </row>
    <row r="567" spans="1:5">
      <c r="A567" s="303" t="s">
        <v>138</v>
      </c>
      <c r="B567" s="82">
        <v>443000</v>
      </c>
      <c r="C567" s="82">
        <v>525461</v>
      </c>
      <c r="D567" s="6">
        <v>492850</v>
      </c>
      <c r="E567" s="221">
        <f t="shared" si="17"/>
        <v>93.793830560212839</v>
      </c>
    </row>
    <row r="568" spans="1:5">
      <c r="A568" s="303" t="s">
        <v>199</v>
      </c>
      <c r="B568" s="82">
        <v>14000</v>
      </c>
      <c r="C568" s="82">
        <v>18057</v>
      </c>
      <c r="D568" s="6">
        <v>18057</v>
      </c>
      <c r="E568" s="221">
        <f t="shared" si="17"/>
        <v>100</v>
      </c>
    </row>
    <row r="569" spans="1:5">
      <c r="A569" s="303" t="s">
        <v>45</v>
      </c>
      <c r="B569" s="82">
        <v>8000</v>
      </c>
      <c r="C569" s="82">
        <v>8000</v>
      </c>
      <c r="D569" s="17">
        <v>0</v>
      </c>
      <c r="E569" s="221">
        <f t="shared" si="17"/>
        <v>0</v>
      </c>
    </row>
    <row r="570" spans="1:5">
      <c r="A570" s="303" t="s">
        <v>42</v>
      </c>
      <c r="B570" s="82">
        <v>9000</v>
      </c>
      <c r="C570" s="82">
        <v>10700</v>
      </c>
      <c r="D570" s="6">
        <v>10700</v>
      </c>
      <c r="E570" s="221">
        <f t="shared" si="17"/>
        <v>100</v>
      </c>
    </row>
    <row r="571" spans="1:5">
      <c r="A571" s="304" t="s">
        <v>200</v>
      </c>
      <c r="B571" s="83">
        <f>SUM(B567:B570)</f>
        <v>474000</v>
      </c>
      <c r="C571" s="83">
        <f>SUM(C567:C570)</f>
        <v>562218</v>
      </c>
      <c r="D571" s="11">
        <f>SUM(D567:D570)</f>
        <v>521607</v>
      </c>
      <c r="E571" s="222">
        <f t="shared" si="17"/>
        <v>92.776645358206238</v>
      </c>
    </row>
    <row r="572" spans="1:5">
      <c r="A572" s="304"/>
      <c r="B572" s="83"/>
      <c r="C572" s="83"/>
      <c r="D572" s="17"/>
      <c r="E572" s="221"/>
    </row>
    <row r="573" spans="1:5">
      <c r="A573" s="301" t="s">
        <v>275</v>
      </c>
      <c r="B573" s="35">
        <v>13317000</v>
      </c>
      <c r="C573" s="35">
        <v>13317000</v>
      </c>
      <c r="D573" s="6">
        <v>13226512</v>
      </c>
      <c r="E573" s="221">
        <f t="shared" si="17"/>
        <v>99.320507621836754</v>
      </c>
    </row>
    <row r="574" spans="1:5">
      <c r="A574" s="302" t="s">
        <v>273</v>
      </c>
      <c r="B574" s="35">
        <v>8000</v>
      </c>
      <c r="C574" s="35">
        <v>7874</v>
      </c>
      <c r="D574" s="6">
        <v>7874</v>
      </c>
      <c r="E574" s="221">
        <f t="shared" si="17"/>
        <v>100</v>
      </c>
    </row>
    <row r="575" spans="1:5">
      <c r="A575" s="302" t="s">
        <v>337</v>
      </c>
      <c r="B575" s="35">
        <v>0</v>
      </c>
      <c r="C575" s="35">
        <v>1700</v>
      </c>
      <c r="D575" s="6">
        <v>1700</v>
      </c>
      <c r="E575" s="221">
        <f t="shared" si="17"/>
        <v>100</v>
      </c>
    </row>
    <row r="576" spans="1:5">
      <c r="A576" s="302" t="s">
        <v>226</v>
      </c>
      <c r="B576" s="35">
        <f>(B573+B574)*0.27</f>
        <v>3597750.0000000005</v>
      </c>
      <c r="C576" s="35">
        <v>3597750</v>
      </c>
      <c r="D576" s="6">
        <v>3573286</v>
      </c>
      <c r="E576" s="221">
        <f t="shared" si="17"/>
        <v>99.320019456604825</v>
      </c>
    </row>
    <row r="577" spans="1:5">
      <c r="A577" s="302" t="s">
        <v>356</v>
      </c>
      <c r="B577" s="35">
        <v>0</v>
      </c>
      <c r="C577" s="35">
        <v>303000</v>
      </c>
      <c r="D577" s="6">
        <v>303000</v>
      </c>
      <c r="E577" s="221">
        <f t="shared" si="17"/>
        <v>100</v>
      </c>
    </row>
    <row r="578" spans="1:5">
      <c r="A578" s="302" t="s">
        <v>357</v>
      </c>
      <c r="B578" s="35">
        <v>0</v>
      </c>
      <c r="C578" s="35">
        <v>3000</v>
      </c>
      <c r="D578" s="6">
        <v>3000</v>
      </c>
      <c r="E578" s="221">
        <f t="shared" si="17"/>
        <v>100</v>
      </c>
    </row>
    <row r="579" spans="1:5">
      <c r="A579" s="328" t="s">
        <v>216</v>
      </c>
      <c r="B579" s="36">
        <f>B573+B574+B576</f>
        <v>16922750</v>
      </c>
      <c r="C579" s="36">
        <f>SUM(C573:C578)</f>
        <v>17230324</v>
      </c>
      <c r="D579" s="11">
        <f>SUM(D573:D578)</f>
        <v>17115372</v>
      </c>
      <c r="E579" s="222">
        <f t="shared" si="17"/>
        <v>99.33285061847937</v>
      </c>
    </row>
    <row r="580" spans="1:5">
      <c r="A580" s="173" t="s">
        <v>222</v>
      </c>
      <c r="B580" s="36">
        <f>B579</f>
        <v>16922750</v>
      </c>
      <c r="C580" s="36">
        <f>SUM(C579)</f>
        <v>17230324</v>
      </c>
      <c r="D580" s="11">
        <f>SUM(D579)</f>
        <v>17115372</v>
      </c>
      <c r="E580" s="222">
        <f t="shared" si="17"/>
        <v>99.33285061847937</v>
      </c>
    </row>
    <row r="581" spans="1:5">
      <c r="A581" s="173"/>
      <c r="B581" s="36"/>
      <c r="C581" s="36"/>
      <c r="D581" s="17"/>
      <c r="E581" s="222"/>
    </row>
    <row r="582" spans="1:5">
      <c r="A582" s="330" t="s">
        <v>18</v>
      </c>
      <c r="B582" s="34">
        <f>B565+B571+B579</f>
        <v>19079750</v>
      </c>
      <c r="C582" s="34">
        <f>SUM(C565+C571+C580)</f>
        <v>19774952</v>
      </c>
      <c r="D582" s="11">
        <f>SUM(D565+D571+D580)</f>
        <v>19518548</v>
      </c>
      <c r="E582" s="222">
        <f t="shared" si="17"/>
        <v>98.703390025927746</v>
      </c>
    </row>
    <row r="583" spans="1:5">
      <c r="A583" s="330"/>
      <c r="B583" s="34"/>
      <c r="C583" s="34"/>
      <c r="D583" s="17"/>
    </row>
    <row r="584" spans="1:5">
      <c r="A584" s="330"/>
      <c r="B584" s="34"/>
      <c r="C584" s="34"/>
      <c r="D584" s="17"/>
    </row>
    <row r="585" spans="1:5">
      <c r="A585" s="657" t="s">
        <v>296</v>
      </c>
      <c r="B585" s="657"/>
      <c r="C585" s="657"/>
      <c r="D585" s="657"/>
    </row>
    <row r="586" spans="1:5">
      <c r="A586" s="330"/>
      <c r="B586" s="34"/>
      <c r="C586" s="34"/>
      <c r="D586" s="17"/>
    </row>
    <row r="587" spans="1:5">
      <c r="A587" s="628" t="s">
        <v>309</v>
      </c>
      <c r="B587" s="629"/>
      <c r="C587" s="629"/>
      <c r="D587" s="629"/>
      <c r="E587" s="630"/>
    </row>
    <row r="588" spans="1:5">
      <c r="A588" s="303" t="s">
        <v>73</v>
      </c>
      <c r="B588" s="33">
        <f>13412000+334000</f>
        <v>13746000</v>
      </c>
      <c r="C588" s="33">
        <v>15912973</v>
      </c>
      <c r="D588" s="6">
        <v>15912973</v>
      </c>
      <c r="E588" s="221">
        <f t="shared" ref="E588:E627" si="18">D588/C588*100</f>
        <v>100</v>
      </c>
    </row>
    <row r="589" spans="1:5">
      <c r="A589" s="333" t="s">
        <v>46</v>
      </c>
      <c r="B589" s="33">
        <v>251000</v>
      </c>
      <c r="C589" s="33">
        <v>251000</v>
      </c>
      <c r="D589" s="17">
        <v>0</v>
      </c>
      <c r="E589" s="221">
        <f t="shared" si="18"/>
        <v>0</v>
      </c>
    </row>
    <row r="590" spans="1:5">
      <c r="A590" s="333" t="s">
        <v>238</v>
      </c>
      <c r="B590" s="33">
        <v>210000</v>
      </c>
      <c r="C590" s="33">
        <v>210000</v>
      </c>
      <c r="D590" s="6">
        <v>210000</v>
      </c>
      <c r="E590" s="221">
        <f t="shared" si="18"/>
        <v>100</v>
      </c>
    </row>
    <row r="591" spans="1:5">
      <c r="A591" s="333" t="s">
        <v>342</v>
      </c>
      <c r="B591" s="33">
        <v>0</v>
      </c>
      <c r="C591" s="33">
        <v>1019357</v>
      </c>
      <c r="D591" s="6">
        <v>1019357</v>
      </c>
      <c r="E591" s="221">
        <f t="shared" si="18"/>
        <v>100</v>
      </c>
    </row>
    <row r="592" spans="1:5">
      <c r="A592" s="333" t="s">
        <v>329</v>
      </c>
      <c r="B592" s="82">
        <v>48000</v>
      </c>
      <c r="C592" s="82">
        <v>81826</v>
      </c>
      <c r="D592" s="6">
        <v>81826</v>
      </c>
      <c r="E592" s="221">
        <f t="shared" si="18"/>
        <v>100</v>
      </c>
    </row>
    <row r="593" spans="1:5">
      <c r="A593" s="333" t="s">
        <v>41</v>
      </c>
      <c r="B593" s="82">
        <v>0</v>
      </c>
      <c r="C593" s="82">
        <v>11200</v>
      </c>
      <c r="D593" s="6">
        <v>11200</v>
      </c>
      <c r="E593" s="221">
        <f t="shared" si="18"/>
        <v>100</v>
      </c>
    </row>
    <row r="594" spans="1:5">
      <c r="A594" s="304" t="s">
        <v>198</v>
      </c>
      <c r="B594" s="83">
        <f>SUM(B588:B593)</f>
        <v>14255000</v>
      </c>
      <c r="C594" s="83">
        <f>SUM(C588:C593)</f>
        <v>17486356</v>
      </c>
      <c r="D594" s="11">
        <f>SUM(D588:D593)</f>
        <v>17235356</v>
      </c>
      <c r="E594" s="222">
        <f t="shared" si="18"/>
        <v>98.564595162079499</v>
      </c>
    </row>
    <row r="595" spans="1:5">
      <c r="A595" s="304"/>
      <c r="B595" s="34"/>
      <c r="C595" s="34"/>
      <c r="D595" s="17"/>
      <c r="E595" s="221"/>
    </row>
    <row r="596" spans="1:5">
      <c r="A596" s="303" t="s">
        <v>138</v>
      </c>
      <c r="B596" s="82">
        <f>3678000+90000</f>
        <v>3768000</v>
      </c>
      <c r="C596" s="82">
        <v>4617750</v>
      </c>
      <c r="D596" s="6">
        <v>4446823</v>
      </c>
      <c r="E596" s="221">
        <f t="shared" si="18"/>
        <v>96.298478696334797</v>
      </c>
    </row>
    <row r="597" spans="1:5">
      <c r="A597" s="303" t="s">
        <v>199</v>
      </c>
      <c r="B597" s="82">
        <v>96000</v>
      </c>
      <c r="C597" s="82">
        <v>131607</v>
      </c>
      <c r="D597" s="6">
        <v>131607</v>
      </c>
      <c r="E597" s="221">
        <f t="shared" si="18"/>
        <v>100</v>
      </c>
    </row>
    <row r="598" spans="1:5">
      <c r="A598" s="303" t="s">
        <v>45</v>
      </c>
      <c r="B598" s="82">
        <v>30000</v>
      </c>
      <c r="C598" s="82">
        <v>30000</v>
      </c>
      <c r="D598" s="6">
        <v>7488</v>
      </c>
      <c r="E598" s="221">
        <f t="shared" si="18"/>
        <v>24.959999999999997</v>
      </c>
    </row>
    <row r="599" spans="1:5">
      <c r="A599" s="303" t="s">
        <v>42</v>
      </c>
      <c r="B599" s="82">
        <v>57000</v>
      </c>
      <c r="C599" s="82">
        <v>77984</v>
      </c>
      <c r="D599" s="6">
        <v>77984</v>
      </c>
      <c r="E599" s="221">
        <f t="shared" si="18"/>
        <v>100</v>
      </c>
    </row>
    <row r="600" spans="1:5">
      <c r="A600" s="304" t="s">
        <v>200</v>
      </c>
      <c r="B600" s="34">
        <f>SUM(B596:B599)</f>
        <v>3951000</v>
      </c>
      <c r="C600" s="34">
        <f>SUM(C596:C599)</f>
        <v>4857341</v>
      </c>
      <c r="D600" s="11">
        <f>SUM(D596:D599)</f>
        <v>4663902</v>
      </c>
      <c r="E600" s="222">
        <f t="shared" si="18"/>
        <v>96.017594811646944</v>
      </c>
    </row>
    <row r="601" spans="1:5">
      <c r="A601" s="304"/>
      <c r="B601" s="34"/>
      <c r="C601" s="34"/>
      <c r="D601" s="17"/>
      <c r="E601" s="221"/>
    </row>
    <row r="602" spans="1:5">
      <c r="A602" s="333" t="s">
        <v>204</v>
      </c>
      <c r="B602" s="82">
        <v>5000</v>
      </c>
      <c r="C602" s="82">
        <v>1681</v>
      </c>
      <c r="D602" s="6">
        <v>1681</v>
      </c>
      <c r="E602" s="221">
        <f t="shared" si="18"/>
        <v>100</v>
      </c>
    </row>
    <row r="603" spans="1:5">
      <c r="A603" s="302" t="s">
        <v>202</v>
      </c>
      <c r="B603" s="82">
        <v>15000</v>
      </c>
      <c r="C603" s="82">
        <v>0</v>
      </c>
      <c r="D603" s="17">
        <v>0</v>
      </c>
      <c r="E603" s="221">
        <v>0</v>
      </c>
    </row>
    <row r="604" spans="1:5">
      <c r="A604" s="302" t="s">
        <v>203</v>
      </c>
      <c r="B604" s="82">
        <v>20000</v>
      </c>
      <c r="C604" s="82">
        <v>0</v>
      </c>
      <c r="D604" s="17">
        <v>0</v>
      </c>
      <c r="E604" s="221">
        <v>0</v>
      </c>
    </row>
    <row r="605" spans="1:5">
      <c r="A605" s="302" t="s">
        <v>205</v>
      </c>
      <c r="B605" s="67">
        <v>20000</v>
      </c>
      <c r="C605" s="67">
        <v>0</v>
      </c>
      <c r="D605" s="17">
        <v>0</v>
      </c>
      <c r="E605" s="221">
        <v>0</v>
      </c>
    </row>
    <row r="606" spans="1:5">
      <c r="A606" s="334" t="s">
        <v>208</v>
      </c>
      <c r="B606" s="68">
        <f>SUM(B602:B605)</f>
        <v>60000</v>
      </c>
      <c r="C606" s="68">
        <f>SUM(C602:C605)</f>
        <v>1681</v>
      </c>
      <c r="D606" s="11">
        <f>SUM(D602:D605)</f>
        <v>1681</v>
      </c>
      <c r="E606" s="222">
        <f t="shared" si="18"/>
        <v>100</v>
      </c>
    </row>
    <row r="607" spans="1:5">
      <c r="A607" s="302" t="s">
        <v>272</v>
      </c>
      <c r="B607" s="35">
        <v>20000</v>
      </c>
      <c r="C607" s="35">
        <v>19467</v>
      </c>
      <c r="D607" s="6">
        <v>19467</v>
      </c>
      <c r="E607" s="221">
        <f t="shared" si="18"/>
        <v>100</v>
      </c>
    </row>
    <row r="608" spans="1:5">
      <c r="A608" s="302" t="s">
        <v>273</v>
      </c>
      <c r="B608" s="35">
        <v>64000</v>
      </c>
      <c r="C608" s="35">
        <v>64055</v>
      </c>
      <c r="D608" s="6">
        <v>64055</v>
      </c>
      <c r="E608" s="221">
        <f t="shared" si="18"/>
        <v>100</v>
      </c>
    </row>
    <row r="609" spans="1:5">
      <c r="A609" s="302" t="s">
        <v>207</v>
      </c>
      <c r="B609" s="35">
        <v>150000</v>
      </c>
      <c r="C609" s="35">
        <v>177771</v>
      </c>
      <c r="D609" s="6">
        <v>177771</v>
      </c>
      <c r="E609" s="221">
        <f t="shared" si="18"/>
        <v>100</v>
      </c>
    </row>
    <row r="610" spans="1:5">
      <c r="A610" s="334" t="s">
        <v>209</v>
      </c>
      <c r="B610" s="68">
        <f>SUM(B607:B609)</f>
        <v>234000</v>
      </c>
      <c r="C610" s="68">
        <f>SUM(C607:C609)</f>
        <v>261293</v>
      </c>
      <c r="D610" s="11">
        <f>SUM(D607:D609)</f>
        <v>261293</v>
      </c>
      <c r="E610" s="222">
        <f t="shared" si="18"/>
        <v>100</v>
      </c>
    </row>
    <row r="611" spans="1:5">
      <c r="A611" s="301" t="s">
        <v>212</v>
      </c>
      <c r="B611" s="35">
        <v>36000</v>
      </c>
      <c r="C611" s="35">
        <v>30240</v>
      </c>
      <c r="D611" s="6">
        <v>30240</v>
      </c>
      <c r="E611" s="221">
        <f t="shared" si="18"/>
        <v>100</v>
      </c>
    </row>
    <row r="612" spans="1:5">
      <c r="A612" s="302" t="s">
        <v>211</v>
      </c>
      <c r="B612" s="35">
        <v>80000</v>
      </c>
      <c r="C612" s="35">
        <v>73177</v>
      </c>
      <c r="D612" s="6">
        <v>73177</v>
      </c>
      <c r="E612" s="221">
        <f t="shared" si="18"/>
        <v>100</v>
      </c>
    </row>
    <row r="613" spans="1:5">
      <c r="A613" s="328" t="s">
        <v>210</v>
      </c>
      <c r="B613" s="68">
        <f>SUM(B611:B612)</f>
        <v>116000</v>
      </c>
      <c r="C613" s="68">
        <f>SUM(C611:C612)</f>
        <v>103417</v>
      </c>
      <c r="D613" s="11">
        <f>SUM(D611:D612)</f>
        <v>103417</v>
      </c>
      <c r="E613" s="222">
        <f t="shared" si="18"/>
        <v>100</v>
      </c>
    </row>
    <row r="614" spans="1:5">
      <c r="A614" s="302" t="s">
        <v>223</v>
      </c>
      <c r="B614" s="67">
        <v>600000</v>
      </c>
      <c r="C614" s="67">
        <v>471821</v>
      </c>
      <c r="D614" s="6">
        <v>471821</v>
      </c>
      <c r="E614" s="221">
        <f t="shared" si="18"/>
        <v>100</v>
      </c>
    </row>
    <row r="615" spans="1:5">
      <c r="A615" s="302" t="s">
        <v>224</v>
      </c>
      <c r="B615" s="67">
        <v>300000</v>
      </c>
      <c r="C615" s="67">
        <v>311315</v>
      </c>
      <c r="D615" s="6">
        <v>311315</v>
      </c>
      <c r="E615" s="221">
        <f t="shared" si="18"/>
        <v>100</v>
      </c>
    </row>
    <row r="616" spans="1:5">
      <c r="A616" s="302" t="s">
        <v>297</v>
      </c>
      <c r="B616" s="67">
        <v>80000</v>
      </c>
      <c r="C616" s="67">
        <v>170815</v>
      </c>
      <c r="D616" s="6">
        <v>170815</v>
      </c>
      <c r="E616" s="221">
        <f t="shared" si="18"/>
        <v>100</v>
      </c>
    </row>
    <row r="617" spans="1:5">
      <c r="A617" s="328" t="s">
        <v>213</v>
      </c>
      <c r="B617" s="68">
        <f>SUM(B614:B616)</f>
        <v>980000</v>
      </c>
      <c r="C617" s="68">
        <f>SUM(C614:C616)</f>
        <v>953951</v>
      </c>
      <c r="D617" s="11">
        <f>SUM(D614:D616)</f>
        <v>953951</v>
      </c>
      <c r="E617" s="222">
        <f t="shared" si="18"/>
        <v>100</v>
      </c>
    </row>
    <row r="618" spans="1:5">
      <c r="A618" s="302" t="s">
        <v>227</v>
      </c>
      <c r="B618" s="67">
        <v>70000</v>
      </c>
      <c r="C618" s="67">
        <v>51150</v>
      </c>
      <c r="D618" s="6">
        <v>51150</v>
      </c>
      <c r="E618" s="221">
        <f t="shared" si="18"/>
        <v>100</v>
      </c>
    </row>
    <row r="619" spans="1:5">
      <c r="A619" s="302" t="s">
        <v>214</v>
      </c>
      <c r="B619" s="35">
        <v>60000</v>
      </c>
      <c r="C619" s="35">
        <v>60000</v>
      </c>
      <c r="D619" s="6">
        <v>60000</v>
      </c>
      <c r="E619" s="221">
        <f t="shared" si="18"/>
        <v>100</v>
      </c>
    </row>
    <row r="620" spans="1:5">
      <c r="A620" s="302" t="s">
        <v>27</v>
      </c>
      <c r="B620" s="35">
        <v>100000</v>
      </c>
      <c r="C620" s="35">
        <v>72549</v>
      </c>
      <c r="D620" s="6">
        <v>72549</v>
      </c>
      <c r="E620" s="221">
        <f t="shared" si="18"/>
        <v>100</v>
      </c>
    </row>
    <row r="621" spans="1:5">
      <c r="A621" s="328" t="s">
        <v>216</v>
      </c>
      <c r="B621" s="68">
        <f>SUM(B618:B620)</f>
        <v>230000</v>
      </c>
      <c r="C621" s="68">
        <f>SUM(C618:C620)</f>
        <v>183699</v>
      </c>
      <c r="D621" s="11">
        <f>SUM(D618:D620)</f>
        <v>183699</v>
      </c>
      <c r="E621" s="222">
        <f t="shared" si="18"/>
        <v>100</v>
      </c>
    </row>
    <row r="622" spans="1:5">
      <c r="A622" s="302" t="s">
        <v>226</v>
      </c>
      <c r="B622" s="67">
        <f>(B603+B602+B605+B607+B608+B611+B612+B614+B615+B616+B618+B619+B620+B609)*0.27</f>
        <v>432000</v>
      </c>
      <c r="C622" s="67">
        <v>382000</v>
      </c>
      <c r="D622" s="6">
        <v>366767</v>
      </c>
      <c r="E622" s="221">
        <f t="shared" si="18"/>
        <v>96.012303664921461</v>
      </c>
    </row>
    <row r="623" spans="1:5" ht="22.5">
      <c r="A623" s="334" t="s">
        <v>221</v>
      </c>
      <c r="B623" s="68">
        <f>SUM(B622:B622)</f>
        <v>432000</v>
      </c>
      <c r="C623" s="68">
        <f>SUM(C622)</f>
        <v>382000</v>
      </c>
      <c r="D623" s="11">
        <f>SUM(D622)</f>
        <v>366767</v>
      </c>
      <c r="E623" s="222">
        <f t="shared" si="18"/>
        <v>96.012303664921461</v>
      </c>
    </row>
    <row r="624" spans="1:5">
      <c r="A624" s="334"/>
      <c r="B624" s="35"/>
      <c r="C624" s="35"/>
      <c r="D624" s="17"/>
      <c r="E624" s="221"/>
    </row>
    <row r="625" spans="1:5">
      <c r="A625" s="173" t="s">
        <v>222</v>
      </c>
      <c r="B625" s="68">
        <f>B606+B610+B613+B617+B621+B623</f>
        <v>2052000</v>
      </c>
      <c r="C625" s="68">
        <f>SUM(C606+C610+C613+C617+C621+C623)</f>
        <v>1886041</v>
      </c>
      <c r="D625" s="11">
        <f>SUM(D606+D610+D613+D617+D621+D623)</f>
        <v>1870808</v>
      </c>
      <c r="E625" s="222">
        <f t="shared" si="18"/>
        <v>99.192329329001865</v>
      </c>
    </row>
    <row r="626" spans="1:5">
      <c r="A626" s="173"/>
      <c r="B626" s="36"/>
      <c r="C626" s="36"/>
      <c r="D626" s="17"/>
      <c r="E626" s="222"/>
    </row>
    <row r="627" spans="1:5">
      <c r="A627" s="330" t="s">
        <v>18</v>
      </c>
      <c r="B627" s="36">
        <f>B594+B600+B625</f>
        <v>20258000</v>
      </c>
      <c r="C627" s="36">
        <f>SUM(C594+C600+C625)</f>
        <v>24229738</v>
      </c>
      <c r="D627" s="11">
        <f>SUM(D594+D600+D625)</f>
        <v>23770066</v>
      </c>
      <c r="E627" s="222">
        <f t="shared" si="18"/>
        <v>98.102860212520653</v>
      </c>
    </row>
    <row r="628" spans="1:5">
      <c r="A628" s="330"/>
      <c r="B628" s="36"/>
      <c r="C628" s="36"/>
      <c r="D628" s="17"/>
      <c r="E628" s="141"/>
    </row>
    <row r="629" spans="1:5">
      <c r="A629" s="628" t="s">
        <v>30</v>
      </c>
      <c r="B629" s="629"/>
      <c r="C629" s="629"/>
      <c r="D629" s="629"/>
      <c r="E629" s="630"/>
    </row>
    <row r="630" spans="1:5">
      <c r="A630" s="330"/>
      <c r="B630" s="36"/>
      <c r="C630" s="36"/>
      <c r="D630" s="17"/>
    </row>
    <row r="631" spans="1:5">
      <c r="A631" s="301" t="s">
        <v>275</v>
      </c>
      <c r="B631" s="35">
        <v>2798000</v>
      </c>
      <c r="C631" s="35">
        <v>2552872</v>
      </c>
      <c r="D631" s="6">
        <v>2533730</v>
      </c>
      <c r="E631" s="221">
        <f t="shared" ref="E631:E637" si="19">D631/C631*100</f>
        <v>99.250177838920237</v>
      </c>
    </row>
    <row r="632" spans="1:5">
      <c r="A632" s="328" t="s">
        <v>216</v>
      </c>
      <c r="B632" s="68">
        <f>SUM(B629:B631)</f>
        <v>2798000</v>
      </c>
      <c r="C632" s="68">
        <f>SUM(C631)</f>
        <v>2552872</v>
      </c>
      <c r="D632" s="11">
        <f>SUM(D631)</f>
        <v>2533730</v>
      </c>
      <c r="E632" s="222">
        <f t="shared" si="19"/>
        <v>99.250177838920237</v>
      </c>
    </row>
    <row r="633" spans="1:5">
      <c r="A633" s="302" t="s">
        <v>226</v>
      </c>
      <c r="B633" s="67">
        <f>(B631)*0.27</f>
        <v>755460</v>
      </c>
      <c r="C633" s="67">
        <v>755460</v>
      </c>
      <c r="D633" s="6">
        <v>684113</v>
      </c>
      <c r="E633" s="221">
        <f t="shared" si="19"/>
        <v>90.555820294919656</v>
      </c>
    </row>
    <row r="634" spans="1:5" ht="13.5" customHeight="1">
      <c r="A634" s="334" t="s">
        <v>221</v>
      </c>
      <c r="B634" s="68">
        <f>SUM(B633:B633)</f>
        <v>755460</v>
      </c>
      <c r="C634" s="68">
        <f>SUM(C633)</f>
        <v>755460</v>
      </c>
      <c r="D634" s="11">
        <f>SUM(D633)</f>
        <v>684113</v>
      </c>
      <c r="E634" s="222">
        <f t="shared" si="19"/>
        <v>90.555820294919656</v>
      </c>
    </row>
    <row r="635" spans="1:5">
      <c r="A635" s="173" t="s">
        <v>222</v>
      </c>
      <c r="B635" s="68">
        <f>B634+B632</f>
        <v>3553460</v>
      </c>
      <c r="C635" s="68">
        <f>SUM(C632+C634)</f>
        <v>3308332</v>
      </c>
      <c r="D635" s="11">
        <f>SUM(D632+D634)</f>
        <v>3217843</v>
      </c>
      <c r="E635" s="222">
        <f t="shared" si="19"/>
        <v>97.264815018565244</v>
      </c>
    </row>
    <row r="636" spans="1:5">
      <c r="A636" s="173"/>
      <c r="B636" s="36"/>
      <c r="C636" s="36"/>
      <c r="D636" s="17"/>
      <c r="E636" s="222"/>
    </row>
    <row r="637" spans="1:5">
      <c r="A637" s="330" t="s">
        <v>18</v>
      </c>
      <c r="B637" s="36">
        <f>B635</f>
        <v>3553460</v>
      </c>
      <c r="C637" s="36">
        <f>SUM(C635:C636)</f>
        <v>3308332</v>
      </c>
      <c r="D637" s="11">
        <f>SUM(D635:D636)</f>
        <v>3217843</v>
      </c>
      <c r="E637" s="222">
        <f t="shared" si="19"/>
        <v>97.264815018565244</v>
      </c>
    </row>
    <row r="638" spans="1:5">
      <c r="A638" s="330"/>
      <c r="B638" s="36"/>
      <c r="C638" s="36"/>
      <c r="D638" s="17"/>
      <c r="E638" s="141"/>
    </row>
    <row r="639" spans="1:5">
      <c r="A639" s="661" t="s">
        <v>369</v>
      </c>
      <c r="B639" s="662"/>
      <c r="C639" s="662"/>
      <c r="D639" s="662"/>
      <c r="E639" s="662"/>
    </row>
    <row r="640" spans="1:5">
      <c r="A640" s="330"/>
      <c r="B640" s="36"/>
      <c r="C640" s="36"/>
      <c r="D640" s="17"/>
    </row>
    <row r="641" spans="1:6">
      <c r="A641" s="189" t="s">
        <v>37</v>
      </c>
      <c r="B641" s="67">
        <v>0</v>
      </c>
      <c r="C641" s="67">
        <v>3900856</v>
      </c>
      <c r="D641" s="6">
        <v>3900856</v>
      </c>
      <c r="E641" s="221">
        <f t="shared" ref="E641:E660" si="20">D641/C641*100</f>
        <v>100</v>
      </c>
      <c r="F641" s="17"/>
    </row>
    <row r="642" spans="1:6">
      <c r="A642" s="189" t="s">
        <v>336</v>
      </c>
      <c r="B642" s="67">
        <v>0</v>
      </c>
      <c r="C642" s="67">
        <v>92384</v>
      </c>
      <c r="D642" s="6">
        <v>92384</v>
      </c>
      <c r="E642" s="221">
        <f t="shared" si="20"/>
        <v>100</v>
      </c>
      <c r="F642" s="17"/>
    </row>
    <row r="643" spans="1:6">
      <c r="A643" s="339" t="s">
        <v>198</v>
      </c>
      <c r="B643" s="68">
        <f>SUM(B641:B642)</f>
        <v>0</v>
      </c>
      <c r="C643" s="68">
        <f>SUM(C641:C642)</f>
        <v>3993240</v>
      </c>
      <c r="D643" s="11">
        <f>SUM(D641:D642)</f>
        <v>3993240</v>
      </c>
      <c r="E643" s="222">
        <f t="shared" si="20"/>
        <v>100</v>
      </c>
      <c r="F643" s="17"/>
    </row>
    <row r="644" spans="1:6">
      <c r="A644" s="330"/>
      <c r="B644" s="36"/>
      <c r="C644" s="36"/>
      <c r="D644" s="17"/>
      <c r="E644" s="221"/>
      <c r="F644" s="17"/>
    </row>
    <row r="645" spans="1:6">
      <c r="A645" s="189" t="s">
        <v>138</v>
      </c>
      <c r="B645" s="36">
        <v>0</v>
      </c>
      <c r="C645" s="67">
        <v>551564</v>
      </c>
      <c r="D645" s="6">
        <v>551564</v>
      </c>
      <c r="E645" s="221">
        <f t="shared" si="20"/>
        <v>100</v>
      </c>
      <c r="F645" s="17"/>
    </row>
    <row r="646" spans="1:6">
      <c r="A646" s="189" t="s">
        <v>45</v>
      </c>
      <c r="B646" s="36">
        <v>0</v>
      </c>
      <c r="C646" s="67">
        <v>12523</v>
      </c>
      <c r="D646" s="6">
        <v>12523</v>
      </c>
      <c r="E646" s="221">
        <f t="shared" si="20"/>
        <v>100</v>
      </c>
      <c r="F646" s="17"/>
    </row>
    <row r="647" spans="1:6">
      <c r="A647" s="339" t="s">
        <v>200</v>
      </c>
      <c r="B647" s="36">
        <f>SUM(B645:B646)</f>
        <v>0</v>
      </c>
      <c r="C647" s="36">
        <f>SUM(C645:C646)</f>
        <v>564087</v>
      </c>
      <c r="D647" s="11">
        <f>SUM(D645:D646)</f>
        <v>564087</v>
      </c>
      <c r="E647" s="222">
        <f t="shared" si="20"/>
        <v>100</v>
      </c>
      <c r="F647" s="17"/>
    </row>
    <row r="648" spans="1:6">
      <c r="A648" s="339"/>
      <c r="B648" s="36"/>
      <c r="C648" s="36"/>
      <c r="D648" s="11"/>
      <c r="E648" s="221"/>
      <c r="F648" s="17"/>
    </row>
    <row r="649" spans="1:6">
      <c r="A649" s="189" t="s">
        <v>337</v>
      </c>
      <c r="B649" s="67">
        <v>0</v>
      </c>
      <c r="C649" s="35">
        <v>693</v>
      </c>
      <c r="D649" s="6">
        <v>693</v>
      </c>
      <c r="E649" s="221">
        <f t="shared" si="20"/>
        <v>100</v>
      </c>
      <c r="F649" s="17"/>
    </row>
    <row r="650" spans="1:6">
      <c r="A650" s="339" t="s">
        <v>338</v>
      </c>
      <c r="B650" s="36">
        <v>0</v>
      </c>
      <c r="C650" s="36">
        <f>SUM(C649)</f>
        <v>693</v>
      </c>
      <c r="D650" s="11">
        <f>SUM(D649)</f>
        <v>693</v>
      </c>
      <c r="E650" s="222">
        <f t="shared" si="20"/>
        <v>100</v>
      </c>
      <c r="F650" s="17"/>
    </row>
    <row r="651" spans="1:6">
      <c r="A651" s="189" t="s">
        <v>226</v>
      </c>
      <c r="B651" s="67">
        <v>0</v>
      </c>
      <c r="C651" s="35">
        <v>187</v>
      </c>
      <c r="D651" s="6">
        <v>187</v>
      </c>
      <c r="E651" s="221">
        <f t="shared" si="20"/>
        <v>100</v>
      </c>
      <c r="F651" s="17"/>
    </row>
    <row r="652" spans="1:6" ht="11.25" customHeight="1">
      <c r="A652" s="339" t="s">
        <v>221</v>
      </c>
      <c r="B652" s="36">
        <f>SUM(C651)</f>
        <v>187</v>
      </c>
      <c r="C652" s="17">
        <v>0</v>
      </c>
      <c r="D652" s="11">
        <f>SUM(D651)</f>
        <v>187</v>
      </c>
      <c r="E652" s="222">
        <f>D652/B652*100</f>
        <v>100</v>
      </c>
      <c r="F652" s="17"/>
    </row>
    <row r="653" spans="1:6">
      <c r="A653" s="339" t="s">
        <v>258</v>
      </c>
      <c r="B653" s="36">
        <f>SUM(A652,B650)</f>
        <v>0</v>
      </c>
      <c r="C653" s="36">
        <f>SUM(B652,C650)</f>
        <v>880</v>
      </c>
      <c r="D653" s="11">
        <f>SUM(D650+D652)</f>
        <v>880</v>
      </c>
      <c r="E653" s="222">
        <f t="shared" si="20"/>
        <v>100</v>
      </c>
      <c r="F653" s="17"/>
    </row>
    <row r="654" spans="1:6">
      <c r="A654" s="339"/>
      <c r="B654" s="36"/>
      <c r="C654" s="36"/>
      <c r="D654" s="11"/>
      <c r="E654" s="221"/>
      <c r="F654" s="17"/>
    </row>
    <row r="655" spans="1:6">
      <c r="A655" s="339" t="s">
        <v>18</v>
      </c>
      <c r="B655" s="36">
        <v>0</v>
      </c>
      <c r="C655" s="36">
        <f>SUM(C643+C647+C653)</f>
        <v>4558207</v>
      </c>
      <c r="D655" s="11">
        <f>SUM(D643+D647+D653)</f>
        <v>4558207</v>
      </c>
      <c r="E655" s="222">
        <f t="shared" si="20"/>
        <v>100</v>
      </c>
      <c r="F655" s="17"/>
    </row>
    <row r="656" spans="1:6">
      <c r="A656" s="330"/>
      <c r="B656" s="36"/>
      <c r="C656" s="36"/>
      <c r="D656" s="17"/>
      <c r="E656" s="222"/>
      <c r="F656" s="17"/>
    </row>
    <row r="657" spans="1:6">
      <c r="A657" s="304" t="s">
        <v>198</v>
      </c>
      <c r="B657" s="34">
        <f>B372+B418+B442+B485+B525+B565+B594</f>
        <v>61334000</v>
      </c>
      <c r="C657" s="34">
        <f>SUM(C372+C418+C442+C485+C525+C565+C594+C643)</f>
        <v>75871037</v>
      </c>
      <c r="D657" s="11">
        <f>SUM(D372+D418+D442+D485+D525+D565+D594+D643)</f>
        <v>72967444</v>
      </c>
      <c r="E657" s="222">
        <f t="shared" si="20"/>
        <v>96.17298891011599</v>
      </c>
      <c r="F657" s="17"/>
    </row>
    <row r="658" spans="1:6">
      <c r="A658" s="304" t="s">
        <v>200</v>
      </c>
      <c r="B658" s="34">
        <f>B378+B424+B448+B491+B531+B571+B600</f>
        <v>16810000</v>
      </c>
      <c r="C658" s="34">
        <f>SUM(C378+C424+C448+C491+C531+C571+C600+C647)</f>
        <v>19887355</v>
      </c>
      <c r="D658" s="11">
        <f>SUM(D378+D424+D448+D491+D531+D571+D600+D647)</f>
        <v>19359103</v>
      </c>
      <c r="E658" s="222">
        <f t="shared" si="20"/>
        <v>97.343779502100702</v>
      </c>
      <c r="F658" s="17"/>
    </row>
    <row r="659" spans="1:6">
      <c r="A659" s="173" t="s">
        <v>258</v>
      </c>
      <c r="B659" s="34">
        <f>B407+B429+B474+B513+B554+B580+B625+B635</f>
        <v>32223550</v>
      </c>
      <c r="C659" s="34">
        <f>SUM(C407+C429+C474+C513+C554+C580+C625+C635+C653)</f>
        <v>32223550</v>
      </c>
      <c r="D659" s="11">
        <f>SUM(D407+D429+D474+D513+D554+D580+D625+D635+D653)</f>
        <v>31868046</v>
      </c>
      <c r="E659" s="222">
        <f t="shared" si="20"/>
        <v>98.896757185350467</v>
      </c>
      <c r="F659" s="17"/>
    </row>
    <row r="660" spans="1:6" ht="22.5">
      <c r="A660" s="173" t="s">
        <v>331</v>
      </c>
      <c r="B660" s="34">
        <f>SUM(B657:B659)</f>
        <v>110367550</v>
      </c>
      <c r="C660" s="34">
        <f>SUM(C657:C659)</f>
        <v>127981942</v>
      </c>
      <c r="D660" s="11">
        <f>SUM(D657:D659)</f>
        <v>124194593</v>
      </c>
      <c r="E660" s="222">
        <f t="shared" si="20"/>
        <v>97.040716103526549</v>
      </c>
      <c r="F660" s="17"/>
    </row>
    <row r="661" spans="1:6">
      <c r="A661" s="173"/>
      <c r="B661" s="34"/>
      <c r="C661" s="34"/>
      <c r="D661" s="17"/>
    </row>
    <row r="662" spans="1:6">
      <c r="A662" s="304"/>
      <c r="B662" s="44"/>
      <c r="C662" s="17"/>
      <c r="D662" s="17"/>
    </row>
    <row r="663" spans="1:6">
      <c r="A663" s="656" t="s">
        <v>256</v>
      </c>
      <c r="B663" s="656"/>
      <c r="C663" s="656"/>
      <c r="D663" s="656"/>
    </row>
    <row r="664" spans="1:6">
      <c r="A664" s="340"/>
      <c r="B664" s="115"/>
      <c r="C664" s="191"/>
      <c r="D664" s="17"/>
    </row>
    <row r="665" spans="1:6">
      <c r="A665" s="649" t="s">
        <v>107</v>
      </c>
      <c r="B665" s="649"/>
      <c r="C665" s="649"/>
      <c r="D665" s="649"/>
    </row>
    <row r="666" spans="1:6">
      <c r="A666" s="341"/>
      <c r="B666" s="96"/>
      <c r="C666" s="96"/>
      <c r="D666" s="17"/>
    </row>
    <row r="667" spans="1:6">
      <c r="A667" s="341"/>
      <c r="B667" s="96"/>
      <c r="C667" s="96"/>
      <c r="D667" s="17"/>
    </row>
    <row r="668" spans="1:6">
      <c r="A668" s="650" t="s">
        <v>372</v>
      </c>
      <c r="B668" s="651"/>
      <c r="C668" s="651"/>
      <c r="D668" s="651"/>
      <c r="E668" s="652"/>
    </row>
    <row r="669" spans="1:6">
      <c r="A669" s="342"/>
      <c r="B669" s="97"/>
      <c r="C669" s="96"/>
      <c r="D669" s="17"/>
    </row>
    <row r="670" spans="1:6">
      <c r="A670" s="341" t="s">
        <v>370</v>
      </c>
      <c r="B670" s="97">
        <v>21488000</v>
      </c>
      <c r="C670" s="96">
        <v>21488000</v>
      </c>
      <c r="D670" s="6">
        <v>20556757</v>
      </c>
      <c r="E670" s="221">
        <f t="shared" ref="E670:E676" si="21">D670/C670*100</f>
        <v>95.66621835443037</v>
      </c>
    </row>
    <row r="671" spans="1:6">
      <c r="A671" s="301" t="s">
        <v>371</v>
      </c>
      <c r="B671" s="35">
        <v>16944000</v>
      </c>
      <c r="C671" s="35">
        <v>16781000</v>
      </c>
      <c r="D671" s="6">
        <v>12679406</v>
      </c>
      <c r="E671" s="221">
        <f t="shared" si="21"/>
        <v>75.558107383350219</v>
      </c>
    </row>
    <row r="672" spans="1:6">
      <c r="A672" s="302" t="s">
        <v>226</v>
      </c>
      <c r="B672" s="35">
        <v>10376640</v>
      </c>
      <c r="C672" s="35">
        <v>10010740</v>
      </c>
      <c r="D672" s="6">
        <v>8973764</v>
      </c>
      <c r="E672" s="221">
        <f t="shared" si="21"/>
        <v>89.641365173803337</v>
      </c>
    </row>
    <row r="673" spans="1:5">
      <c r="A673" s="328" t="s">
        <v>216</v>
      </c>
      <c r="B673" s="36">
        <f>SUM(B670:B672)</f>
        <v>48808640</v>
      </c>
      <c r="C673" s="36">
        <f>SUM(C670:C672)</f>
        <v>48279740</v>
      </c>
      <c r="D673" s="11">
        <f>SUM(D670:D672)</f>
        <v>42209927</v>
      </c>
      <c r="E673" s="222">
        <f t="shared" si="21"/>
        <v>87.427825833361979</v>
      </c>
    </row>
    <row r="674" spans="1:5">
      <c r="A674" s="329"/>
      <c r="B674" s="36"/>
      <c r="C674" s="36"/>
      <c r="D674" s="17"/>
      <c r="E674" s="221"/>
    </row>
    <row r="675" spans="1:5">
      <c r="A675" s="173" t="s">
        <v>222</v>
      </c>
      <c r="B675" s="36">
        <f>B673</f>
        <v>48808640</v>
      </c>
      <c r="C675" s="36">
        <f>SUM(C673:C674)</f>
        <v>48279740</v>
      </c>
      <c r="D675" s="11">
        <f>SUM(D673:D674)</f>
        <v>42209927</v>
      </c>
      <c r="E675" s="222">
        <f t="shared" si="21"/>
        <v>87.427825833361979</v>
      </c>
    </row>
    <row r="676" spans="1:5">
      <c r="A676" s="330" t="s">
        <v>18</v>
      </c>
      <c r="B676" s="36">
        <f>B675</f>
        <v>48808640</v>
      </c>
      <c r="C676" s="36">
        <f>SUM(C675)</f>
        <v>48279740</v>
      </c>
      <c r="D676" s="11">
        <f>SUM(D675)</f>
        <v>42209927</v>
      </c>
      <c r="E676" s="222">
        <f t="shared" si="21"/>
        <v>87.427825833361979</v>
      </c>
    </row>
    <row r="677" spans="1:5">
      <c r="A677" s="173"/>
      <c r="B677" s="36"/>
      <c r="C677" s="36"/>
      <c r="D677" s="17"/>
    </row>
    <row r="678" spans="1:5">
      <c r="A678" s="342"/>
      <c r="B678" s="94"/>
      <c r="C678" s="182"/>
      <c r="D678" s="17"/>
    </row>
    <row r="679" spans="1:5">
      <c r="A679" s="650" t="s">
        <v>259</v>
      </c>
      <c r="B679" s="651"/>
      <c r="C679" s="651"/>
      <c r="D679" s="651"/>
      <c r="E679" s="652"/>
    </row>
    <row r="680" spans="1:5">
      <c r="A680" s="342"/>
      <c r="B680" s="94"/>
      <c r="C680" s="182"/>
      <c r="D680" s="17"/>
    </row>
    <row r="681" spans="1:5">
      <c r="A681" s="303" t="s">
        <v>69</v>
      </c>
      <c r="B681" s="94">
        <v>10461000</v>
      </c>
      <c r="C681" s="182">
        <v>11403313</v>
      </c>
      <c r="D681" s="6">
        <v>11403313</v>
      </c>
      <c r="E681" s="221">
        <f t="shared" ref="E681:E717" si="22">D681/C681*100</f>
        <v>100</v>
      </c>
    </row>
    <row r="682" spans="1:5">
      <c r="A682" s="333" t="s">
        <v>46</v>
      </c>
      <c r="B682" s="94">
        <v>205000</v>
      </c>
      <c r="C682" s="182">
        <v>229000</v>
      </c>
      <c r="D682" s="6">
        <v>229000</v>
      </c>
      <c r="E682" s="221">
        <f t="shared" si="22"/>
        <v>100</v>
      </c>
    </row>
    <row r="683" spans="1:5">
      <c r="A683" s="333" t="s">
        <v>238</v>
      </c>
      <c r="B683" s="94">
        <v>631000</v>
      </c>
      <c r="C683" s="182">
        <v>632000</v>
      </c>
      <c r="D683" s="6">
        <v>631420</v>
      </c>
      <c r="E683" s="221">
        <f t="shared" si="22"/>
        <v>99.908227848101262</v>
      </c>
    </row>
    <row r="684" spans="1:5">
      <c r="A684" s="333" t="s">
        <v>44</v>
      </c>
      <c r="B684" s="82">
        <v>42000</v>
      </c>
      <c r="C684" s="82">
        <v>67687</v>
      </c>
      <c r="D684" s="6">
        <v>67635</v>
      </c>
      <c r="E684" s="221">
        <f t="shared" si="22"/>
        <v>99.923175794465706</v>
      </c>
    </row>
    <row r="685" spans="1:5">
      <c r="A685" s="333" t="s">
        <v>342</v>
      </c>
      <c r="B685" s="82">
        <v>0</v>
      </c>
      <c r="C685" s="82">
        <v>445700</v>
      </c>
      <c r="D685" s="6">
        <v>445633</v>
      </c>
      <c r="E685" s="221">
        <f t="shared" si="22"/>
        <v>99.984967466905999</v>
      </c>
    </row>
    <row r="686" spans="1:5">
      <c r="A686" s="333" t="s">
        <v>41</v>
      </c>
      <c r="B686" s="82">
        <v>100000</v>
      </c>
      <c r="C686" s="82">
        <v>96000</v>
      </c>
      <c r="D686" s="6">
        <v>95157</v>
      </c>
      <c r="E686" s="221">
        <f t="shared" si="22"/>
        <v>99.121875000000003</v>
      </c>
    </row>
    <row r="687" spans="1:5">
      <c r="A687" s="333" t="s">
        <v>373</v>
      </c>
      <c r="B687" s="82">
        <v>0</v>
      </c>
      <c r="C687" s="82">
        <v>25000</v>
      </c>
      <c r="D687" s="6">
        <v>24500</v>
      </c>
      <c r="E687" s="221">
        <f t="shared" si="22"/>
        <v>98</v>
      </c>
    </row>
    <row r="688" spans="1:5">
      <c r="A688" s="304" t="s">
        <v>198</v>
      </c>
      <c r="B688" s="95">
        <f>SUM(B681:B687)</f>
        <v>11439000</v>
      </c>
      <c r="C688" s="95">
        <f>SUM(C681:C687)</f>
        <v>12898700</v>
      </c>
      <c r="D688" s="11">
        <f>SUM(D681:D687)</f>
        <v>12896658</v>
      </c>
      <c r="E688" s="222">
        <f t="shared" si="22"/>
        <v>99.984168947258254</v>
      </c>
    </row>
    <row r="689" spans="1:5">
      <c r="A689" s="304"/>
      <c r="B689" s="95"/>
      <c r="C689" s="95"/>
      <c r="D689" s="17"/>
      <c r="E689" s="221"/>
    </row>
    <row r="690" spans="1:5">
      <c r="A690" s="303" t="s">
        <v>138</v>
      </c>
      <c r="B690" s="94">
        <v>3077000</v>
      </c>
      <c r="C690" s="182">
        <v>3384549</v>
      </c>
      <c r="D690" s="6">
        <v>3384549</v>
      </c>
      <c r="E690" s="221">
        <f t="shared" si="22"/>
        <v>100</v>
      </c>
    </row>
    <row r="691" spans="1:5">
      <c r="A691" s="303" t="s">
        <v>199</v>
      </c>
      <c r="B691" s="94">
        <v>14000</v>
      </c>
      <c r="C691" s="182">
        <v>75990</v>
      </c>
      <c r="D691" s="6">
        <v>75351</v>
      </c>
      <c r="E691" s="221">
        <f t="shared" si="22"/>
        <v>99.159099881563364</v>
      </c>
    </row>
    <row r="692" spans="1:5">
      <c r="A692" s="303" t="s">
        <v>45</v>
      </c>
      <c r="B692" s="94">
        <v>10000</v>
      </c>
      <c r="C692" s="182">
        <v>0</v>
      </c>
      <c r="D692" s="17">
        <v>0</v>
      </c>
      <c r="E692" s="221">
        <v>0</v>
      </c>
    </row>
    <row r="693" spans="1:5">
      <c r="A693" s="303" t="s">
        <v>42</v>
      </c>
      <c r="B693" s="94">
        <v>8000</v>
      </c>
      <c r="C693" s="182">
        <v>25000</v>
      </c>
      <c r="D693" s="6">
        <v>24657</v>
      </c>
      <c r="E693" s="221">
        <f t="shared" si="22"/>
        <v>98.628</v>
      </c>
    </row>
    <row r="694" spans="1:5">
      <c r="A694" s="304" t="s">
        <v>200</v>
      </c>
      <c r="B694" s="11">
        <f>SUM(B690:B693)</f>
        <v>3109000</v>
      </c>
      <c r="C694" s="11">
        <f>SUM(C690:C693)</f>
        <v>3485539</v>
      </c>
      <c r="D694" s="11">
        <f>SUM(D690:D693)</f>
        <v>3484557</v>
      </c>
      <c r="E694" s="222">
        <f t="shared" si="22"/>
        <v>99.9718264520925</v>
      </c>
    </row>
    <row r="695" spans="1:5">
      <c r="A695" s="304"/>
      <c r="B695" s="11"/>
      <c r="C695" s="11"/>
      <c r="D695" s="11"/>
      <c r="E695" s="221"/>
    </row>
    <row r="696" spans="1:5">
      <c r="A696" s="333" t="s">
        <v>374</v>
      </c>
      <c r="B696" s="94">
        <v>0</v>
      </c>
      <c r="C696" s="182">
        <v>5000</v>
      </c>
      <c r="D696" s="6">
        <v>3122</v>
      </c>
      <c r="E696" s="221">
        <f t="shared" si="22"/>
        <v>62.44</v>
      </c>
    </row>
    <row r="697" spans="1:5">
      <c r="A697" s="302" t="s">
        <v>272</v>
      </c>
      <c r="B697" s="35">
        <v>200000</v>
      </c>
      <c r="C697" s="35">
        <v>247000</v>
      </c>
      <c r="D697" s="6">
        <v>246133</v>
      </c>
      <c r="E697" s="221">
        <f t="shared" si="22"/>
        <v>99.648987854251018</v>
      </c>
    </row>
    <row r="698" spans="1:5">
      <c r="A698" s="302" t="s">
        <v>273</v>
      </c>
      <c r="B698" s="35">
        <v>100000</v>
      </c>
      <c r="C698" s="35">
        <v>8000</v>
      </c>
      <c r="D698" s="6">
        <v>7874</v>
      </c>
      <c r="E698" s="221">
        <f t="shared" si="22"/>
        <v>98.424999999999997</v>
      </c>
    </row>
    <row r="699" spans="1:5">
      <c r="A699" s="302" t="s">
        <v>207</v>
      </c>
      <c r="B699" s="35">
        <v>500000</v>
      </c>
      <c r="C699" s="35">
        <v>699000</v>
      </c>
      <c r="D699" s="6">
        <v>698584</v>
      </c>
      <c r="E699" s="221">
        <f t="shared" si="22"/>
        <v>99.940486409155938</v>
      </c>
    </row>
    <row r="700" spans="1:5">
      <c r="A700" s="334" t="s">
        <v>209</v>
      </c>
      <c r="B700" s="68">
        <f>SUM(B697:B699)</f>
        <v>800000</v>
      </c>
      <c r="C700" s="68">
        <f>SUM(C696:C699)</f>
        <v>959000</v>
      </c>
      <c r="D700" s="11">
        <f>SUM(D696:D699)</f>
        <v>955713</v>
      </c>
      <c r="E700" s="222">
        <f t="shared" si="22"/>
        <v>99.657247132429617</v>
      </c>
    </row>
    <row r="701" spans="1:5">
      <c r="A701" s="334"/>
      <c r="B701" s="68"/>
      <c r="C701" s="68"/>
      <c r="D701" s="17"/>
      <c r="E701" s="221"/>
    </row>
    <row r="702" spans="1:5">
      <c r="A702" s="301" t="s">
        <v>212</v>
      </c>
      <c r="B702" s="35">
        <v>160000</v>
      </c>
      <c r="C702" s="35">
        <v>136000</v>
      </c>
      <c r="D702" s="6">
        <v>116421</v>
      </c>
      <c r="E702" s="221">
        <f t="shared" si="22"/>
        <v>85.603676470588226</v>
      </c>
    </row>
    <row r="703" spans="1:5">
      <c r="A703" s="302" t="s">
        <v>211</v>
      </c>
      <c r="B703" s="35">
        <v>250000</v>
      </c>
      <c r="C703" s="35">
        <v>303000</v>
      </c>
      <c r="D703" s="6">
        <v>302180</v>
      </c>
      <c r="E703" s="221">
        <f t="shared" si="22"/>
        <v>99.729372937293732</v>
      </c>
    </row>
    <row r="704" spans="1:5">
      <c r="A704" s="328" t="s">
        <v>210</v>
      </c>
      <c r="B704" s="68">
        <f>SUM(B702:B703)</f>
        <v>410000</v>
      </c>
      <c r="C704" s="68">
        <f>SUM(C702:C703)</f>
        <v>439000</v>
      </c>
      <c r="D704" s="11">
        <f>SUM(D702:D703)</f>
        <v>418601</v>
      </c>
      <c r="E704" s="222">
        <f t="shared" si="22"/>
        <v>95.353302961275617</v>
      </c>
    </row>
    <row r="705" spans="1:5">
      <c r="A705" s="302" t="s">
        <v>223</v>
      </c>
      <c r="B705" s="67">
        <v>1200000</v>
      </c>
      <c r="C705" s="67">
        <v>1386000</v>
      </c>
      <c r="D705" s="6">
        <v>1385743</v>
      </c>
      <c r="E705" s="221">
        <f t="shared" si="22"/>
        <v>99.981457431457429</v>
      </c>
    </row>
    <row r="706" spans="1:5">
      <c r="A706" s="302" t="s">
        <v>224</v>
      </c>
      <c r="B706" s="67">
        <v>600000</v>
      </c>
      <c r="C706" s="67">
        <v>600000</v>
      </c>
      <c r="D706" s="6">
        <v>554023</v>
      </c>
      <c r="E706" s="221">
        <f t="shared" si="22"/>
        <v>92.337166666666675</v>
      </c>
    </row>
    <row r="707" spans="1:5">
      <c r="A707" s="302" t="s">
        <v>297</v>
      </c>
      <c r="B707" s="35">
        <v>400000</v>
      </c>
      <c r="C707" s="35">
        <v>293000</v>
      </c>
      <c r="D707" s="6">
        <v>292614</v>
      </c>
      <c r="E707" s="221">
        <f t="shared" si="22"/>
        <v>99.868259385665525</v>
      </c>
    </row>
    <row r="708" spans="1:5">
      <c r="A708" s="328" t="s">
        <v>213</v>
      </c>
      <c r="B708" s="68">
        <f>SUM(B705:B707)</f>
        <v>2200000</v>
      </c>
      <c r="C708" s="68">
        <f>SUM(C705:C707)</f>
        <v>2279000</v>
      </c>
      <c r="D708" s="11">
        <f>SUM(D705:D707)</f>
        <v>2232380</v>
      </c>
      <c r="E708" s="222">
        <f t="shared" si="22"/>
        <v>97.954365949978069</v>
      </c>
    </row>
    <row r="709" spans="1:5">
      <c r="A709" s="301" t="s">
        <v>375</v>
      </c>
      <c r="B709" s="67">
        <v>0</v>
      </c>
      <c r="C709" s="67">
        <v>185000</v>
      </c>
      <c r="D709" s="6">
        <v>184672</v>
      </c>
      <c r="E709" s="221">
        <f t="shared" si="22"/>
        <v>99.822702702702699</v>
      </c>
    </row>
    <row r="710" spans="1:5">
      <c r="A710" s="302" t="s">
        <v>219</v>
      </c>
      <c r="B710" s="35">
        <v>200000</v>
      </c>
      <c r="C710" s="35">
        <v>360000</v>
      </c>
      <c r="D710" s="6">
        <v>359467</v>
      </c>
      <c r="E710" s="221">
        <f t="shared" si="22"/>
        <v>99.851944444444442</v>
      </c>
    </row>
    <row r="711" spans="1:5">
      <c r="A711" s="328" t="s">
        <v>216</v>
      </c>
      <c r="B711" s="68">
        <f>SUM(B710:B710)</f>
        <v>200000</v>
      </c>
      <c r="C711" s="68">
        <f>SUM(C709:C710)</f>
        <v>545000</v>
      </c>
      <c r="D711" s="11">
        <f>SUM(D709:D710)</f>
        <v>544139</v>
      </c>
      <c r="E711" s="222">
        <f t="shared" si="22"/>
        <v>99.842018348623853</v>
      </c>
    </row>
    <row r="712" spans="1:5">
      <c r="A712" s="302" t="s">
        <v>226</v>
      </c>
      <c r="B712" s="67">
        <f>(B697+B698+B699+B702+B703+B705+B706+B707+B710)*0.27</f>
        <v>974700.00000000012</v>
      </c>
      <c r="C712" s="67">
        <v>979487</v>
      </c>
      <c r="D712" s="6">
        <v>970644</v>
      </c>
      <c r="E712" s="221">
        <f t="shared" si="22"/>
        <v>99.097180462834118</v>
      </c>
    </row>
    <row r="713" spans="1:5">
      <c r="A713" s="302" t="s">
        <v>357</v>
      </c>
      <c r="B713" s="67">
        <v>0</v>
      </c>
      <c r="C713" s="67">
        <v>20000</v>
      </c>
      <c r="D713" s="6">
        <v>12196</v>
      </c>
      <c r="E713" s="221">
        <f t="shared" si="22"/>
        <v>60.980000000000004</v>
      </c>
    </row>
    <row r="714" spans="1:5" ht="15.75" customHeight="1">
      <c r="A714" s="334" t="s">
        <v>221</v>
      </c>
      <c r="B714" s="68">
        <f>SUM(B712:B712)</f>
        <v>974700.00000000012</v>
      </c>
      <c r="C714" s="68">
        <f>SUM(C712:C713)</f>
        <v>999487</v>
      </c>
      <c r="D714" s="11">
        <f>SUM(D712:D713)</f>
        <v>982840</v>
      </c>
      <c r="E714" s="222">
        <f>D714/C714*100</f>
        <v>98.334445570577714</v>
      </c>
    </row>
    <row r="715" spans="1:5">
      <c r="A715" s="173" t="s">
        <v>222</v>
      </c>
      <c r="B715" s="68">
        <f>+B700+B704+B708+B711+B714</f>
        <v>4584700</v>
      </c>
      <c r="C715" s="68">
        <f>SUM(C700+C704+C708+C711+C714)</f>
        <v>5221487</v>
      </c>
      <c r="D715" s="11">
        <f>SUM(D700+D704+D708+D711+D714)</f>
        <v>5133673</v>
      </c>
      <c r="E715" s="222">
        <f t="shared" si="22"/>
        <v>98.318218545789733</v>
      </c>
    </row>
    <row r="716" spans="1:5">
      <c r="A716" s="173"/>
      <c r="B716" s="94"/>
      <c r="C716" s="182"/>
      <c r="D716" s="17"/>
      <c r="E716" s="222"/>
    </row>
    <row r="717" spans="1:5">
      <c r="A717" s="330" t="s">
        <v>18</v>
      </c>
      <c r="B717" s="95">
        <f>B688+B694+B715</f>
        <v>19132700</v>
      </c>
      <c r="C717" s="95">
        <f>SUM(C688+C694+C715)</f>
        <v>21605726</v>
      </c>
      <c r="D717" s="11">
        <f>SUM(D688+D694+D715)</f>
        <v>21514888</v>
      </c>
      <c r="E717" s="222">
        <f t="shared" si="22"/>
        <v>99.579565157866028</v>
      </c>
    </row>
    <row r="718" spans="1:5">
      <c r="A718" s="330"/>
      <c r="B718" s="94"/>
      <c r="C718" s="182"/>
      <c r="D718" s="17"/>
    </row>
    <row r="719" spans="1:5">
      <c r="A719" s="341"/>
      <c r="B719" s="97"/>
      <c r="C719" s="96"/>
      <c r="D719" s="17"/>
    </row>
    <row r="720" spans="1:5">
      <c r="A720" s="650" t="s">
        <v>152</v>
      </c>
      <c r="B720" s="651"/>
      <c r="C720" s="651"/>
      <c r="D720" s="651"/>
      <c r="E720" s="652"/>
    </row>
    <row r="721" spans="1:5">
      <c r="A721" s="342"/>
      <c r="B721" s="97"/>
      <c r="C721" s="96"/>
      <c r="D721" s="17"/>
    </row>
    <row r="722" spans="1:5">
      <c r="A722" s="303" t="s">
        <v>74</v>
      </c>
      <c r="B722" s="97">
        <v>42991000</v>
      </c>
      <c r="C722" s="96">
        <v>42327000</v>
      </c>
      <c r="D722" s="6">
        <v>42326447</v>
      </c>
      <c r="E722" s="221">
        <f t="shared" ref="E722:E761" si="23">D722/C722*100</f>
        <v>99.99869350532758</v>
      </c>
    </row>
    <row r="723" spans="1:5">
      <c r="A723" s="333" t="s">
        <v>46</v>
      </c>
      <c r="B723" s="97">
        <v>929000</v>
      </c>
      <c r="C723" s="96">
        <v>900000</v>
      </c>
      <c r="D723" s="6">
        <v>899241</v>
      </c>
      <c r="E723" s="221">
        <f t="shared" si="23"/>
        <v>99.915666666666667</v>
      </c>
    </row>
    <row r="724" spans="1:5">
      <c r="A724" s="333" t="s">
        <v>44</v>
      </c>
      <c r="B724" s="97">
        <v>78000</v>
      </c>
      <c r="C724" s="96">
        <v>119723</v>
      </c>
      <c r="D724" s="6">
        <v>119075</v>
      </c>
      <c r="E724" s="221">
        <f t="shared" si="23"/>
        <v>99.458750616005275</v>
      </c>
    </row>
    <row r="725" spans="1:5">
      <c r="A725" s="333" t="s">
        <v>342</v>
      </c>
      <c r="B725" s="97">
        <v>0</v>
      </c>
      <c r="C725" s="96">
        <v>0</v>
      </c>
      <c r="D725" s="6">
        <v>0</v>
      </c>
      <c r="E725" s="221">
        <v>0</v>
      </c>
    </row>
    <row r="726" spans="1:5" ht="22.5">
      <c r="A726" s="333" t="s">
        <v>39</v>
      </c>
      <c r="B726" s="97">
        <v>80000</v>
      </c>
      <c r="C726" s="96">
        <v>460277</v>
      </c>
      <c r="D726" s="6">
        <v>460277</v>
      </c>
      <c r="E726" s="221">
        <f t="shared" si="23"/>
        <v>100</v>
      </c>
    </row>
    <row r="727" spans="1:5">
      <c r="A727" s="333" t="s">
        <v>41</v>
      </c>
      <c r="B727" s="97">
        <v>400000</v>
      </c>
      <c r="C727" s="96">
        <v>414000</v>
      </c>
      <c r="D727" s="6">
        <v>413400</v>
      </c>
      <c r="E727" s="221">
        <f t="shared" si="23"/>
        <v>99.85507246376811</v>
      </c>
    </row>
    <row r="728" spans="1:5">
      <c r="A728" s="304" t="s">
        <v>198</v>
      </c>
      <c r="B728" s="98">
        <f>SUM(B722:B727)</f>
        <v>44478000</v>
      </c>
      <c r="C728" s="98">
        <f>SUM(C722:C727)</f>
        <v>44221000</v>
      </c>
      <c r="D728" s="11">
        <f>SUM(D722:D727)</f>
        <v>44218440</v>
      </c>
      <c r="E728" s="222">
        <f t="shared" si="23"/>
        <v>99.994210895275998</v>
      </c>
    </row>
    <row r="729" spans="1:5">
      <c r="A729" s="304"/>
      <c r="B729" s="98"/>
      <c r="C729" s="98"/>
      <c r="D729" s="17"/>
      <c r="E729" s="221"/>
    </row>
    <row r="730" spans="1:5">
      <c r="A730" s="303" t="s">
        <v>138</v>
      </c>
      <c r="B730" s="97">
        <v>11966000</v>
      </c>
      <c r="C730" s="96">
        <v>11870000</v>
      </c>
      <c r="D730" s="6">
        <v>11869084</v>
      </c>
      <c r="E730" s="221">
        <f t="shared" si="23"/>
        <v>99.99228306655435</v>
      </c>
    </row>
    <row r="731" spans="1:5">
      <c r="A731" s="303" t="s">
        <v>199</v>
      </c>
      <c r="B731" s="97">
        <v>25000</v>
      </c>
      <c r="C731" s="96">
        <v>34000</v>
      </c>
      <c r="D731" s="6">
        <v>33740</v>
      </c>
      <c r="E731" s="221">
        <f t="shared" si="23"/>
        <v>99.235294117647058</v>
      </c>
    </row>
    <row r="732" spans="1:5">
      <c r="A732" s="303" t="s">
        <v>45</v>
      </c>
      <c r="B732" s="97">
        <v>20000</v>
      </c>
      <c r="C732" s="96">
        <v>152000</v>
      </c>
      <c r="D732" s="6">
        <v>151738</v>
      </c>
      <c r="E732" s="221">
        <f t="shared" si="23"/>
        <v>99.827631578947376</v>
      </c>
    </row>
    <row r="733" spans="1:5">
      <c r="A733" s="303" t="s">
        <v>42</v>
      </c>
      <c r="B733" s="97">
        <v>177000</v>
      </c>
      <c r="C733" s="96">
        <v>173000</v>
      </c>
      <c r="D733" s="6">
        <v>172747</v>
      </c>
      <c r="E733" s="221">
        <f t="shared" si="23"/>
        <v>99.853757225433526</v>
      </c>
    </row>
    <row r="734" spans="1:5">
      <c r="A734" s="304" t="s">
        <v>200</v>
      </c>
      <c r="B734" s="98">
        <f>SUM(B730:B733)</f>
        <v>12188000</v>
      </c>
      <c r="C734" s="98">
        <f>SUM(C730:C733)</f>
        <v>12229000</v>
      </c>
      <c r="D734" s="11">
        <f>SUM(D730:D733)</f>
        <v>12227309</v>
      </c>
      <c r="E734" s="222">
        <f t="shared" si="23"/>
        <v>99.986172213590635</v>
      </c>
    </row>
    <row r="735" spans="1:5">
      <c r="A735" s="334"/>
      <c r="B735" s="97"/>
      <c r="C735" s="96"/>
      <c r="D735" s="17"/>
      <c r="E735" s="221"/>
    </row>
    <row r="736" spans="1:5">
      <c r="A736" s="301" t="s">
        <v>204</v>
      </c>
      <c r="B736" s="82">
        <v>20000</v>
      </c>
      <c r="C736" s="82">
        <v>15000</v>
      </c>
      <c r="D736" s="6">
        <v>14794</v>
      </c>
      <c r="E736" s="221">
        <f t="shared" si="23"/>
        <v>98.626666666666665</v>
      </c>
    </row>
    <row r="737" spans="1:5">
      <c r="A737" s="302" t="s">
        <v>202</v>
      </c>
      <c r="B737" s="82">
        <v>60000</v>
      </c>
      <c r="C737" s="82">
        <v>30000</v>
      </c>
      <c r="D737" s="6">
        <v>13695</v>
      </c>
      <c r="E737" s="221">
        <f t="shared" si="23"/>
        <v>45.65</v>
      </c>
    </row>
    <row r="738" spans="1:5">
      <c r="A738" s="302" t="s">
        <v>203</v>
      </c>
      <c r="B738" s="82">
        <v>50000</v>
      </c>
      <c r="C738" s="82">
        <v>50000</v>
      </c>
      <c r="D738" s="6">
        <v>16466</v>
      </c>
      <c r="E738" s="221">
        <f t="shared" si="23"/>
        <v>32.932000000000002</v>
      </c>
    </row>
    <row r="739" spans="1:5">
      <c r="A739" s="302" t="s">
        <v>376</v>
      </c>
      <c r="B739" s="82">
        <v>0</v>
      </c>
      <c r="C739" s="82">
        <v>30000</v>
      </c>
      <c r="D739" s="6">
        <v>23141</v>
      </c>
      <c r="E739" s="221">
        <f t="shared" si="23"/>
        <v>77.13666666666667</v>
      </c>
    </row>
    <row r="740" spans="1:5">
      <c r="A740" s="302" t="s">
        <v>205</v>
      </c>
      <c r="B740" s="35">
        <v>100000</v>
      </c>
      <c r="C740" s="35">
        <v>139000</v>
      </c>
      <c r="D740" s="6">
        <v>138926</v>
      </c>
      <c r="E740" s="221">
        <f t="shared" si="23"/>
        <v>99.946762589928056</v>
      </c>
    </row>
    <row r="741" spans="1:5">
      <c r="A741" s="302" t="s">
        <v>374</v>
      </c>
      <c r="B741" s="35">
        <v>0</v>
      </c>
      <c r="C741" s="35">
        <v>25000</v>
      </c>
      <c r="D741" s="6">
        <v>22937</v>
      </c>
      <c r="E741" s="221">
        <f t="shared" si="23"/>
        <v>91.74799999999999</v>
      </c>
    </row>
    <row r="742" spans="1:5">
      <c r="A742" s="302" t="s">
        <v>337</v>
      </c>
      <c r="B742" s="35">
        <v>0</v>
      </c>
      <c r="C742" s="35">
        <v>16000</v>
      </c>
      <c r="D742" s="6">
        <v>9764</v>
      </c>
      <c r="E742" s="221">
        <f t="shared" si="23"/>
        <v>61.024999999999999</v>
      </c>
    </row>
    <row r="743" spans="1:5">
      <c r="A743" s="334" t="s">
        <v>208</v>
      </c>
      <c r="B743" s="68">
        <f>SUM(B736:B742)</f>
        <v>230000</v>
      </c>
      <c r="C743" s="68">
        <f>SUM(C736:C742)</f>
        <v>305000</v>
      </c>
      <c r="D743" s="11">
        <f>SUM(D736:D742)</f>
        <v>239723</v>
      </c>
      <c r="E743" s="222">
        <f t="shared" si="23"/>
        <v>78.59770491803279</v>
      </c>
    </row>
    <row r="744" spans="1:5">
      <c r="A744" s="334"/>
      <c r="B744" s="68"/>
      <c r="C744" s="68"/>
      <c r="D744" s="17"/>
      <c r="E744" s="221"/>
    </row>
    <row r="745" spans="1:5">
      <c r="A745" s="302" t="s">
        <v>214</v>
      </c>
      <c r="B745" s="35">
        <v>420000</v>
      </c>
      <c r="C745" s="35">
        <v>230000</v>
      </c>
      <c r="D745" s="6">
        <v>217309</v>
      </c>
      <c r="E745" s="221">
        <f t="shared" si="23"/>
        <v>94.482173913043482</v>
      </c>
    </row>
    <row r="746" spans="1:5">
      <c r="A746" s="302" t="s">
        <v>219</v>
      </c>
      <c r="B746" s="35">
        <v>160000</v>
      </c>
      <c r="C746" s="35">
        <v>164000</v>
      </c>
      <c r="D746" s="6">
        <v>150000</v>
      </c>
      <c r="E746" s="221">
        <f t="shared" si="23"/>
        <v>91.463414634146346</v>
      </c>
    </row>
    <row r="747" spans="1:5">
      <c r="A747" s="328" t="s">
        <v>216</v>
      </c>
      <c r="B747" s="68">
        <f>SUM(B745:B746)</f>
        <v>580000</v>
      </c>
      <c r="C747" s="68">
        <f>SUM(C745:C746)</f>
        <v>394000</v>
      </c>
      <c r="D747" s="11">
        <f>SUM(D745:D746)</f>
        <v>367309</v>
      </c>
      <c r="E747" s="222">
        <f t="shared" si="23"/>
        <v>93.225634517766494</v>
      </c>
    </row>
    <row r="748" spans="1:5">
      <c r="A748" s="328"/>
      <c r="B748" s="68"/>
      <c r="C748" s="68"/>
      <c r="D748" s="17"/>
      <c r="E748" s="221"/>
    </row>
    <row r="749" spans="1:5">
      <c r="A749" s="302" t="s">
        <v>215</v>
      </c>
      <c r="B749" s="35">
        <v>50000</v>
      </c>
      <c r="C749" s="35">
        <v>0</v>
      </c>
      <c r="D749" s="17">
        <v>0</v>
      </c>
      <c r="E749" s="221">
        <v>0</v>
      </c>
    </row>
    <row r="750" spans="1:5">
      <c r="A750" s="328" t="s">
        <v>217</v>
      </c>
      <c r="B750" s="68">
        <f>SUM(B749:B749)</f>
        <v>50000</v>
      </c>
      <c r="C750" s="68">
        <f>SUM(C749)</f>
        <v>0</v>
      </c>
      <c r="D750" s="70">
        <f>SUM(D749)</f>
        <v>0</v>
      </c>
      <c r="E750" s="222">
        <v>0</v>
      </c>
    </row>
    <row r="751" spans="1:5">
      <c r="A751" s="302" t="s">
        <v>226</v>
      </c>
      <c r="B751" s="67">
        <f>(B736+B737+B738+B740+B745+B746)*0.27</f>
        <v>218700</v>
      </c>
      <c r="C751" s="67">
        <v>64813</v>
      </c>
      <c r="D751" s="6">
        <v>59123</v>
      </c>
      <c r="E751" s="221">
        <f t="shared" si="23"/>
        <v>91.220897042260034</v>
      </c>
    </row>
    <row r="752" spans="1:5" ht="11.25" customHeight="1">
      <c r="A752" s="334" t="s">
        <v>221</v>
      </c>
      <c r="B752" s="68">
        <f>SUM(B751:B751)</f>
        <v>218700</v>
      </c>
      <c r="C752" s="68">
        <f>SUM(C751)</f>
        <v>64813</v>
      </c>
      <c r="D752" s="11">
        <f>SUM(D751)</f>
        <v>59123</v>
      </c>
      <c r="E752" s="222">
        <f t="shared" si="23"/>
        <v>91.220897042260034</v>
      </c>
    </row>
    <row r="753" spans="1:5">
      <c r="A753" s="173" t="s">
        <v>222</v>
      </c>
      <c r="B753" s="68">
        <f>B743+B747+B750+B752</f>
        <v>1078700</v>
      </c>
      <c r="C753" s="68">
        <f>SUM(C743+C747+C752)</f>
        <v>763813</v>
      </c>
      <c r="D753" s="11">
        <f>SUM(D743+D747+D752)</f>
        <v>666155</v>
      </c>
      <c r="E753" s="222">
        <f t="shared" si="23"/>
        <v>87.214409809730924</v>
      </c>
    </row>
    <row r="754" spans="1:5">
      <c r="A754" s="173"/>
      <c r="B754" s="97"/>
      <c r="C754" s="96"/>
      <c r="D754" s="17"/>
      <c r="E754" s="222"/>
    </row>
    <row r="755" spans="1:5">
      <c r="A755" s="330" t="s">
        <v>18</v>
      </c>
      <c r="B755" s="98">
        <f>B728+B734+B753</f>
        <v>57744700</v>
      </c>
      <c r="C755" s="98">
        <f>SUM(C728+C734+C753)</f>
        <v>57213813</v>
      </c>
      <c r="D755" s="11">
        <f>SUM(D728+D734+D753)</f>
        <v>57111904</v>
      </c>
      <c r="E755" s="222">
        <f t="shared" si="23"/>
        <v>99.821880425973347</v>
      </c>
    </row>
    <row r="756" spans="1:5">
      <c r="A756" s="330"/>
      <c r="B756" s="97"/>
      <c r="C756" s="96"/>
      <c r="D756" s="17"/>
      <c r="E756" s="222"/>
    </row>
    <row r="757" spans="1:5">
      <c r="A757" s="304"/>
      <c r="B757" s="36"/>
      <c r="C757" s="36"/>
      <c r="D757" s="17"/>
      <c r="E757" s="222"/>
    </row>
    <row r="758" spans="1:5">
      <c r="A758" s="304" t="s">
        <v>198</v>
      </c>
      <c r="B758" s="98">
        <f>B688+B728</f>
        <v>55917000</v>
      </c>
      <c r="C758" s="98">
        <f>SUM(C688+C728)</f>
        <v>57119700</v>
      </c>
      <c r="D758" s="11">
        <f>SUM(D688+D728)</f>
        <v>57115098</v>
      </c>
      <c r="E758" s="222">
        <f t="shared" si="23"/>
        <v>99.991943234995986</v>
      </c>
    </row>
    <row r="759" spans="1:5">
      <c r="A759" s="304" t="s">
        <v>200</v>
      </c>
      <c r="B759" s="98">
        <f>B734+B694</f>
        <v>15297000</v>
      </c>
      <c r="C759" s="98">
        <f>SUM(C694+C734)</f>
        <v>15714539</v>
      </c>
      <c r="D759" s="11">
        <f>SUM(D694+D734)</f>
        <v>15711866</v>
      </c>
      <c r="E759" s="222">
        <f t="shared" si="23"/>
        <v>99.982990274165857</v>
      </c>
    </row>
    <row r="760" spans="1:5">
      <c r="A760" s="173" t="s">
        <v>258</v>
      </c>
      <c r="B760" s="98">
        <f>SUM(B675+B715+B753)</f>
        <v>54472040</v>
      </c>
      <c r="C760" s="98">
        <f>SUM(C675+C715+C753)</f>
        <v>54265040</v>
      </c>
      <c r="D760" s="11">
        <f>SUM(D675+D715+D753)</f>
        <v>48009755</v>
      </c>
      <c r="E760" s="222">
        <f t="shared" si="23"/>
        <v>88.472716504032803</v>
      </c>
    </row>
    <row r="761" spans="1:5" ht="22.5">
      <c r="A761" s="173" t="s">
        <v>60</v>
      </c>
      <c r="B761" s="98">
        <f>SUM(B758:B760)</f>
        <v>125686040</v>
      </c>
      <c r="C761" s="98">
        <f>SUM(C758:C760)</f>
        <v>127099279</v>
      </c>
      <c r="D761" s="11">
        <f>SUM(D758:D760)</f>
        <v>120836719</v>
      </c>
      <c r="E761" s="222">
        <f t="shared" si="23"/>
        <v>95.072702182677219</v>
      </c>
    </row>
    <row r="762" spans="1:5">
      <c r="A762" s="342"/>
      <c r="B762" s="97"/>
      <c r="C762" s="96"/>
      <c r="D762" s="17"/>
      <c r="E762" s="141"/>
    </row>
    <row r="763" spans="1:5">
      <c r="A763" s="343"/>
      <c r="B763" s="97"/>
      <c r="C763" s="96"/>
      <c r="D763" s="17"/>
      <c r="E763" s="141"/>
    </row>
    <row r="764" spans="1:5">
      <c r="A764" s="343"/>
      <c r="B764" s="97"/>
      <c r="C764" s="96"/>
      <c r="D764" s="17"/>
      <c r="E764" s="141"/>
    </row>
    <row r="765" spans="1:5">
      <c r="A765" s="343"/>
      <c r="B765" s="97"/>
      <c r="C765" s="96"/>
      <c r="D765" s="17"/>
      <c r="E765" s="141"/>
    </row>
    <row r="766" spans="1:5">
      <c r="A766" s="343"/>
      <c r="B766" s="97"/>
      <c r="C766" s="96"/>
      <c r="D766" s="17"/>
      <c r="E766" s="141"/>
    </row>
    <row r="767" spans="1:5">
      <c r="A767" s="343"/>
      <c r="B767" s="97"/>
      <c r="C767" s="96"/>
      <c r="D767" s="17"/>
      <c r="E767" s="141"/>
    </row>
    <row r="768" spans="1:5">
      <c r="A768" s="343"/>
      <c r="B768" s="97"/>
      <c r="C768" s="96"/>
      <c r="D768" s="17"/>
      <c r="E768" s="141"/>
    </row>
    <row r="769" spans="1:5">
      <c r="A769" s="343"/>
      <c r="B769" s="97"/>
      <c r="C769" s="96"/>
      <c r="D769" s="17"/>
      <c r="E769" s="141"/>
    </row>
    <row r="770" spans="1:5">
      <c r="A770" s="343"/>
      <c r="B770" s="97"/>
      <c r="C770" s="96"/>
      <c r="D770" s="17"/>
      <c r="E770" s="141"/>
    </row>
    <row r="771" spans="1:5">
      <c r="A771" s="343"/>
      <c r="B771" s="97"/>
      <c r="C771" s="96"/>
      <c r="D771" s="17"/>
      <c r="E771" s="141"/>
    </row>
    <row r="772" spans="1:5">
      <c r="A772" s="343"/>
      <c r="B772" s="97"/>
      <c r="C772" s="96"/>
      <c r="D772" s="17"/>
      <c r="E772" s="141"/>
    </row>
    <row r="773" spans="1:5">
      <c r="A773" s="656" t="s">
        <v>291</v>
      </c>
      <c r="B773" s="656"/>
      <c r="C773" s="656"/>
      <c r="D773" s="656"/>
    </row>
    <row r="774" spans="1:5">
      <c r="A774" s="340"/>
      <c r="B774" s="115"/>
      <c r="C774" s="191"/>
      <c r="D774" s="17"/>
    </row>
    <row r="775" spans="1:5">
      <c r="A775" s="649" t="s">
        <v>107</v>
      </c>
      <c r="B775" s="649"/>
      <c r="C775" s="649"/>
      <c r="D775" s="649"/>
    </row>
    <row r="776" spans="1:5">
      <c r="A776" s="341"/>
      <c r="B776" s="96"/>
      <c r="C776" s="96"/>
      <c r="D776" s="17"/>
    </row>
    <row r="777" spans="1:5">
      <c r="A777" s="653" t="s">
        <v>249</v>
      </c>
      <c r="B777" s="654"/>
      <c r="C777" s="654"/>
      <c r="D777" s="654"/>
      <c r="E777" s="655"/>
    </row>
    <row r="778" spans="1:5">
      <c r="A778" s="342"/>
      <c r="B778" s="97"/>
      <c r="C778" s="96"/>
      <c r="D778" s="17"/>
    </row>
    <row r="779" spans="1:5">
      <c r="A779" s="303" t="s">
        <v>75</v>
      </c>
      <c r="B779" s="97">
        <v>8695000</v>
      </c>
      <c r="C779" s="96">
        <v>8791000</v>
      </c>
      <c r="D779" s="6">
        <v>8789966</v>
      </c>
      <c r="E779" s="221">
        <f t="shared" ref="E779:E826" si="24">D779/C779*100</f>
        <v>99.988237970651809</v>
      </c>
    </row>
    <row r="780" spans="1:5">
      <c r="A780" s="333" t="s">
        <v>46</v>
      </c>
      <c r="B780" s="97">
        <v>171000</v>
      </c>
      <c r="C780" s="96">
        <v>0</v>
      </c>
      <c r="D780" s="17">
        <v>0</v>
      </c>
      <c r="E780" s="221">
        <v>0</v>
      </c>
    </row>
    <row r="781" spans="1:5">
      <c r="A781" s="333" t="s">
        <v>44</v>
      </c>
      <c r="B781" s="97">
        <v>30000</v>
      </c>
      <c r="C781" s="96">
        <v>46000</v>
      </c>
      <c r="D781" s="6">
        <v>45800</v>
      </c>
      <c r="E781" s="221">
        <f t="shared" si="24"/>
        <v>99.565217391304344</v>
      </c>
    </row>
    <row r="782" spans="1:5">
      <c r="A782" s="333" t="s">
        <v>358</v>
      </c>
      <c r="B782" s="97">
        <v>0</v>
      </c>
      <c r="C782" s="96">
        <v>67000</v>
      </c>
      <c r="D782" s="6">
        <v>66666</v>
      </c>
      <c r="E782" s="221">
        <f t="shared" si="24"/>
        <v>99.501492537313425</v>
      </c>
    </row>
    <row r="783" spans="1:5">
      <c r="A783" s="333" t="s">
        <v>342</v>
      </c>
      <c r="B783" s="97">
        <v>0</v>
      </c>
      <c r="C783" s="96">
        <v>427200</v>
      </c>
      <c r="D783" s="6">
        <v>425061</v>
      </c>
      <c r="E783" s="221">
        <f t="shared" si="24"/>
        <v>99.499297752808985</v>
      </c>
    </row>
    <row r="784" spans="1:5" ht="14.25" customHeight="1">
      <c r="A784" s="333" t="s">
        <v>39</v>
      </c>
      <c r="B784" s="97">
        <v>40000</v>
      </c>
      <c r="C784" s="96">
        <v>0</v>
      </c>
      <c r="D784" s="17">
        <v>0</v>
      </c>
      <c r="E784" s="221">
        <v>0</v>
      </c>
    </row>
    <row r="785" spans="1:5">
      <c r="A785" s="333" t="s">
        <v>41</v>
      </c>
      <c r="B785" s="97">
        <v>400000</v>
      </c>
      <c r="C785" s="96">
        <v>319000</v>
      </c>
      <c r="D785" s="6">
        <v>313500</v>
      </c>
      <c r="E785" s="221">
        <f t="shared" si="24"/>
        <v>98.275862068965509</v>
      </c>
    </row>
    <row r="786" spans="1:5">
      <c r="A786" s="333" t="s">
        <v>373</v>
      </c>
      <c r="B786" s="97"/>
      <c r="C786" s="96">
        <v>201000</v>
      </c>
      <c r="D786" s="6">
        <v>200541</v>
      </c>
      <c r="E786" s="221">
        <f t="shared" si="24"/>
        <v>99.771641791044772</v>
      </c>
    </row>
    <row r="787" spans="1:5">
      <c r="A787" s="304" t="s">
        <v>198</v>
      </c>
      <c r="B787" s="98">
        <f>SUM(B779:B786)</f>
        <v>9336000</v>
      </c>
      <c r="C787" s="98">
        <f>SUM(C779:C786)</f>
        <v>9851200</v>
      </c>
      <c r="D787" s="11">
        <f>SUM(D779:D786)</f>
        <v>9841534</v>
      </c>
      <c r="E787" s="222">
        <f t="shared" si="24"/>
        <v>99.901879974013326</v>
      </c>
    </row>
    <row r="788" spans="1:5">
      <c r="A788" s="304"/>
      <c r="B788" s="98"/>
      <c r="C788" s="98"/>
      <c r="D788" s="17"/>
      <c r="E788" s="221"/>
    </row>
    <row r="789" spans="1:5">
      <c r="A789" s="303" t="s">
        <v>138</v>
      </c>
      <c r="B789" s="97">
        <v>2456000</v>
      </c>
      <c r="C789" s="96">
        <v>2488254</v>
      </c>
      <c r="D789" s="6">
        <v>2487585</v>
      </c>
      <c r="E789" s="221">
        <f t="shared" si="24"/>
        <v>99.973113677301427</v>
      </c>
    </row>
    <row r="790" spans="1:5">
      <c r="A790" s="303" t="s">
        <v>199</v>
      </c>
      <c r="B790" s="97">
        <v>65000</v>
      </c>
      <c r="C790" s="96">
        <v>154000</v>
      </c>
      <c r="D790" s="6">
        <v>153115</v>
      </c>
      <c r="E790" s="221">
        <f t="shared" si="24"/>
        <v>99.425324675324674</v>
      </c>
    </row>
    <row r="791" spans="1:5">
      <c r="A791" s="303" t="s">
        <v>45</v>
      </c>
      <c r="B791" s="97">
        <v>20000</v>
      </c>
      <c r="C791" s="96">
        <v>17000</v>
      </c>
      <c r="D791" s="6">
        <v>10787</v>
      </c>
      <c r="E791" s="221">
        <f t="shared" si="24"/>
        <v>63.452941176470588</v>
      </c>
    </row>
    <row r="792" spans="1:5">
      <c r="A792" s="303" t="s">
        <v>42</v>
      </c>
      <c r="B792" s="97">
        <v>38000</v>
      </c>
      <c r="C792" s="96">
        <v>91000</v>
      </c>
      <c r="D792" s="6">
        <v>90733</v>
      </c>
      <c r="E792" s="221">
        <f t="shared" si="24"/>
        <v>99.706593406593399</v>
      </c>
    </row>
    <row r="793" spans="1:5">
      <c r="A793" s="304" t="s">
        <v>200</v>
      </c>
      <c r="B793" s="98">
        <f>SUM(B789:B792)</f>
        <v>2579000</v>
      </c>
      <c r="C793" s="98">
        <f>SUM(C789:C792)</f>
        <v>2750254</v>
      </c>
      <c r="D793" s="11">
        <f>SUM(D789:D792)</f>
        <v>2742220</v>
      </c>
      <c r="E793" s="222">
        <f t="shared" si="24"/>
        <v>99.707881526579001</v>
      </c>
    </row>
    <row r="794" spans="1:5">
      <c r="A794" s="334"/>
      <c r="B794" s="97"/>
      <c r="C794" s="96"/>
      <c r="D794" s="17"/>
      <c r="E794" s="221"/>
    </row>
    <row r="795" spans="1:5">
      <c r="A795" s="301" t="s">
        <v>204</v>
      </c>
      <c r="B795" s="82">
        <v>3000</v>
      </c>
      <c r="C795" s="82">
        <v>3000</v>
      </c>
      <c r="D795" s="17">
        <v>0</v>
      </c>
      <c r="E795" s="221">
        <f t="shared" si="24"/>
        <v>0</v>
      </c>
    </row>
    <row r="796" spans="1:5">
      <c r="A796" s="302" t="s">
        <v>202</v>
      </c>
      <c r="B796" s="82">
        <v>20000</v>
      </c>
      <c r="C796" s="82">
        <v>79000</v>
      </c>
      <c r="D796" s="6">
        <v>78219</v>
      </c>
      <c r="E796" s="221">
        <f t="shared" si="24"/>
        <v>99.01139240506329</v>
      </c>
    </row>
    <row r="797" spans="1:5">
      <c r="A797" s="302" t="s">
        <v>203</v>
      </c>
      <c r="B797" s="82">
        <v>45000</v>
      </c>
      <c r="C797" s="82">
        <v>47000</v>
      </c>
      <c r="D797" s="6">
        <v>46800</v>
      </c>
      <c r="E797" s="221">
        <f t="shared" si="24"/>
        <v>99.574468085106389</v>
      </c>
    </row>
    <row r="798" spans="1:5">
      <c r="A798" s="302" t="s">
        <v>205</v>
      </c>
      <c r="B798" s="35">
        <v>300000</v>
      </c>
      <c r="C798" s="35">
        <v>35000</v>
      </c>
      <c r="D798" s="17">
        <v>0</v>
      </c>
      <c r="E798" s="221">
        <f t="shared" si="24"/>
        <v>0</v>
      </c>
    </row>
    <row r="799" spans="1:5">
      <c r="A799" s="302" t="s">
        <v>377</v>
      </c>
      <c r="B799" s="35">
        <v>0</v>
      </c>
      <c r="C799" s="35">
        <v>200200</v>
      </c>
      <c r="D799" s="6">
        <v>200189</v>
      </c>
      <c r="E799" s="221">
        <f t="shared" si="24"/>
        <v>99.994505494505489</v>
      </c>
    </row>
    <row r="800" spans="1:5">
      <c r="A800" s="334" t="s">
        <v>208</v>
      </c>
      <c r="B800" s="68">
        <f>SUM(B795:B799)</f>
        <v>368000</v>
      </c>
      <c r="C800" s="68">
        <f>SUM(C795:C799)</f>
        <v>364200</v>
      </c>
      <c r="D800" s="11">
        <f>SUM(D795:D799)</f>
        <v>325208</v>
      </c>
      <c r="E800" s="222">
        <f t="shared" si="24"/>
        <v>89.293794618341565</v>
      </c>
    </row>
    <row r="801" spans="1:5">
      <c r="A801" s="302" t="s">
        <v>272</v>
      </c>
      <c r="B801" s="35">
        <v>100000</v>
      </c>
      <c r="C801" s="35">
        <v>160000</v>
      </c>
      <c r="D801" s="6">
        <v>142119</v>
      </c>
      <c r="E801" s="221">
        <f t="shared" si="24"/>
        <v>88.824375000000003</v>
      </c>
    </row>
    <row r="802" spans="1:5">
      <c r="A802" s="302" t="s">
        <v>273</v>
      </c>
      <c r="B802" s="35">
        <v>30000</v>
      </c>
      <c r="C802" s="35">
        <v>29800</v>
      </c>
      <c r="D802" s="6">
        <v>23622</v>
      </c>
      <c r="E802" s="221">
        <f t="shared" si="24"/>
        <v>79.268456375838923</v>
      </c>
    </row>
    <row r="803" spans="1:5">
      <c r="A803" s="302" t="s">
        <v>207</v>
      </c>
      <c r="B803" s="35">
        <v>400000</v>
      </c>
      <c r="C803" s="35">
        <v>1187100</v>
      </c>
      <c r="D803" s="6">
        <v>1180329</v>
      </c>
      <c r="E803" s="221">
        <f t="shared" si="24"/>
        <v>99.429618397776096</v>
      </c>
    </row>
    <row r="804" spans="1:5">
      <c r="A804" s="334" t="s">
        <v>209</v>
      </c>
      <c r="B804" s="68">
        <f>SUM(B801:B803)</f>
        <v>530000</v>
      </c>
      <c r="C804" s="68">
        <f>SUM(C801:C803)</f>
        <v>1376900</v>
      </c>
      <c r="D804" s="11">
        <f>SUM(D801:D803)</f>
        <v>1346070</v>
      </c>
      <c r="E804" s="222">
        <f t="shared" si="24"/>
        <v>97.760912194059117</v>
      </c>
    </row>
    <row r="805" spans="1:5">
      <c r="A805" s="301" t="s">
        <v>212</v>
      </c>
      <c r="B805" s="35">
        <v>285000</v>
      </c>
      <c r="C805" s="35">
        <v>300000</v>
      </c>
      <c r="D805" s="6">
        <v>299220</v>
      </c>
      <c r="E805" s="221">
        <f t="shared" si="24"/>
        <v>99.74</v>
      </c>
    </row>
    <row r="806" spans="1:5">
      <c r="A806" s="302" t="s">
        <v>211</v>
      </c>
      <c r="B806" s="67">
        <v>260000</v>
      </c>
      <c r="C806" s="67">
        <v>260000</v>
      </c>
      <c r="D806" s="6">
        <v>206465</v>
      </c>
      <c r="E806" s="221">
        <f t="shared" si="24"/>
        <v>79.409615384615378</v>
      </c>
    </row>
    <row r="807" spans="1:5">
      <c r="A807" s="328" t="s">
        <v>210</v>
      </c>
      <c r="B807" s="68">
        <f>SUM(B805:B806)</f>
        <v>545000</v>
      </c>
      <c r="C807" s="68">
        <f>SUM(C805:C806)</f>
        <v>560000</v>
      </c>
      <c r="D807" s="11">
        <f>SUM(D805:D806)</f>
        <v>505685</v>
      </c>
      <c r="E807" s="222">
        <f t="shared" si="24"/>
        <v>90.300892857142856</v>
      </c>
    </row>
    <row r="808" spans="1:5">
      <c r="A808" s="302" t="s">
        <v>223</v>
      </c>
      <c r="B808" s="67">
        <v>1900000</v>
      </c>
      <c r="C808" s="67">
        <v>2300000</v>
      </c>
      <c r="D808" s="6">
        <v>2230797</v>
      </c>
      <c r="E808" s="221">
        <f t="shared" si="24"/>
        <v>96.991173913043482</v>
      </c>
    </row>
    <row r="809" spans="1:5">
      <c r="A809" s="302" t="s">
        <v>224</v>
      </c>
      <c r="B809" s="67">
        <f>473000-37000</f>
        <v>436000</v>
      </c>
      <c r="C809" s="67">
        <v>436000</v>
      </c>
      <c r="D809" s="6">
        <v>419772</v>
      </c>
      <c r="E809" s="221">
        <f t="shared" si="24"/>
        <v>96.277981651376138</v>
      </c>
    </row>
    <row r="810" spans="1:5">
      <c r="A810" s="302" t="s">
        <v>297</v>
      </c>
      <c r="B810" s="35">
        <v>180000</v>
      </c>
      <c r="C810" s="35">
        <v>180000</v>
      </c>
      <c r="D810" s="6">
        <v>159500</v>
      </c>
      <c r="E810" s="221">
        <f t="shared" si="24"/>
        <v>88.611111111111114</v>
      </c>
    </row>
    <row r="811" spans="1:5">
      <c r="A811" s="328" t="s">
        <v>213</v>
      </c>
      <c r="B811" s="68">
        <f>SUM(B808:B810)</f>
        <v>2516000</v>
      </c>
      <c r="C811" s="68">
        <f>SUM(C808:C810)</f>
        <v>2916000</v>
      </c>
      <c r="D811" s="11">
        <f>SUM(D808:D810)</f>
        <v>2810069</v>
      </c>
      <c r="E811" s="222">
        <f t="shared" si="24"/>
        <v>96.367249657064463</v>
      </c>
    </row>
    <row r="812" spans="1:5">
      <c r="A812" s="301" t="s">
        <v>378</v>
      </c>
      <c r="B812" s="67">
        <v>0</v>
      </c>
      <c r="C812" s="67">
        <v>75000</v>
      </c>
      <c r="D812" s="6">
        <v>74000</v>
      </c>
      <c r="E812" s="221">
        <f t="shared" si="24"/>
        <v>98.666666666666671</v>
      </c>
    </row>
    <row r="813" spans="1:5">
      <c r="A813" s="302" t="s">
        <v>227</v>
      </c>
      <c r="B813" s="67">
        <v>200000</v>
      </c>
      <c r="C813" s="67">
        <v>236000</v>
      </c>
      <c r="D813" s="6">
        <v>235277</v>
      </c>
      <c r="E813" s="221">
        <f t="shared" si="24"/>
        <v>99.693644067796612</v>
      </c>
    </row>
    <row r="814" spans="1:5">
      <c r="A814" s="302" t="s">
        <v>191</v>
      </c>
      <c r="B814" s="35">
        <v>3480000</v>
      </c>
      <c r="C814" s="35">
        <v>3126500</v>
      </c>
      <c r="D814" s="6">
        <v>2600142</v>
      </c>
      <c r="E814" s="221">
        <f t="shared" si="24"/>
        <v>83.164624980009592</v>
      </c>
    </row>
    <row r="815" spans="1:5">
      <c r="A815" s="302" t="s">
        <v>298</v>
      </c>
      <c r="B815" s="35">
        <v>750000</v>
      </c>
      <c r="C815" s="35">
        <v>632000</v>
      </c>
      <c r="D815" s="6">
        <v>631200</v>
      </c>
      <c r="E815" s="221">
        <f t="shared" si="24"/>
        <v>99.87341772151899</v>
      </c>
    </row>
    <row r="816" spans="1:5">
      <c r="A816" s="302" t="s">
        <v>90</v>
      </c>
      <c r="B816" s="35">
        <v>1200000</v>
      </c>
      <c r="C816" s="35">
        <v>579000</v>
      </c>
      <c r="D816" s="6">
        <v>467044</v>
      </c>
      <c r="E816" s="221">
        <f t="shared" si="24"/>
        <v>80.663903281519865</v>
      </c>
    </row>
    <row r="817" spans="1:5">
      <c r="A817" s="302" t="s">
        <v>219</v>
      </c>
      <c r="B817" s="35">
        <v>500000</v>
      </c>
      <c r="C817" s="35">
        <v>0</v>
      </c>
      <c r="D817" s="17">
        <v>0</v>
      </c>
      <c r="E817" s="221">
        <v>0</v>
      </c>
    </row>
    <row r="818" spans="1:5">
      <c r="A818" s="328" t="s">
        <v>216</v>
      </c>
      <c r="B818" s="68">
        <f>SUM(B813:B817)</f>
        <v>6130000</v>
      </c>
      <c r="C818" s="68">
        <f>SUM(C812:C817)</f>
        <v>4648500</v>
      </c>
      <c r="D818" s="11">
        <f>SUM(D812:D817)</f>
        <v>4007663</v>
      </c>
      <c r="E818" s="222">
        <f t="shared" si="24"/>
        <v>86.214112079165318</v>
      </c>
    </row>
    <row r="819" spans="1:5">
      <c r="A819" s="302" t="s">
        <v>215</v>
      </c>
      <c r="B819" s="35">
        <v>100000</v>
      </c>
      <c r="C819" s="35">
        <v>100000</v>
      </c>
      <c r="D819" s="6">
        <v>24710</v>
      </c>
      <c r="E819" s="221">
        <f t="shared" si="24"/>
        <v>24.709999999999997</v>
      </c>
    </row>
    <row r="820" spans="1:5">
      <c r="A820" s="328" t="s">
        <v>217</v>
      </c>
      <c r="B820" s="68">
        <f>SUM(B819:B819)</f>
        <v>100000</v>
      </c>
      <c r="C820" s="68">
        <f>SUM(C819)</f>
        <v>100000</v>
      </c>
      <c r="D820" s="11">
        <f>SUM(D819)</f>
        <v>24710</v>
      </c>
      <c r="E820" s="222">
        <f t="shared" si="24"/>
        <v>24.709999999999997</v>
      </c>
    </row>
    <row r="821" spans="1:5">
      <c r="A821" s="302" t="s">
        <v>226</v>
      </c>
      <c r="B821" s="67">
        <f>(B795+B796+B801+B802+B803+B808+B809+B810+B813+B815+B816+B817+B819+B798+B805+B806+B814)*0.27-50</f>
        <v>2738830</v>
      </c>
      <c r="C821" s="67">
        <v>2489155</v>
      </c>
      <c r="D821" s="6">
        <v>1814018</v>
      </c>
      <c r="E821" s="221">
        <f t="shared" si="24"/>
        <v>72.876859817890008</v>
      </c>
    </row>
    <row r="822" spans="1:5">
      <c r="A822" s="302" t="s">
        <v>357</v>
      </c>
      <c r="B822" s="67">
        <v>0</v>
      </c>
      <c r="C822" s="67">
        <v>13000</v>
      </c>
      <c r="D822" s="6">
        <v>9710</v>
      </c>
      <c r="E822" s="221">
        <f t="shared" si="24"/>
        <v>74.692307692307693</v>
      </c>
    </row>
    <row r="823" spans="1:5" ht="22.5">
      <c r="A823" s="334" t="s">
        <v>221</v>
      </c>
      <c r="B823" s="68">
        <f>SUM(B821:B821)</f>
        <v>2738830</v>
      </c>
      <c r="C823" s="68">
        <f>SUM(C821:C822)</f>
        <v>2502155</v>
      </c>
      <c r="D823" s="11">
        <f>SUM(D821:D822)</f>
        <v>1823728</v>
      </c>
      <c r="E823" s="222">
        <f t="shared" si="24"/>
        <v>72.886292016281956</v>
      </c>
    </row>
    <row r="824" spans="1:5">
      <c r="A824" s="173" t="s">
        <v>222</v>
      </c>
      <c r="B824" s="68">
        <f>B800+B804+B807+B811+B818+B820+B823</f>
        <v>12927830</v>
      </c>
      <c r="C824" s="68">
        <f>SUM(C800+C804+C807+C811+C818+C820+C823)</f>
        <v>12467755</v>
      </c>
      <c r="D824" s="11">
        <f>SUM(D800+D804+D807+D811+D818+D820+D823)</f>
        <v>10843133</v>
      </c>
      <c r="E824" s="222">
        <f t="shared" si="24"/>
        <v>86.969410290786115</v>
      </c>
    </row>
    <row r="825" spans="1:5">
      <c r="A825" s="173"/>
      <c r="B825" s="97"/>
      <c r="C825" s="96"/>
      <c r="D825" s="17"/>
      <c r="E825" s="222"/>
    </row>
    <row r="826" spans="1:5">
      <c r="A826" s="330" t="s">
        <v>18</v>
      </c>
      <c r="B826" s="98">
        <f>B787+B793+B824</f>
        <v>24842830</v>
      </c>
      <c r="C826" s="98">
        <f>SUM(C787+C793+C824)</f>
        <v>25069209</v>
      </c>
      <c r="D826" s="11">
        <f>SUM(D787+D793+D824)</f>
        <v>23426887</v>
      </c>
      <c r="E826" s="222">
        <f t="shared" si="24"/>
        <v>93.448847947296628</v>
      </c>
    </row>
    <row r="827" spans="1:5">
      <c r="A827" s="342"/>
      <c r="B827" s="97"/>
      <c r="C827" s="96"/>
      <c r="D827" s="17"/>
      <c r="E827" s="17"/>
    </row>
    <row r="828" spans="1:5">
      <c r="A828" s="650" t="s">
        <v>101</v>
      </c>
      <c r="B828" s="651"/>
      <c r="C828" s="651"/>
      <c r="D828" s="651"/>
      <c r="E828" s="652"/>
    </row>
    <row r="829" spans="1:5">
      <c r="A829" s="303" t="s">
        <v>37</v>
      </c>
      <c r="B829" s="97">
        <v>2176000</v>
      </c>
      <c r="C829" s="96">
        <v>2477000</v>
      </c>
      <c r="D829" s="6">
        <v>2476650</v>
      </c>
      <c r="E829" s="221">
        <f t="shared" ref="E829:E872" si="25">D829/C829*100</f>
        <v>99.985870004037139</v>
      </c>
    </row>
    <row r="830" spans="1:5">
      <c r="A830" s="333" t="s">
        <v>46</v>
      </c>
      <c r="B830" s="97">
        <v>45000</v>
      </c>
      <c r="C830" s="96">
        <v>0</v>
      </c>
      <c r="D830" s="17">
        <v>0</v>
      </c>
      <c r="E830" s="221">
        <v>0</v>
      </c>
    </row>
    <row r="831" spans="1:5">
      <c r="A831" s="333" t="s">
        <v>44</v>
      </c>
      <c r="B831" s="97">
        <v>12000</v>
      </c>
      <c r="C831" s="96">
        <v>22000</v>
      </c>
      <c r="D831" s="6">
        <v>21373</v>
      </c>
      <c r="E831" s="221">
        <f t="shared" si="25"/>
        <v>97.15</v>
      </c>
    </row>
    <row r="832" spans="1:5" ht="22.5">
      <c r="A832" s="333" t="s">
        <v>39</v>
      </c>
      <c r="B832" s="97">
        <v>10000</v>
      </c>
      <c r="C832" s="96">
        <v>0</v>
      </c>
      <c r="D832" s="17">
        <v>0</v>
      </c>
      <c r="E832" s="221">
        <v>0</v>
      </c>
    </row>
    <row r="833" spans="1:5">
      <c r="A833" s="333" t="s">
        <v>342</v>
      </c>
      <c r="B833" s="97">
        <v>0</v>
      </c>
      <c r="C833" s="96">
        <v>88600</v>
      </c>
      <c r="D833" s="6">
        <v>88200</v>
      </c>
      <c r="E833" s="221">
        <f t="shared" si="25"/>
        <v>99.548532731376966</v>
      </c>
    </row>
    <row r="834" spans="1:5">
      <c r="A834" s="304" t="s">
        <v>198</v>
      </c>
      <c r="B834" s="98">
        <f>SUM(B829:B833)</f>
        <v>2243000</v>
      </c>
      <c r="C834" s="98">
        <f>SUM(C829:C833)</f>
        <v>2587600</v>
      </c>
      <c r="D834" s="11">
        <f>SUM(D829:D833)</f>
        <v>2586223</v>
      </c>
      <c r="E834" s="222">
        <f t="shared" si="25"/>
        <v>99.946784665326945</v>
      </c>
    </row>
    <row r="835" spans="1:5">
      <c r="A835" s="304"/>
      <c r="B835" s="98"/>
      <c r="C835" s="98"/>
      <c r="D835" s="17"/>
      <c r="E835" s="221"/>
    </row>
    <row r="836" spans="1:5">
      <c r="A836" s="303" t="s">
        <v>138</v>
      </c>
      <c r="B836" s="97">
        <v>588000</v>
      </c>
      <c r="C836" s="96">
        <v>672052</v>
      </c>
      <c r="D836" s="6">
        <v>665381</v>
      </c>
      <c r="E836" s="221">
        <f t="shared" si="25"/>
        <v>99.007368477439258</v>
      </c>
    </row>
    <row r="837" spans="1:5">
      <c r="A837" s="303" t="s">
        <v>199</v>
      </c>
      <c r="B837" s="97">
        <v>18000</v>
      </c>
      <c r="C837" s="96">
        <v>31000</v>
      </c>
      <c r="D837" s="6">
        <v>30525</v>
      </c>
      <c r="E837" s="221">
        <f t="shared" si="25"/>
        <v>98.467741935483872</v>
      </c>
    </row>
    <row r="838" spans="1:5">
      <c r="A838" s="303" t="s">
        <v>42</v>
      </c>
      <c r="B838" s="97">
        <v>11000</v>
      </c>
      <c r="C838" s="96">
        <v>18100</v>
      </c>
      <c r="D838" s="6">
        <v>18088</v>
      </c>
      <c r="E838" s="221">
        <f t="shared" si="25"/>
        <v>99.933701657458556</v>
      </c>
    </row>
    <row r="839" spans="1:5">
      <c r="A839" s="304" t="s">
        <v>200</v>
      </c>
      <c r="B839" s="98">
        <f>SUM(B836:B838)</f>
        <v>617000</v>
      </c>
      <c r="C839" s="98">
        <f>SUM(C836:C838)</f>
        <v>721152</v>
      </c>
      <c r="D839" s="11">
        <f>SUM(D836:D838)</f>
        <v>713994</v>
      </c>
      <c r="E839" s="222">
        <f t="shared" si="25"/>
        <v>99.007421458998934</v>
      </c>
    </row>
    <row r="840" spans="1:5">
      <c r="A840" s="334"/>
      <c r="B840" s="97"/>
      <c r="C840" s="96"/>
      <c r="D840" s="17"/>
      <c r="E840" s="221"/>
    </row>
    <row r="841" spans="1:5">
      <c r="A841" s="302" t="s">
        <v>153</v>
      </c>
      <c r="B841" s="82">
        <v>580000</v>
      </c>
      <c r="C841" s="82">
        <v>838948</v>
      </c>
      <c r="D841" s="6">
        <v>828280</v>
      </c>
      <c r="E841" s="221">
        <f t="shared" si="25"/>
        <v>98.728407481750963</v>
      </c>
    </row>
    <row r="842" spans="1:5">
      <c r="A842" s="302" t="s">
        <v>203</v>
      </c>
      <c r="B842" s="82">
        <v>200000</v>
      </c>
      <c r="C842" s="82">
        <v>194000</v>
      </c>
      <c r="D842" s="6">
        <v>136646</v>
      </c>
      <c r="E842" s="221">
        <f t="shared" si="25"/>
        <v>70.436082474226808</v>
      </c>
    </row>
    <row r="843" spans="1:5">
      <c r="A843" s="334" t="s">
        <v>208</v>
      </c>
      <c r="B843" s="68">
        <f>SUM(B841:B842)</f>
        <v>780000</v>
      </c>
      <c r="C843" s="68">
        <f>SUM(C841:C842)</f>
        <v>1032948</v>
      </c>
      <c r="D843" s="11">
        <f>SUM(D841:D842)</f>
        <v>964926</v>
      </c>
      <c r="E843" s="222">
        <f t="shared" si="25"/>
        <v>93.414770152998997</v>
      </c>
    </row>
    <row r="844" spans="1:5">
      <c r="A844" s="302" t="s">
        <v>272</v>
      </c>
      <c r="B844" s="35">
        <v>80000</v>
      </c>
      <c r="C844" s="35">
        <v>20400</v>
      </c>
      <c r="D844" s="6">
        <v>20303</v>
      </c>
      <c r="E844" s="221">
        <f t="shared" si="25"/>
        <v>99.524509803921575</v>
      </c>
    </row>
    <row r="845" spans="1:5">
      <c r="A845" s="302" t="s">
        <v>374</v>
      </c>
      <c r="B845" s="35">
        <v>0</v>
      </c>
      <c r="C845" s="35">
        <v>14600</v>
      </c>
      <c r="D845" s="6">
        <v>11844</v>
      </c>
      <c r="E845" s="221">
        <f t="shared" si="25"/>
        <v>81.123287671232873</v>
      </c>
    </row>
    <row r="846" spans="1:5">
      <c r="A846" s="302" t="s">
        <v>273</v>
      </c>
      <c r="B846" s="35">
        <v>10000</v>
      </c>
      <c r="C846" s="35">
        <v>0</v>
      </c>
      <c r="D846" s="17">
        <v>0</v>
      </c>
      <c r="E846" s="221">
        <v>0</v>
      </c>
    </row>
    <row r="847" spans="1:5">
      <c r="A847" s="302" t="s">
        <v>207</v>
      </c>
      <c r="B847" s="35">
        <v>50000</v>
      </c>
      <c r="C847" s="35">
        <v>25900</v>
      </c>
      <c r="D847" s="6">
        <v>20339</v>
      </c>
      <c r="E847" s="221">
        <f t="shared" si="25"/>
        <v>78.528957528957534</v>
      </c>
    </row>
    <row r="848" spans="1:5">
      <c r="A848" s="334" t="s">
        <v>209</v>
      </c>
      <c r="B848" s="68">
        <f>SUM(B844:B847)</f>
        <v>140000</v>
      </c>
      <c r="C848" s="68">
        <f>SUM(C844:C847)</f>
        <v>60900</v>
      </c>
      <c r="D848" s="11">
        <f>SUM(D844:D847)</f>
        <v>52486</v>
      </c>
      <c r="E848" s="222">
        <f t="shared" si="25"/>
        <v>86.183908045977006</v>
      </c>
    </row>
    <row r="849" spans="1:5">
      <c r="A849" s="302" t="s">
        <v>211</v>
      </c>
      <c r="B849" s="67">
        <v>80000</v>
      </c>
      <c r="C849" s="67">
        <v>80000</v>
      </c>
      <c r="D849" s="6">
        <v>71715</v>
      </c>
      <c r="E849" s="221">
        <f t="shared" si="25"/>
        <v>89.643749999999997</v>
      </c>
    </row>
    <row r="850" spans="1:5">
      <c r="A850" s="328" t="s">
        <v>210</v>
      </c>
      <c r="B850" s="68">
        <f>SUM(B849:B849)</f>
        <v>80000</v>
      </c>
      <c r="C850" s="68">
        <f>SUM(C849)</f>
        <v>80000</v>
      </c>
      <c r="D850" s="11">
        <f>SUM(D849)</f>
        <v>71715</v>
      </c>
      <c r="E850" s="221">
        <f t="shared" si="25"/>
        <v>89.643749999999997</v>
      </c>
    </row>
    <row r="851" spans="1:5">
      <c r="A851" s="302" t="s">
        <v>223</v>
      </c>
      <c r="B851" s="67">
        <v>250000</v>
      </c>
      <c r="C851" s="67">
        <v>250000</v>
      </c>
      <c r="D851" s="6">
        <v>243155</v>
      </c>
      <c r="E851" s="221">
        <f t="shared" si="25"/>
        <v>97.262</v>
      </c>
    </row>
    <row r="852" spans="1:5">
      <c r="A852" s="302" t="s">
        <v>224</v>
      </c>
      <c r="B852" s="67">
        <v>200000</v>
      </c>
      <c r="C852" s="67">
        <v>200000</v>
      </c>
      <c r="D852" s="6">
        <v>124600</v>
      </c>
      <c r="E852" s="221">
        <f t="shared" si="25"/>
        <v>62.3</v>
      </c>
    </row>
    <row r="853" spans="1:5">
      <c r="A853" s="302" t="s">
        <v>297</v>
      </c>
      <c r="B853" s="35">
        <v>15000</v>
      </c>
      <c r="C853" s="35">
        <v>15000</v>
      </c>
      <c r="D853" s="6">
        <v>11316</v>
      </c>
      <c r="E853" s="221">
        <f t="shared" si="25"/>
        <v>75.44</v>
      </c>
    </row>
    <row r="854" spans="1:5">
      <c r="A854" s="328" t="s">
        <v>213</v>
      </c>
      <c r="B854" s="68">
        <f>SUM(B851:B853)</f>
        <v>465000</v>
      </c>
      <c r="C854" s="68">
        <f>SUM(C851:C853)</f>
        <v>465000</v>
      </c>
      <c r="D854" s="11">
        <f>SUM(D851:D853)</f>
        <v>379071</v>
      </c>
      <c r="E854" s="222">
        <f t="shared" si="25"/>
        <v>81.520645161290318</v>
      </c>
    </row>
    <row r="855" spans="1:5">
      <c r="A855" s="302" t="s">
        <v>227</v>
      </c>
      <c r="B855" s="67">
        <v>50000</v>
      </c>
      <c r="C855" s="67">
        <v>14000</v>
      </c>
      <c r="D855" s="6">
        <v>13001</v>
      </c>
      <c r="E855" s="221">
        <f t="shared" si="25"/>
        <v>92.864285714285714</v>
      </c>
    </row>
    <row r="856" spans="1:5">
      <c r="A856" s="302" t="s">
        <v>154</v>
      </c>
      <c r="B856" s="67">
        <v>1065000</v>
      </c>
      <c r="C856" s="67">
        <v>1449500</v>
      </c>
      <c r="D856" s="6">
        <v>1449000</v>
      </c>
      <c r="E856" s="221">
        <f t="shared" si="25"/>
        <v>99.965505346671264</v>
      </c>
    </row>
    <row r="857" spans="1:5">
      <c r="A857" s="302" t="s">
        <v>219</v>
      </c>
      <c r="B857" s="35">
        <v>120000</v>
      </c>
      <c r="C857" s="35">
        <v>95000</v>
      </c>
      <c r="D857" s="6">
        <v>94222</v>
      </c>
      <c r="E857" s="221">
        <f t="shared" si="25"/>
        <v>99.18105263157895</v>
      </c>
    </row>
    <row r="858" spans="1:5">
      <c r="A858" s="328" t="s">
        <v>216</v>
      </c>
      <c r="B858" s="68">
        <f>SUM(B855:B857)</f>
        <v>1235000</v>
      </c>
      <c r="C858" s="68">
        <f>SUM(C855:C857)</f>
        <v>1558500</v>
      </c>
      <c r="D858" s="11">
        <f>SUM(D855:D857)</f>
        <v>1556223</v>
      </c>
      <c r="E858" s="222">
        <f t="shared" si="25"/>
        <v>99.853897978825785</v>
      </c>
    </row>
    <row r="859" spans="1:5">
      <c r="A859" s="302" t="s">
        <v>215</v>
      </c>
      <c r="B859" s="35">
        <v>19000</v>
      </c>
      <c r="C859" s="35">
        <v>19000</v>
      </c>
      <c r="D859" s="17">
        <v>0</v>
      </c>
      <c r="E859" s="221">
        <f t="shared" si="25"/>
        <v>0</v>
      </c>
    </row>
    <row r="860" spans="1:5">
      <c r="A860" s="328" t="s">
        <v>217</v>
      </c>
      <c r="B860" s="68">
        <f>SUM(B859:B859)</f>
        <v>19000</v>
      </c>
      <c r="C860" s="68">
        <f>SUM(C859)</f>
        <v>19000</v>
      </c>
      <c r="D860" s="70">
        <f>SUM(D859)</f>
        <v>0</v>
      </c>
      <c r="E860" s="221">
        <f t="shared" si="25"/>
        <v>0</v>
      </c>
    </row>
    <row r="861" spans="1:5">
      <c r="A861" s="302" t="s">
        <v>226</v>
      </c>
      <c r="B861" s="67">
        <f>B841*0.05+(B842+B856)*0.05+(B844+B846+B847+B849+B851+B853+B855+B857+B852)*0.27</f>
        <v>323100</v>
      </c>
      <c r="C861" s="67">
        <v>280775</v>
      </c>
      <c r="D861" s="6">
        <v>279040</v>
      </c>
      <c r="E861" s="221">
        <f t="shared" si="25"/>
        <v>99.382067491763877</v>
      </c>
    </row>
    <row r="862" spans="1:5" ht="22.5">
      <c r="A862" s="334" t="s">
        <v>221</v>
      </c>
      <c r="B862" s="68">
        <f>SUM(B861:B861)</f>
        <v>323100</v>
      </c>
      <c r="C862" s="68">
        <f>SUM(C861)</f>
        <v>280775</v>
      </c>
      <c r="D862" s="11">
        <f>SUM(D861)</f>
        <v>279040</v>
      </c>
      <c r="E862" s="222">
        <f t="shared" si="25"/>
        <v>99.382067491763877</v>
      </c>
    </row>
    <row r="863" spans="1:5">
      <c r="A863" s="334"/>
      <c r="B863" s="35"/>
      <c r="C863" s="35"/>
      <c r="D863" s="17"/>
      <c r="E863" s="221"/>
    </row>
    <row r="864" spans="1:5">
      <c r="A864" s="173" t="s">
        <v>222</v>
      </c>
      <c r="B864" s="68">
        <f>B843+B848+B850+B854+B858+B860+B862</f>
        <v>3042100</v>
      </c>
      <c r="C864" s="68">
        <f>SUM(C843+C848+C850+C854+C858+C860+C862)</f>
        <v>3497123</v>
      </c>
      <c r="D864" s="11">
        <f>SUM(D843+D848+D850+D854+D858+D862)</f>
        <v>3303461</v>
      </c>
      <c r="E864" s="222">
        <f t="shared" si="25"/>
        <v>94.462247967829555</v>
      </c>
    </row>
    <row r="865" spans="1:5">
      <c r="A865" s="173"/>
      <c r="B865" s="97"/>
      <c r="C865" s="96"/>
      <c r="D865" s="17"/>
      <c r="E865" s="222"/>
    </row>
    <row r="866" spans="1:5">
      <c r="A866" s="330" t="s">
        <v>18</v>
      </c>
      <c r="B866" s="98">
        <f>B834+B839+B864</f>
        <v>5902100</v>
      </c>
      <c r="C866" s="98">
        <f>SUM(C834+C839+C864)</f>
        <v>6805875</v>
      </c>
      <c r="D866" s="11">
        <f>SUM(D834+D839+D864)</f>
        <v>6603678</v>
      </c>
      <c r="E866" s="222">
        <f t="shared" si="25"/>
        <v>97.029081492093226</v>
      </c>
    </row>
    <row r="867" spans="1:5">
      <c r="A867" s="342"/>
      <c r="B867" s="97"/>
      <c r="C867" s="96"/>
      <c r="D867" s="17"/>
      <c r="E867" s="222"/>
    </row>
    <row r="868" spans="1:5">
      <c r="A868" s="344"/>
      <c r="B868" s="96"/>
      <c r="C868" s="96"/>
      <c r="D868" s="17"/>
      <c r="E868" s="222"/>
    </row>
    <row r="869" spans="1:5">
      <c r="A869" s="304" t="s">
        <v>198</v>
      </c>
      <c r="B869" s="98">
        <f>B787+B834</f>
        <v>11579000</v>
      </c>
      <c r="C869" s="98">
        <f>SUM(C787+C834)</f>
        <v>12438800</v>
      </c>
      <c r="D869" s="11">
        <f>SUM(D787+D834)</f>
        <v>12427757</v>
      </c>
      <c r="E869" s="222">
        <f t="shared" si="25"/>
        <v>99.911221339679074</v>
      </c>
    </row>
    <row r="870" spans="1:5">
      <c r="A870" s="304" t="s">
        <v>200</v>
      </c>
      <c r="B870" s="98">
        <f>B793+B839</f>
        <v>3196000</v>
      </c>
      <c r="C870" s="98">
        <f>SUM(C793+C839)</f>
        <v>3471406</v>
      </c>
      <c r="D870" s="11">
        <f>SUM(D793+D839)</f>
        <v>3456214</v>
      </c>
      <c r="E870" s="222">
        <f t="shared" si="25"/>
        <v>99.562367524858814</v>
      </c>
    </row>
    <row r="871" spans="1:5">
      <c r="A871" s="173" t="s">
        <v>258</v>
      </c>
      <c r="B871" s="98">
        <f>B824+B864</f>
        <v>15969930</v>
      </c>
      <c r="C871" s="98">
        <f>SUM(C824+C864)</f>
        <v>15964878</v>
      </c>
      <c r="D871" s="11">
        <f>SUM(D824+D864)</f>
        <v>14146594</v>
      </c>
      <c r="E871" s="222">
        <f t="shared" si="25"/>
        <v>88.610724115774644</v>
      </c>
    </row>
    <row r="872" spans="1:5" ht="22.5">
      <c r="A872" s="345" t="s">
        <v>49</v>
      </c>
      <c r="B872" s="98">
        <f>SUM(B869:B871)</f>
        <v>30744930</v>
      </c>
      <c r="C872" s="98">
        <f>SUM(C869:C871)</f>
        <v>31875084</v>
      </c>
      <c r="D872" s="11">
        <f>SUM(D869:D871)</f>
        <v>30030565</v>
      </c>
      <c r="E872" s="222">
        <f t="shared" si="25"/>
        <v>94.213288975175729</v>
      </c>
    </row>
    <row r="873" spans="1:5">
      <c r="A873" s="322"/>
      <c r="B873" s="44"/>
      <c r="C873" s="17"/>
      <c r="D873" s="17"/>
      <c r="E873" s="141"/>
    </row>
    <row r="874" spans="1:5">
      <c r="A874" s="322"/>
      <c r="B874" s="44"/>
      <c r="C874" s="17"/>
      <c r="D874" s="17"/>
    </row>
    <row r="875" spans="1:5">
      <c r="A875" s="322"/>
      <c r="B875" s="44"/>
      <c r="C875" s="17"/>
      <c r="D875" s="17"/>
    </row>
    <row r="876" spans="1:5">
      <c r="A876" s="322"/>
      <c r="B876" s="44"/>
      <c r="C876" s="17"/>
      <c r="D876" s="17"/>
    </row>
    <row r="877" spans="1:5">
      <c r="A877" s="322"/>
      <c r="B877" s="44"/>
      <c r="C877" s="17"/>
      <c r="D877" s="17"/>
    </row>
    <row r="878" spans="1:5">
      <c r="A878" s="322"/>
      <c r="B878" s="44"/>
      <c r="C878" s="17"/>
      <c r="D878" s="17"/>
    </row>
    <row r="879" spans="1:5">
      <c r="A879" s="322"/>
      <c r="B879" s="44"/>
      <c r="C879" s="17"/>
      <c r="D879" s="17"/>
    </row>
    <row r="880" spans="1:5">
      <c r="A880" s="322"/>
      <c r="B880" s="44"/>
      <c r="C880" s="17"/>
      <c r="D880" s="17"/>
    </row>
    <row r="881" spans="1:4">
      <c r="A881" s="322"/>
      <c r="B881" s="44"/>
      <c r="C881" s="17"/>
      <c r="D881" s="17"/>
    </row>
    <row r="882" spans="1:4">
      <c r="A882" s="322"/>
      <c r="B882" s="44"/>
      <c r="C882" s="17"/>
      <c r="D882" s="17"/>
    </row>
    <row r="883" spans="1:4">
      <c r="A883" s="322"/>
      <c r="B883" s="44"/>
      <c r="C883" s="17"/>
      <c r="D883" s="17"/>
    </row>
    <row r="884" spans="1:4">
      <c r="A884" s="322"/>
      <c r="B884" s="44"/>
      <c r="C884" s="17"/>
      <c r="D884" s="17"/>
    </row>
    <row r="885" spans="1:4">
      <c r="A885" s="322"/>
      <c r="B885" s="44"/>
      <c r="C885" s="17"/>
      <c r="D885" s="17"/>
    </row>
    <row r="886" spans="1:4">
      <c r="A886" s="322"/>
      <c r="B886" s="44"/>
      <c r="C886" s="17"/>
      <c r="D886" s="17"/>
    </row>
    <row r="887" spans="1:4">
      <c r="A887" s="322"/>
      <c r="B887" s="44"/>
      <c r="C887" s="17"/>
      <c r="D887" s="17"/>
    </row>
    <row r="888" spans="1:4">
      <c r="A888" s="322"/>
      <c r="B888" s="44"/>
      <c r="C888" s="17"/>
      <c r="D888" s="17"/>
    </row>
    <row r="889" spans="1:4">
      <c r="A889" s="322"/>
      <c r="B889" s="44"/>
      <c r="C889" s="17"/>
      <c r="D889" s="17"/>
    </row>
    <row r="890" spans="1:4">
      <c r="A890" s="322"/>
      <c r="B890" s="44"/>
      <c r="C890" s="17"/>
      <c r="D890" s="17"/>
    </row>
    <row r="891" spans="1:4">
      <c r="A891" s="322"/>
      <c r="B891" s="44"/>
      <c r="C891" s="17"/>
      <c r="D891" s="17"/>
    </row>
    <row r="892" spans="1:4">
      <c r="A892" s="322"/>
      <c r="B892" s="44"/>
      <c r="C892" s="17"/>
      <c r="D892" s="17"/>
    </row>
    <row r="893" spans="1:4">
      <c r="A893" s="322"/>
      <c r="B893" s="44"/>
      <c r="C893" s="17"/>
      <c r="D893" s="17"/>
    </row>
    <row r="894" spans="1:4">
      <c r="A894" s="322"/>
      <c r="B894" s="44"/>
      <c r="C894" s="17"/>
      <c r="D894" s="17"/>
    </row>
    <row r="895" spans="1:4">
      <c r="A895" s="322"/>
      <c r="B895" s="44"/>
      <c r="C895" s="17"/>
      <c r="D895" s="17"/>
    </row>
    <row r="896" spans="1:4">
      <c r="A896" s="322"/>
      <c r="B896" s="44"/>
      <c r="C896" s="17"/>
      <c r="D896" s="17"/>
    </row>
    <row r="897" spans="1:4">
      <c r="A897" s="322"/>
      <c r="B897" s="44"/>
      <c r="C897" s="17"/>
      <c r="D897" s="17"/>
    </row>
    <row r="898" spans="1:4">
      <c r="A898" s="322"/>
      <c r="B898" s="44"/>
      <c r="C898" s="17"/>
      <c r="D898" s="17"/>
    </row>
    <row r="899" spans="1:4">
      <c r="A899" s="322"/>
      <c r="B899" s="44"/>
      <c r="C899" s="17"/>
      <c r="D899" s="17"/>
    </row>
    <row r="900" spans="1:4">
      <c r="A900" s="322"/>
      <c r="B900" s="44"/>
      <c r="C900" s="17"/>
      <c r="D900" s="17"/>
    </row>
    <row r="901" spans="1:4">
      <c r="A901" s="322"/>
      <c r="B901" s="44"/>
      <c r="C901" s="17"/>
      <c r="D901" s="17"/>
    </row>
    <row r="902" spans="1:4">
      <c r="A902" s="322"/>
      <c r="B902" s="44"/>
      <c r="C902" s="17"/>
      <c r="D902" s="17"/>
    </row>
    <row r="903" spans="1:4">
      <c r="A903" s="322"/>
      <c r="B903" s="44"/>
      <c r="C903" s="17"/>
      <c r="D903" s="17"/>
    </row>
    <row r="904" spans="1:4">
      <c r="A904" s="322"/>
      <c r="B904" s="44"/>
      <c r="C904" s="17"/>
      <c r="D904" s="17"/>
    </row>
    <row r="905" spans="1:4">
      <c r="A905" s="322"/>
      <c r="B905" s="44"/>
      <c r="C905" s="17"/>
      <c r="D905" s="17"/>
    </row>
    <row r="906" spans="1:4">
      <c r="A906" s="322"/>
      <c r="B906" s="44"/>
      <c r="C906" s="17"/>
      <c r="D906" s="17"/>
    </row>
    <row r="907" spans="1:4">
      <c r="A907" s="322"/>
      <c r="B907" s="44"/>
      <c r="C907" s="17"/>
      <c r="D907" s="17"/>
    </row>
    <row r="908" spans="1:4">
      <c r="A908" s="322"/>
      <c r="B908" s="44"/>
      <c r="C908" s="17"/>
      <c r="D908" s="17"/>
    </row>
    <row r="909" spans="1:4">
      <c r="A909" s="322"/>
      <c r="B909" s="44"/>
      <c r="C909" s="17"/>
      <c r="D909" s="17"/>
    </row>
    <row r="910" spans="1:4">
      <c r="A910" s="322"/>
      <c r="B910" s="44"/>
      <c r="C910" s="17"/>
      <c r="D910" s="17"/>
    </row>
    <row r="911" spans="1:4">
      <c r="A911" s="322"/>
      <c r="B911" s="44"/>
      <c r="C911" s="17"/>
      <c r="D911" s="17"/>
    </row>
    <row r="912" spans="1:4">
      <c r="A912" s="322"/>
      <c r="B912" s="44"/>
      <c r="C912" s="17"/>
      <c r="D912" s="17"/>
    </row>
    <row r="913" spans="1:4">
      <c r="A913" s="322"/>
      <c r="B913" s="44"/>
      <c r="C913" s="17"/>
      <c r="D913" s="17"/>
    </row>
    <row r="914" spans="1:4">
      <c r="A914" s="322"/>
      <c r="B914" s="44"/>
      <c r="C914" s="17"/>
      <c r="D914" s="17"/>
    </row>
    <row r="915" spans="1:4">
      <c r="A915" s="322"/>
      <c r="B915" s="44"/>
      <c r="C915" s="17"/>
      <c r="D915" s="17"/>
    </row>
    <row r="916" spans="1:4">
      <c r="A916" s="322"/>
      <c r="B916" s="44"/>
      <c r="C916" s="17"/>
      <c r="D916" s="17"/>
    </row>
    <row r="917" spans="1:4">
      <c r="A917" s="322"/>
      <c r="B917" s="44"/>
      <c r="C917" s="17"/>
      <c r="D917" s="17"/>
    </row>
    <row r="918" spans="1:4">
      <c r="A918" s="322"/>
      <c r="B918" s="44"/>
      <c r="C918" s="17"/>
      <c r="D918" s="17"/>
    </row>
    <row r="919" spans="1:4">
      <c r="A919" s="322"/>
      <c r="B919" s="44"/>
      <c r="C919" s="17"/>
      <c r="D919" s="17"/>
    </row>
    <row r="920" spans="1:4">
      <c r="A920" s="322"/>
      <c r="B920" s="44"/>
      <c r="C920" s="17"/>
      <c r="D920" s="17"/>
    </row>
    <row r="921" spans="1:4">
      <c r="A921" s="322"/>
      <c r="B921" s="44"/>
      <c r="C921" s="17"/>
      <c r="D921" s="17"/>
    </row>
    <row r="922" spans="1:4">
      <c r="A922" s="322"/>
      <c r="B922" s="44"/>
      <c r="C922" s="17"/>
      <c r="D922" s="17"/>
    </row>
    <row r="923" spans="1:4">
      <c r="A923" s="322"/>
      <c r="B923" s="44"/>
      <c r="C923" s="17"/>
      <c r="D923" s="17"/>
    </row>
    <row r="924" spans="1:4">
      <c r="A924" s="322"/>
      <c r="B924" s="44"/>
      <c r="C924" s="17"/>
      <c r="D924" s="17"/>
    </row>
    <row r="925" spans="1:4">
      <c r="A925" s="322"/>
      <c r="B925" s="44"/>
      <c r="C925" s="17"/>
      <c r="D925" s="17"/>
    </row>
    <row r="926" spans="1:4">
      <c r="A926" s="322"/>
      <c r="B926" s="44"/>
      <c r="C926" s="17"/>
      <c r="D926" s="17"/>
    </row>
    <row r="927" spans="1:4">
      <c r="A927" s="322"/>
      <c r="B927" s="44"/>
      <c r="C927" s="17"/>
      <c r="D927" s="17"/>
    </row>
    <row r="928" spans="1:4">
      <c r="A928" s="322"/>
      <c r="B928" s="44"/>
      <c r="C928" s="17"/>
      <c r="D928" s="17"/>
    </row>
    <row r="929" spans="1:4">
      <c r="A929" s="322"/>
      <c r="B929" s="44"/>
      <c r="C929" s="17"/>
      <c r="D929" s="17"/>
    </row>
    <row r="930" spans="1:4">
      <c r="A930" s="322"/>
      <c r="B930" s="44"/>
      <c r="C930" s="17"/>
      <c r="D930" s="17"/>
    </row>
    <row r="931" spans="1:4">
      <c r="A931" s="322"/>
      <c r="B931" s="44"/>
      <c r="C931" s="17"/>
      <c r="D931" s="17"/>
    </row>
    <row r="932" spans="1:4">
      <c r="A932" s="322"/>
      <c r="B932" s="44"/>
      <c r="C932" s="17"/>
      <c r="D932" s="17"/>
    </row>
    <row r="933" spans="1:4">
      <c r="A933" s="322"/>
      <c r="B933" s="44"/>
      <c r="C933" s="17"/>
      <c r="D933" s="17"/>
    </row>
    <row r="934" spans="1:4">
      <c r="A934" s="322"/>
      <c r="B934" s="44"/>
      <c r="C934" s="17"/>
      <c r="D934" s="17"/>
    </row>
    <row r="935" spans="1:4">
      <c r="A935" s="322"/>
      <c r="B935" s="44"/>
      <c r="C935" s="17"/>
      <c r="D935" s="17"/>
    </row>
    <row r="936" spans="1:4">
      <c r="A936" s="322"/>
      <c r="B936" s="44"/>
      <c r="C936" s="17"/>
      <c r="D936" s="17"/>
    </row>
    <row r="937" spans="1:4">
      <c r="A937" s="322"/>
      <c r="B937" s="44"/>
      <c r="C937" s="17"/>
      <c r="D937" s="17"/>
    </row>
    <row r="938" spans="1:4">
      <c r="A938" s="322"/>
      <c r="B938" s="44"/>
      <c r="C938" s="17"/>
      <c r="D938" s="17"/>
    </row>
    <row r="939" spans="1:4">
      <c r="A939" s="322"/>
      <c r="B939" s="44"/>
      <c r="C939" s="17"/>
      <c r="D939" s="17"/>
    </row>
    <row r="940" spans="1:4">
      <c r="A940" s="322"/>
      <c r="B940" s="44"/>
      <c r="C940" s="17"/>
      <c r="D940" s="17"/>
    </row>
    <row r="941" spans="1:4">
      <c r="A941" s="322"/>
      <c r="B941" s="44"/>
      <c r="C941" s="17"/>
      <c r="D941" s="17"/>
    </row>
    <row r="942" spans="1:4">
      <c r="A942" s="322"/>
      <c r="B942" s="44"/>
      <c r="C942" s="17"/>
      <c r="D942" s="17"/>
    </row>
    <row r="943" spans="1:4">
      <c r="A943" s="322"/>
      <c r="B943" s="44"/>
      <c r="C943" s="17"/>
      <c r="D943" s="17"/>
    </row>
    <row r="944" spans="1:4">
      <c r="A944" s="322"/>
      <c r="B944" s="44"/>
      <c r="C944" s="17"/>
      <c r="D944" s="17"/>
    </row>
    <row r="945" spans="1:4">
      <c r="A945" s="322"/>
      <c r="B945" s="44"/>
      <c r="C945" s="17"/>
      <c r="D945" s="17"/>
    </row>
    <row r="946" spans="1:4">
      <c r="A946" s="322"/>
      <c r="B946" s="44"/>
      <c r="C946" s="17"/>
      <c r="D946" s="17"/>
    </row>
    <row r="947" spans="1:4">
      <c r="A947" s="322"/>
      <c r="B947" s="44"/>
      <c r="C947" s="17"/>
      <c r="D947" s="17"/>
    </row>
    <row r="948" spans="1:4">
      <c r="A948" s="322"/>
      <c r="B948" s="44"/>
      <c r="C948" s="17"/>
      <c r="D948" s="17"/>
    </row>
    <row r="949" spans="1:4">
      <c r="A949" s="322"/>
      <c r="B949" s="44"/>
      <c r="C949" s="17"/>
      <c r="D949" s="17"/>
    </row>
    <row r="950" spans="1:4">
      <c r="A950" s="322"/>
      <c r="B950" s="44"/>
      <c r="C950" s="17"/>
      <c r="D950" s="17"/>
    </row>
    <row r="951" spans="1:4">
      <c r="A951" s="322"/>
      <c r="B951" s="44"/>
      <c r="C951" s="17"/>
      <c r="D951" s="17"/>
    </row>
    <row r="952" spans="1:4">
      <c r="A952" s="322"/>
      <c r="B952" s="44"/>
      <c r="C952" s="17"/>
      <c r="D952" s="17"/>
    </row>
    <row r="953" spans="1:4">
      <c r="A953" s="322"/>
      <c r="B953" s="44"/>
      <c r="C953" s="17"/>
      <c r="D953" s="17"/>
    </row>
    <row r="954" spans="1:4">
      <c r="A954" s="322"/>
      <c r="B954" s="44"/>
      <c r="C954" s="17"/>
      <c r="D954" s="17"/>
    </row>
    <row r="955" spans="1:4">
      <c r="A955" s="322"/>
      <c r="B955" s="44"/>
      <c r="C955" s="17"/>
      <c r="D955" s="17"/>
    </row>
    <row r="956" spans="1:4">
      <c r="A956" s="322"/>
      <c r="B956" s="44"/>
      <c r="C956" s="17"/>
      <c r="D956" s="17"/>
    </row>
    <row r="957" spans="1:4">
      <c r="A957" s="322"/>
      <c r="B957" s="44"/>
      <c r="C957" s="17"/>
      <c r="D957" s="17"/>
    </row>
    <row r="958" spans="1:4">
      <c r="A958" s="322"/>
      <c r="B958" s="44"/>
      <c r="C958" s="17"/>
      <c r="D958" s="17"/>
    </row>
    <row r="959" spans="1:4">
      <c r="A959" s="322"/>
      <c r="B959" s="44"/>
      <c r="C959" s="17"/>
      <c r="D959" s="17"/>
    </row>
    <row r="960" spans="1:4">
      <c r="A960" s="322"/>
      <c r="B960" s="44"/>
      <c r="C960" s="17"/>
      <c r="D960" s="17"/>
    </row>
    <row r="961" spans="1:4">
      <c r="A961" s="322"/>
      <c r="B961" s="44"/>
      <c r="C961" s="17"/>
      <c r="D961" s="17"/>
    </row>
    <row r="962" spans="1:4">
      <c r="A962" s="322"/>
      <c r="B962" s="44"/>
      <c r="C962" s="17"/>
      <c r="D962" s="17"/>
    </row>
    <row r="963" spans="1:4">
      <c r="A963" s="322"/>
      <c r="B963" s="44"/>
      <c r="C963" s="17"/>
      <c r="D963" s="17"/>
    </row>
    <row r="964" spans="1:4">
      <c r="A964" s="322"/>
      <c r="B964" s="44"/>
      <c r="C964" s="17"/>
      <c r="D964" s="17"/>
    </row>
    <row r="965" spans="1:4">
      <c r="A965" s="322"/>
      <c r="B965" s="44"/>
      <c r="C965" s="17"/>
      <c r="D965" s="17"/>
    </row>
    <row r="966" spans="1:4">
      <c r="A966" s="322"/>
      <c r="B966" s="44"/>
      <c r="C966" s="17"/>
      <c r="D966" s="17"/>
    </row>
    <row r="967" spans="1:4">
      <c r="A967" s="322"/>
      <c r="B967" s="44"/>
      <c r="C967" s="17"/>
      <c r="D967" s="17"/>
    </row>
    <row r="968" spans="1:4">
      <c r="A968" s="322"/>
      <c r="B968" s="44"/>
      <c r="C968" s="17"/>
      <c r="D968" s="17"/>
    </row>
    <row r="969" spans="1:4">
      <c r="A969" s="322"/>
      <c r="B969" s="44"/>
      <c r="C969" s="17"/>
      <c r="D969" s="17"/>
    </row>
    <row r="970" spans="1:4">
      <c r="A970" s="322"/>
      <c r="B970" s="44"/>
      <c r="C970" s="44"/>
    </row>
    <row r="971" spans="1:4">
      <c r="A971" s="322"/>
      <c r="B971" s="44"/>
      <c r="C971" s="44"/>
    </row>
    <row r="972" spans="1:4">
      <c r="A972" s="322"/>
      <c r="B972" s="44"/>
      <c r="C972" s="44"/>
    </row>
    <row r="973" spans="1:4">
      <c r="A973" s="322"/>
      <c r="B973" s="44"/>
      <c r="C973" s="44"/>
    </row>
    <row r="974" spans="1:4">
      <c r="A974" s="322"/>
      <c r="B974" s="44"/>
      <c r="C974" s="44"/>
    </row>
    <row r="975" spans="1:4">
      <c r="A975" s="322"/>
      <c r="B975" s="44"/>
      <c r="C975" s="44"/>
    </row>
    <row r="976" spans="1:4">
      <c r="A976" s="322"/>
      <c r="B976" s="44"/>
      <c r="C976" s="44"/>
    </row>
    <row r="977" spans="1:3">
      <c r="A977" s="322"/>
      <c r="B977" s="44"/>
      <c r="C977" s="44"/>
    </row>
    <row r="978" spans="1:3">
      <c r="A978" s="322"/>
      <c r="B978" s="44"/>
      <c r="C978" s="44"/>
    </row>
    <row r="979" spans="1:3">
      <c r="A979" s="322"/>
      <c r="B979" s="44"/>
      <c r="C979" s="44"/>
    </row>
    <row r="980" spans="1:3">
      <c r="A980" s="322"/>
      <c r="B980" s="44"/>
      <c r="C980" s="44"/>
    </row>
    <row r="981" spans="1:3">
      <c r="A981" s="322"/>
      <c r="B981" s="44"/>
      <c r="C981" s="44"/>
    </row>
    <row r="982" spans="1:3">
      <c r="A982" s="322"/>
      <c r="B982" s="44"/>
      <c r="C982" s="44"/>
    </row>
    <row r="983" spans="1:3">
      <c r="A983" s="322"/>
      <c r="B983" s="44"/>
      <c r="C983" s="44"/>
    </row>
    <row r="984" spans="1:3">
      <c r="A984" s="322"/>
      <c r="B984" s="44"/>
      <c r="C984" s="44"/>
    </row>
    <row r="985" spans="1:3">
      <c r="A985" s="322"/>
      <c r="B985" s="44"/>
      <c r="C985" s="44"/>
    </row>
    <row r="986" spans="1:3">
      <c r="A986" s="322"/>
      <c r="B986" s="44"/>
      <c r="C986" s="44"/>
    </row>
    <row r="987" spans="1:3">
      <c r="A987" s="322"/>
      <c r="B987" s="44"/>
      <c r="C987" s="44"/>
    </row>
    <row r="988" spans="1:3">
      <c r="A988" s="322"/>
      <c r="B988" s="44"/>
      <c r="C988" s="44"/>
    </row>
    <row r="989" spans="1:3">
      <c r="A989" s="322"/>
      <c r="B989" s="44"/>
      <c r="C989" s="44"/>
    </row>
    <row r="990" spans="1:3">
      <c r="A990" s="322"/>
      <c r="B990" s="44"/>
      <c r="C990" s="44"/>
    </row>
    <row r="991" spans="1:3">
      <c r="A991" s="322"/>
      <c r="B991" s="44"/>
      <c r="C991" s="44"/>
    </row>
    <row r="992" spans="1:3">
      <c r="A992" s="322"/>
      <c r="B992" s="44"/>
      <c r="C992" s="44"/>
    </row>
    <row r="993" spans="1:3">
      <c r="A993" s="322"/>
      <c r="B993" s="44"/>
      <c r="C993" s="44"/>
    </row>
    <row r="994" spans="1:3">
      <c r="A994" s="322"/>
      <c r="B994" s="44"/>
      <c r="C994" s="44"/>
    </row>
    <row r="995" spans="1:3">
      <c r="A995" s="322"/>
      <c r="B995" s="44"/>
      <c r="C995" s="44"/>
    </row>
    <row r="996" spans="1:3">
      <c r="A996" s="322"/>
      <c r="B996" s="44"/>
      <c r="C996" s="44"/>
    </row>
    <row r="997" spans="1:3">
      <c r="A997" s="322"/>
      <c r="B997" s="44"/>
      <c r="C997" s="44"/>
    </row>
    <row r="998" spans="1:3">
      <c r="A998" s="322"/>
      <c r="B998" s="44"/>
      <c r="C998" s="44"/>
    </row>
    <row r="999" spans="1:3">
      <c r="A999" s="322"/>
      <c r="B999" s="44"/>
      <c r="C999" s="44"/>
    </row>
    <row r="1000" spans="1:3">
      <c r="A1000" s="322"/>
      <c r="B1000" s="44"/>
      <c r="C1000" s="44"/>
    </row>
    <row r="1001" spans="1:3">
      <c r="A1001" s="322"/>
      <c r="B1001" s="44"/>
      <c r="C1001" s="44"/>
    </row>
    <row r="1002" spans="1:3">
      <c r="A1002" s="322"/>
      <c r="B1002" s="44"/>
      <c r="C1002" s="44"/>
    </row>
    <row r="1003" spans="1:3">
      <c r="A1003" s="322"/>
      <c r="B1003" s="44"/>
      <c r="C1003" s="44"/>
    </row>
    <row r="1004" spans="1:3">
      <c r="A1004" s="322"/>
      <c r="B1004" s="44"/>
      <c r="C1004" s="44"/>
    </row>
    <row r="1005" spans="1:3">
      <c r="A1005" s="322"/>
      <c r="B1005" s="44"/>
      <c r="C1005" s="44"/>
    </row>
    <row r="1006" spans="1:3">
      <c r="A1006" s="322"/>
      <c r="B1006" s="44"/>
      <c r="C1006" s="44"/>
    </row>
    <row r="1007" spans="1:3">
      <c r="A1007" s="322"/>
      <c r="B1007" s="44"/>
      <c r="C1007" s="44"/>
    </row>
    <row r="1008" spans="1:3">
      <c r="A1008" s="322"/>
      <c r="B1008" s="44"/>
      <c r="C1008" s="44"/>
    </row>
    <row r="1009" spans="1:3">
      <c r="A1009" s="322"/>
      <c r="B1009" s="44"/>
      <c r="C1009" s="44"/>
    </row>
    <row r="1010" spans="1:3">
      <c r="A1010" s="322"/>
      <c r="B1010" s="44"/>
      <c r="C1010" s="44"/>
    </row>
    <row r="1011" spans="1:3">
      <c r="A1011" s="322"/>
      <c r="B1011" s="44"/>
      <c r="C1011" s="44"/>
    </row>
    <row r="1012" spans="1:3">
      <c r="A1012" s="322"/>
      <c r="B1012" s="44"/>
      <c r="C1012" s="44"/>
    </row>
    <row r="1013" spans="1:3">
      <c r="A1013" s="322"/>
      <c r="B1013" s="44"/>
      <c r="C1013" s="44"/>
    </row>
    <row r="1014" spans="1:3">
      <c r="A1014" s="322"/>
      <c r="B1014" s="44"/>
      <c r="C1014" s="44"/>
    </row>
    <row r="1015" spans="1:3">
      <c r="A1015" s="322"/>
      <c r="B1015" s="44"/>
      <c r="C1015" s="44"/>
    </row>
    <row r="1016" spans="1:3">
      <c r="A1016" s="322"/>
      <c r="B1016" s="44"/>
      <c r="C1016" s="44"/>
    </row>
    <row r="1017" spans="1:3">
      <c r="A1017" s="322"/>
      <c r="B1017" s="44"/>
      <c r="C1017" s="44"/>
    </row>
    <row r="1018" spans="1:3">
      <c r="A1018" s="322"/>
      <c r="B1018" s="44"/>
      <c r="C1018" s="44"/>
    </row>
    <row r="1019" spans="1:3">
      <c r="A1019" s="322"/>
      <c r="B1019" s="44"/>
      <c r="C1019" s="44"/>
    </row>
    <row r="1020" spans="1:3">
      <c r="A1020" s="322"/>
      <c r="B1020" s="44"/>
      <c r="C1020" s="44"/>
    </row>
    <row r="1021" spans="1:3">
      <c r="A1021" s="322"/>
      <c r="B1021" s="44"/>
      <c r="C1021" s="44"/>
    </row>
    <row r="1022" spans="1:3">
      <c r="A1022" s="322"/>
      <c r="B1022" s="44"/>
      <c r="C1022" s="44"/>
    </row>
    <row r="1023" spans="1:3">
      <c r="A1023" s="322"/>
      <c r="B1023" s="44"/>
      <c r="C1023" s="44"/>
    </row>
    <row r="1024" spans="1:3">
      <c r="A1024" s="322"/>
      <c r="B1024" s="44"/>
      <c r="C1024" s="44"/>
    </row>
    <row r="1025" spans="1:3">
      <c r="A1025" s="322"/>
      <c r="B1025" s="44"/>
      <c r="C1025" s="44"/>
    </row>
    <row r="1026" spans="1:3">
      <c r="A1026" s="322"/>
      <c r="B1026" s="44"/>
      <c r="C1026" s="44"/>
    </row>
    <row r="1027" spans="1:3">
      <c r="A1027" s="322"/>
      <c r="B1027" s="44"/>
      <c r="C1027" s="44"/>
    </row>
    <row r="1028" spans="1:3">
      <c r="A1028" s="322"/>
      <c r="B1028" s="44"/>
      <c r="C1028" s="44"/>
    </row>
    <row r="1029" spans="1:3">
      <c r="A1029" s="322"/>
      <c r="B1029" s="44"/>
      <c r="C1029" s="44"/>
    </row>
    <row r="1030" spans="1:3">
      <c r="A1030" s="322"/>
      <c r="B1030" s="44"/>
      <c r="C1030" s="44"/>
    </row>
    <row r="1031" spans="1:3">
      <c r="A1031" s="322"/>
      <c r="B1031" s="44"/>
      <c r="C1031" s="44"/>
    </row>
    <row r="1032" spans="1:3">
      <c r="A1032" s="322"/>
      <c r="B1032" s="44"/>
      <c r="C1032" s="44"/>
    </row>
    <row r="1033" spans="1:3">
      <c r="A1033" s="322"/>
      <c r="B1033" s="44"/>
      <c r="C1033" s="44"/>
    </row>
    <row r="1034" spans="1:3">
      <c r="A1034" s="322"/>
      <c r="B1034" s="44"/>
      <c r="C1034" s="44"/>
    </row>
    <row r="1035" spans="1:3">
      <c r="A1035" s="322"/>
      <c r="B1035" s="44"/>
      <c r="C1035" s="44"/>
    </row>
  </sheetData>
  <mergeCells count="44">
    <mergeCell ref="A828:E828"/>
    <mergeCell ref="A365:E365"/>
    <mergeCell ref="A517:E517"/>
    <mergeCell ref="A773:D773"/>
    <mergeCell ref="A775:D775"/>
    <mergeCell ref="A559:E559"/>
    <mergeCell ref="A587:E587"/>
    <mergeCell ref="A629:E629"/>
    <mergeCell ref="A639:E639"/>
    <mergeCell ref="A668:E668"/>
    <mergeCell ref="A679:E679"/>
    <mergeCell ref="A585:D585"/>
    <mergeCell ref="A663:D663"/>
    <mergeCell ref="A478:E478"/>
    <mergeCell ref="A363:D363"/>
    <mergeCell ref="A665:D665"/>
    <mergeCell ref="A720:E720"/>
    <mergeCell ref="A777:E777"/>
    <mergeCell ref="A227:E227"/>
    <mergeCell ref="A263:E263"/>
    <mergeCell ref="A299:E299"/>
    <mergeCell ref="A412:E412"/>
    <mergeCell ref="A433:E433"/>
    <mergeCell ref="A297:D297"/>
    <mergeCell ref="A361:D361"/>
    <mergeCell ref="A32:E32"/>
    <mergeCell ref="A225:B225"/>
    <mergeCell ref="A61:E61"/>
    <mergeCell ref="A77:E77"/>
    <mergeCell ref="A99:E99"/>
    <mergeCell ref="A115:E115"/>
    <mergeCell ref="A146:E146"/>
    <mergeCell ref="A178:E178"/>
    <mergeCell ref="A198:E198"/>
    <mergeCell ref="A176:D176"/>
    <mergeCell ref="A113:D113"/>
    <mergeCell ref="A144:D144"/>
    <mergeCell ref="A223:E223"/>
    <mergeCell ref="A22:E22"/>
    <mergeCell ref="A2:E2"/>
    <mergeCell ref="A5:E5"/>
    <mergeCell ref="A7:E7"/>
    <mergeCell ref="B10:C10"/>
    <mergeCell ref="A12:E12"/>
  </mergeCells>
  <phoneticPr fontId="4" type="noConversion"/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>&amp;LNagyszénás Nagyközség
Önkormányzata&amp;R5. melléklet (Ft)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J165"/>
  <sheetViews>
    <sheetView topLeftCell="B1" workbookViewId="0">
      <pane ySplit="7" topLeftCell="A119" activePane="bottomLeft" state="frozen"/>
      <selection activeCell="B30" sqref="B30"/>
      <selection pane="bottomLeft" activeCell="F12" sqref="F12"/>
    </sheetView>
  </sheetViews>
  <sheetFormatPr defaultColWidth="8.85546875" defaultRowHeight="12.75"/>
  <cols>
    <col min="1" max="1" width="8.85546875" style="355"/>
    <col min="2" max="2" width="69.7109375" style="355" customWidth="1"/>
    <col min="3" max="3" width="14.28515625" style="355" customWidth="1"/>
    <col min="4" max="4" width="13.85546875" style="355" customWidth="1"/>
    <col min="5" max="5" width="16" style="355" customWidth="1"/>
    <col min="6" max="6" width="18.5703125" style="355" customWidth="1"/>
    <col min="7" max="16384" width="8.85546875" style="355"/>
  </cols>
  <sheetData>
    <row r="1" spans="2:10">
      <c r="E1" s="365" t="s">
        <v>605</v>
      </c>
    </row>
    <row r="4" spans="2:10">
      <c r="B4" s="663" t="s">
        <v>914</v>
      </c>
      <c r="C4" s="663"/>
      <c r="D4" s="663"/>
      <c r="E4" s="663"/>
    </row>
    <row r="5" spans="2:10">
      <c r="B5" s="663" t="s">
        <v>604</v>
      </c>
      <c r="C5" s="663"/>
      <c r="D5" s="663"/>
      <c r="E5" s="663"/>
    </row>
    <row r="7" spans="2:10" ht="15.75">
      <c r="B7" s="364" t="s">
        <v>603</v>
      </c>
      <c r="C7" s="364" t="s">
        <v>602</v>
      </c>
      <c r="D7" s="364" t="s">
        <v>601</v>
      </c>
      <c r="E7" s="364" t="s">
        <v>600</v>
      </c>
    </row>
    <row r="8" spans="2:10" ht="17.100000000000001" customHeight="1">
      <c r="B8" s="362" t="s">
        <v>599</v>
      </c>
      <c r="C8" s="361"/>
      <c r="D8" s="361"/>
      <c r="E8" s="361"/>
    </row>
    <row r="9" spans="2:10">
      <c r="B9" s="359" t="s">
        <v>598</v>
      </c>
      <c r="C9" s="358">
        <v>1123</v>
      </c>
      <c r="D9" s="358">
        <v>0</v>
      </c>
      <c r="E9" s="358">
        <v>762</v>
      </c>
      <c r="G9" s="360"/>
      <c r="H9" s="363"/>
      <c r="I9" s="360"/>
      <c r="J9" s="360"/>
    </row>
    <row r="10" spans="2:10">
      <c r="B10" s="359" t="s">
        <v>597</v>
      </c>
      <c r="C10" s="358">
        <v>0</v>
      </c>
      <c r="D10" s="358">
        <v>0</v>
      </c>
      <c r="E10" s="358">
        <v>0</v>
      </c>
    </row>
    <row r="11" spans="2:10">
      <c r="B11" s="359" t="s">
        <v>596</v>
      </c>
      <c r="C11" s="358">
        <v>0</v>
      </c>
      <c r="D11" s="358">
        <v>0</v>
      </c>
      <c r="E11" s="358">
        <v>0</v>
      </c>
    </row>
    <row r="12" spans="2:10">
      <c r="B12" s="357" t="s">
        <v>595</v>
      </c>
      <c r="C12" s="356">
        <v>1123</v>
      </c>
      <c r="D12" s="356">
        <v>0</v>
      </c>
      <c r="E12" s="356">
        <f>SUM(E9:E11)</f>
        <v>762</v>
      </c>
    </row>
    <row r="13" spans="2:10">
      <c r="B13" s="359" t="s">
        <v>594</v>
      </c>
      <c r="C13" s="358">
        <v>1016258</v>
      </c>
      <c r="D13" s="358">
        <v>0</v>
      </c>
      <c r="E13" s="358">
        <v>3057520</v>
      </c>
      <c r="G13" s="360"/>
    </row>
    <row r="14" spans="2:10">
      <c r="B14" s="359" t="s">
        <v>593</v>
      </c>
      <c r="C14" s="358">
        <v>18493</v>
      </c>
      <c r="D14" s="358">
        <v>0</v>
      </c>
      <c r="E14" s="358">
        <v>287206</v>
      </c>
    </row>
    <row r="15" spans="2:10">
      <c r="B15" s="359" t="s">
        <v>592</v>
      </c>
      <c r="C15" s="358">
        <v>0</v>
      </c>
      <c r="D15" s="358">
        <v>0</v>
      </c>
      <c r="E15" s="358">
        <v>0</v>
      </c>
    </row>
    <row r="16" spans="2:10">
      <c r="B16" s="359" t="s">
        <v>591</v>
      </c>
      <c r="C16" s="358">
        <v>2469715</v>
      </c>
      <c r="D16" s="358">
        <v>0</v>
      </c>
      <c r="E16" s="358">
        <v>1279938</v>
      </c>
    </row>
    <row r="17" spans="2:10">
      <c r="B17" s="359" t="s">
        <v>590</v>
      </c>
      <c r="C17" s="358">
        <v>0</v>
      </c>
      <c r="D17" s="358">
        <v>0</v>
      </c>
      <c r="E17" s="358">
        <v>0</v>
      </c>
      <c r="G17" s="360"/>
    </row>
    <row r="18" spans="2:10">
      <c r="B18" s="357" t="s">
        <v>589</v>
      </c>
      <c r="C18" s="356">
        <v>3504466</v>
      </c>
      <c r="D18" s="356">
        <v>0</v>
      </c>
      <c r="E18" s="356">
        <f>SUM(E13:E17)</f>
        <v>4624664</v>
      </c>
    </row>
    <row r="19" spans="2:10">
      <c r="B19" s="359" t="s">
        <v>588</v>
      </c>
      <c r="C19" s="358">
        <v>29286</v>
      </c>
      <c r="D19" s="358">
        <v>0</v>
      </c>
      <c r="E19" s="358">
        <v>29186</v>
      </c>
    </row>
    <row r="20" spans="2:10">
      <c r="B20" s="359" t="s">
        <v>587</v>
      </c>
      <c r="C20" s="358">
        <v>0</v>
      </c>
      <c r="D20" s="358">
        <v>0</v>
      </c>
      <c r="E20" s="358">
        <v>0</v>
      </c>
      <c r="G20" s="360"/>
      <c r="H20" s="363"/>
      <c r="I20" s="360"/>
      <c r="J20" s="360"/>
    </row>
    <row r="21" spans="2:10">
      <c r="B21" s="359" t="s">
        <v>586</v>
      </c>
      <c r="C21" s="358">
        <v>0</v>
      </c>
      <c r="D21" s="358">
        <v>0</v>
      </c>
      <c r="E21" s="358">
        <v>0</v>
      </c>
    </row>
    <row r="22" spans="2:10">
      <c r="B22" s="359" t="s">
        <v>585</v>
      </c>
      <c r="C22" s="358">
        <v>0</v>
      </c>
      <c r="D22" s="358">
        <v>0</v>
      </c>
      <c r="E22" s="358">
        <v>0</v>
      </c>
    </row>
    <row r="23" spans="2:10">
      <c r="B23" s="359" t="s">
        <v>584</v>
      </c>
      <c r="C23" s="358">
        <v>0</v>
      </c>
      <c r="D23" s="358">
        <v>0</v>
      </c>
      <c r="E23" s="358">
        <v>0</v>
      </c>
    </row>
    <row r="24" spans="2:10">
      <c r="B24" s="359" t="s">
        <v>583</v>
      </c>
      <c r="C24" s="358">
        <v>0</v>
      </c>
      <c r="D24" s="358">
        <v>0</v>
      </c>
      <c r="E24" s="358">
        <v>0</v>
      </c>
    </row>
    <row r="25" spans="2:10">
      <c r="B25" s="359" t="s">
        <v>582</v>
      </c>
      <c r="C25" s="358">
        <v>0</v>
      </c>
      <c r="D25" s="358">
        <v>0</v>
      </c>
      <c r="E25" s="358">
        <v>0</v>
      </c>
    </row>
    <row r="26" spans="2:10">
      <c r="B26" s="357" t="s">
        <v>581</v>
      </c>
      <c r="C26" s="356">
        <v>29286</v>
      </c>
      <c r="D26" s="356">
        <v>0</v>
      </c>
      <c r="E26" s="356">
        <f>SUM(E19:E25)</f>
        <v>29186</v>
      </c>
    </row>
    <row r="27" spans="2:10">
      <c r="B27" s="359" t="s">
        <v>580</v>
      </c>
      <c r="C27" s="358">
        <v>0</v>
      </c>
      <c r="D27" s="358">
        <v>0</v>
      </c>
      <c r="E27" s="358">
        <v>0</v>
      </c>
    </row>
    <row r="28" spans="2:10">
      <c r="B28" s="359" t="s">
        <v>579</v>
      </c>
      <c r="C28" s="358">
        <v>0</v>
      </c>
      <c r="D28" s="358">
        <v>0</v>
      </c>
      <c r="E28" s="358">
        <v>0</v>
      </c>
    </row>
    <row r="29" spans="2:10" ht="25.5">
      <c r="B29" s="357" t="s">
        <v>578</v>
      </c>
      <c r="C29" s="356">
        <v>0</v>
      </c>
      <c r="D29" s="356">
        <v>0</v>
      </c>
      <c r="E29" s="356">
        <v>0</v>
      </c>
    </row>
    <row r="30" spans="2:10" ht="25.5">
      <c r="B30" s="357" t="s">
        <v>577</v>
      </c>
      <c r="C30" s="356">
        <v>3534875</v>
      </c>
      <c r="D30" s="356">
        <v>0</v>
      </c>
      <c r="E30" s="356">
        <f>E12+E18+E26</f>
        <v>4654612</v>
      </c>
    </row>
    <row r="31" spans="2:10">
      <c r="B31" s="359" t="s">
        <v>576</v>
      </c>
      <c r="C31" s="358">
        <v>0</v>
      </c>
      <c r="D31" s="358">
        <v>0</v>
      </c>
      <c r="E31" s="358">
        <v>0</v>
      </c>
    </row>
    <row r="32" spans="2:10">
      <c r="B32" s="359" t="s">
        <v>575</v>
      </c>
      <c r="C32" s="358">
        <v>0</v>
      </c>
      <c r="D32" s="358">
        <v>0</v>
      </c>
      <c r="E32" s="358">
        <v>0</v>
      </c>
    </row>
    <row r="33" spans="2:5">
      <c r="B33" s="359" t="s">
        <v>574</v>
      </c>
      <c r="C33" s="358">
        <v>0</v>
      </c>
      <c r="D33" s="358">
        <v>0</v>
      </c>
      <c r="E33" s="358">
        <v>0</v>
      </c>
    </row>
    <row r="34" spans="2:5">
      <c r="B34" s="359" t="s">
        <v>573</v>
      </c>
      <c r="C34" s="358">
        <v>0</v>
      </c>
      <c r="D34" s="358">
        <v>0</v>
      </c>
      <c r="E34" s="358">
        <v>0</v>
      </c>
    </row>
    <row r="35" spans="2:5">
      <c r="B35" s="359" t="s">
        <v>572</v>
      </c>
      <c r="C35" s="358">
        <v>0</v>
      </c>
      <c r="D35" s="358">
        <v>0</v>
      </c>
      <c r="E35" s="358">
        <v>0</v>
      </c>
    </row>
    <row r="36" spans="2:5">
      <c r="B36" s="357" t="s">
        <v>571</v>
      </c>
      <c r="C36" s="356">
        <v>0</v>
      </c>
      <c r="D36" s="356">
        <v>0</v>
      </c>
      <c r="E36" s="356">
        <v>0</v>
      </c>
    </row>
    <row r="37" spans="2:5">
      <c r="B37" s="359" t="s">
        <v>570</v>
      </c>
      <c r="C37" s="358">
        <v>0</v>
      </c>
      <c r="D37" s="358">
        <v>0</v>
      </c>
      <c r="E37" s="358">
        <v>0</v>
      </c>
    </row>
    <row r="38" spans="2:5">
      <c r="B38" s="359" t="s">
        <v>569</v>
      </c>
      <c r="C38" s="358">
        <v>0</v>
      </c>
      <c r="D38" s="358">
        <v>0</v>
      </c>
      <c r="E38" s="358">
        <v>0</v>
      </c>
    </row>
    <row r="39" spans="2:5">
      <c r="B39" s="359" t="s">
        <v>568</v>
      </c>
      <c r="C39" s="358">
        <v>0</v>
      </c>
      <c r="D39" s="358">
        <v>0</v>
      </c>
      <c r="E39" s="358">
        <v>0</v>
      </c>
    </row>
    <row r="40" spans="2:5">
      <c r="B40" s="359" t="s">
        <v>567</v>
      </c>
      <c r="C40" s="358">
        <v>0</v>
      </c>
      <c r="D40" s="358">
        <v>0</v>
      </c>
      <c r="E40" s="358">
        <v>0</v>
      </c>
    </row>
    <row r="41" spans="2:5">
      <c r="B41" s="359" t="s">
        <v>566</v>
      </c>
      <c r="C41" s="358">
        <v>0</v>
      </c>
      <c r="D41" s="358">
        <v>0</v>
      </c>
      <c r="E41" s="358">
        <v>0</v>
      </c>
    </row>
    <row r="42" spans="2:5">
      <c r="B42" s="359" t="s">
        <v>565</v>
      </c>
      <c r="C42" s="358">
        <v>0</v>
      </c>
      <c r="D42" s="358">
        <v>0</v>
      </c>
      <c r="E42" s="358">
        <v>0</v>
      </c>
    </row>
    <row r="43" spans="2:5">
      <c r="B43" s="359" t="s">
        <v>564</v>
      </c>
      <c r="C43" s="358">
        <v>0</v>
      </c>
      <c r="D43" s="358">
        <v>0</v>
      </c>
      <c r="E43" s="358">
        <v>0</v>
      </c>
    </row>
    <row r="44" spans="2:5">
      <c r="B44" s="357" t="s">
        <v>563</v>
      </c>
      <c r="C44" s="356">
        <v>0</v>
      </c>
      <c r="D44" s="356">
        <v>0</v>
      </c>
      <c r="E44" s="356">
        <v>0</v>
      </c>
    </row>
    <row r="45" spans="2:5" ht="25.5">
      <c r="B45" s="357" t="s">
        <v>562</v>
      </c>
      <c r="C45" s="356">
        <v>0</v>
      </c>
      <c r="D45" s="356">
        <v>0</v>
      </c>
      <c r="E45" s="356">
        <v>0</v>
      </c>
    </row>
    <row r="46" spans="2:5">
      <c r="B46" s="359" t="s">
        <v>561</v>
      </c>
      <c r="C46" s="358">
        <v>0</v>
      </c>
      <c r="D46" s="358">
        <v>0</v>
      </c>
      <c r="E46" s="358">
        <v>0</v>
      </c>
    </row>
    <row r="47" spans="2:5">
      <c r="B47" s="359" t="s">
        <v>560</v>
      </c>
      <c r="C47" s="358">
        <v>724</v>
      </c>
      <c r="D47" s="358">
        <v>0</v>
      </c>
      <c r="E47" s="358">
        <v>975</v>
      </c>
    </row>
    <row r="48" spans="2:5">
      <c r="B48" s="359" t="s">
        <v>559</v>
      </c>
      <c r="C48" s="358">
        <v>39469</v>
      </c>
      <c r="D48" s="358">
        <v>0</v>
      </c>
      <c r="E48" s="358">
        <v>42431</v>
      </c>
    </row>
    <row r="49" spans="2:5">
      <c r="B49" s="359" t="s">
        <v>558</v>
      </c>
      <c r="C49" s="358">
        <v>0</v>
      </c>
      <c r="D49" s="358">
        <v>0</v>
      </c>
      <c r="E49" s="358">
        <v>0</v>
      </c>
    </row>
    <row r="50" spans="2:5">
      <c r="B50" s="359" t="s">
        <v>557</v>
      </c>
      <c r="C50" s="358">
        <v>0</v>
      </c>
      <c r="D50" s="358">
        <v>0</v>
      </c>
      <c r="E50" s="358">
        <v>0</v>
      </c>
    </row>
    <row r="51" spans="2:5">
      <c r="B51" s="357" t="s">
        <v>556</v>
      </c>
      <c r="C51" s="356">
        <v>40193</v>
      </c>
      <c r="D51" s="356">
        <v>0</v>
      </c>
      <c r="E51" s="356">
        <f>SUM(E46:E50)</f>
        <v>43406</v>
      </c>
    </row>
    <row r="52" spans="2:5" ht="25.5">
      <c r="B52" s="359" t="s">
        <v>555</v>
      </c>
      <c r="C52" s="358">
        <v>0</v>
      </c>
      <c r="D52" s="358">
        <v>0</v>
      </c>
      <c r="E52" s="358">
        <v>0</v>
      </c>
    </row>
    <row r="53" spans="2:5" ht="38.25">
      <c r="B53" s="359" t="s">
        <v>554</v>
      </c>
      <c r="C53" s="358">
        <v>0</v>
      </c>
      <c r="D53" s="358">
        <v>0</v>
      </c>
      <c r="E53" s="358">
        <v>0</v>
      </c>
    </row>
    <row r="54" spans="2:5" ht="25.5">
      <c r="B54" s="359" t="s">
        <v>553</v>
      </c>
      <c r="C54" s="358">
        <v>0</v>
      </c>
      <c r="D54" s="358">
        <v>0</v>
      </c>
      <c r="E54" s="358">
        <v>0</v>
      </c>
    </row>
    <row r="55" spans="2:5" ht="38.25">
      <c r="B55" s="359" t="s">
        <v>552</v>
      </c>
      <c r="C55" s="358">
        <v>0</v>
      </c>
      <c r="D55" s="358">
        <v>0</v>
      </c>
      <c r="E55" s="358">
        <v>0</v>
      </c>
    </row>
    <row r="56" spans="2:5">
      <c r="B56" s="359" t="s">
        <v>551</v>
      </c>
      <c r="C56" s="358">
        <v>8933</v>
      </c>
      <c r="D56" s="358">
        <v>0</v>
      </c>
      <c r="E56" s="358">
        <v>9126</v>
      </c>
    </row>
    <row r="57" spans="2:5">
      <c r="B57" s="359" t="s">
        <v>550</v>
      </c>
      <c r="C57" s="358">
        <v>3341</v>
      </c>
      <c r="D57" s="358">
        <v>0</v>
      </c>
      <c r="E57" s="358">
        <v>17543</v>
      </c>
    </row>
    <row r="58" spans="2:5">
      <c r="B58" s="359" t="s">
        <v>549</v>
      </c>
      <c r="C58" s="358">
        <v>0</v>
      </c>
      <c r="D58" s="358">
        <v>0</v>
      </c>
      <c r="E58" s="358">
        <v>0</v>
      </c>
    </row>
    <row r="59" spans="2:5" ht="25.5">
      <c r="B59" s="359" t="s">
        <v>548</v>
      </c>
      <c r="C59" s="358">
        <v>0</v>
      </c>
      <c r="D59" s="358">
        <v>0</v>
      </c>
      <c r="E59" s="358">
        <v>0</v>
      </c>
    </row>
    <row r="60" spans="2:5" ht="38.25">
      <c r="B60" s="359" t="s">
        <v>547</v>
      </c>
      <c r="C60" s="358">
        <v>0</v>
      </c>
      <c r="D60" s="358">
        <v>0</v>
      </c>
      <c r="E60" s="358">
        <v>0</v>
      </c>
    </row>
    <row r="61" spans="2:5" ht="25.5">
      <c r="B61" s="359" t="s">
        <v>546</v>
      </c>
      <c r="C61" s="358">
        <v>0</v>
      </c>
      <c r="D61" s="358">
        <v>0</v>
      </c>
      <c r="E61" s="358">
        <v>0</v>
      </c>
    </row>
    <row r="62" spans="2:5" ht="38.25">
      <c r="B62" s="359" t="s">
        <v>545</v>
      </c>
      <c r="C62" s="358">
        <v>0</v>
      </c>
      <c r="D62" s="358">
        <v>0</v>
      </c>
      <c r="E62" s="358">
        <v>0</v>
      </c>
    </row>
    <row r="63" spans="2:5" ht="25.5">
      <c r="B63" s="359" t="s">
        <v>544</v>
      </c>
      <c r="C63" s="358">
        <v>0</v>
      </c>
      <c r="D63" s="358">
        <v>0</v>
      </c>
      <c r="E63" s="358">
        <v>0</v>
      </c>
    </row>
    <row r="64" spans="2:5" ht="25.5">
      <c r="B64" s="359" t="s">
        <v>543</v>
      </c>
      <c r="C64" s="358">
        <v>0</v>
      </c>
      <c r="D64" s="358">
        <v>0</v>
      </c>
      <c r="E64" s="358">
        <v>0</v>
      </c>
    </row>
    <row r="65" spans="2:5">
      <c r="B65" s="357" t="s">
        <v>542</v>
      </c>
      <c r="C65" s="356">
        <v>12274</v>
      </c>
      <c r="D65" s="356">
        <v>0</v>
      </c>
      <c r="E65" s="356">
        <f>SUM(E52:E64)</f>
        <v>26669</v>
      </c>
    </row>
    <row r="66" spans="2:5" ht="25.5">
      <c r="B66" s="359" t="s">
        <v>541</v>
      </c>
      <c r="C66" s="358">
        <v>0</v>
      </c>
      <c r="D66" s="358">
        <v>0</v>
      </c>
      <c r="E66" s="358">
        <v>0</v>
      </c>
    </row>
    <row r="67" spans="2:5" ht="38.25">
      <c r="B67" s="359" t="s">
        <v>540</v>
      </c>
      <c r="C67" s="358">
        <v>0</v>
      </c>
      <c r="D67" s="358">
        <v>0</v>
      </c>
      <c r="E67" s="358">
        <v>0</v>
      </c>
    </row>
    <row r="68" spans="2:5" ht="25.5">
      <c r="B68" s="359" t="s">
        <v>539</v>
      </c>
      <c r="C68" s="358">
        <v>0</v>
      </c>
      <c r="D68" s="358">
        <v>0</v>
      </c>
      <c r="E68" s="358">
        <v>0</v>
      </c>
    </row>
    <row r="69" spans="2:5" ht="38.25">
      <c r="B69" s="359" t="s">
        <v>538</v>
      </c>
      <c r="C69" s="358">
        <v>0</v>
      </c>
      <c r="D69" s="358">
        <v>0</v>
      </c>
      <c r="E69" s="358">
        <v>0</v>
      </c>
    </row>
    <row r="70" spans="2:5" ht="25.5">
      <c r="B70" s="359" t="s">
        <v>537</v>
      </c>
      <c r="C70" s="358">
        <v>0</v>
      </c>
      <c r="D70" s="358">
        <v>0</v>
      </c>
      <c r="E70" s="358">
        <v>0</v>
      </c>
    </row>
    <row r="71" spans="2:5" ht="25.5">
      <c r="B71" s="359" t="s">
        <v>536</v>
      </c>
      <c r="C71" s="358">
        <v>5370</v>
      </c>
      <c r="D71" s="358">
        <v>0</v>
      </c>
      <c r="E71" s="358">
        <v>4232</v>
      </c>
    </row>
    <row r="72" spans="2:5" ht="25.5">
      <c r="B72" s="359" t="s">
        <v>535</v>
      </c>
      <c r="C72" s="358">
        <v>0</v>
      </c>
      <c r="D72" s="358">
        <v>0</v>
      </c>
      <c r="E72" s="358">
        <v>0</v>
      </c>
    </row>
    <row r="73" spans="2:5" ht="25.5">
      <c r="B73" s="359" t="s">
        <v>534</v>
      </c>
      <c r="C73" s="358">
        <v>0</v>
      </c>
      <c r="D73" s="358">
        <v>0</v>
      </c>
      <c r="E73" s="358">
        <v>0</v>
      </c>
    </row>
    <row r="74" spans="2:5" ht="38.25">
      <c r="B74" s="359" t="s">
        <v>533</v>
      </c>
      <c r="C74" s="358">
        <v>0</v>
      </c>
      <c r="D74" s="358">
        <v>0</v>
      </c>
      <c r="E74" s="358">
        <v>0</v>
      </c>
    </row>
    <row r="75" spans="2:5" ht="25.5">
      <c r="B75" s="359" t="s">
        <v>532</v>
      </c>
      <c r="C75" s="358">
        <v>0</v>
      </c>
      <c r="D75" s="358">
        <v>0</v>
      </c>
      <c r="E75" s="358">
        <v>0</v>
      </c>
    </row>
    <row r="76" spans="2:5" ht="38.25">
      <c r="B76" s="359" t="s">
        <v>531</v>
      </c>
      <c r="C76" s="358">
        <v>0</v>
      </c>
      <c r="D76" s="358">
        <v>0</v>
      </c>
      <c r="E76" s="358">
        <v>0</v>
      </c>
    </row>
    <row r="77" spans="2:5" ht="25.5">
      <c r="B77" s="359" t="s">
        <v>530</v>
      </c>
      <c r="C77" s="358">
        <v>0</v>
      </c>
      <c r="D77" s="358">
        <v>0</v>
      </c>
      <c r="E77" s="358">
        <v>0</v>
      </c>
    </row>
    <row r="78" spans="2:5" ht="25.5">
      <c r="B78" s="359" t="s">
        <v>529</v>
      </c>
      <c r="C78" s="358">
        <v>0</v>
      </c>
      <c r="D78" s="358">
        <v>0</v>
      </c>
      <c r="E78" s="358">
        <v>0</v>
      </c>
    </row>
    <row r="79" spans="2:5" ht="25.5">
      <c r="B79" s="357" t="s">
        <v>528</v>
      </c>
      <c r="C79" s="356">
        <v>5370</v>
      </c>
      <c r="D79" s="356">
        <v>0</v>
      </c>
      <c r="E79" s="356">
        <f>SUM(E66:E78)</f>
        <v>4232</v>
      </c>
    </row>
    <row r="80" spans="2:5">
      <c r="B80" s="359" t="s">
        <v>527</v>
      </c>
      <c r="C80" s="358">
        <v>11111</v>
      </c>
      <c r="D80" s="358">
        <v>0</v>
      </c>
      <c r="E80" s="358">
        <v>11219</v>
      </c>
    </row>
    <row r="81" spans="2:5">
      <c r="B81" s="359" t="s">
        <v>526</v>
      </c>
      <c r="C81" s="358">
        <v>0</v>
      </c>
      <c r="D81" s="358">
        <v>0</v>
      </c>
      <c r="E81" s="358">
        <v>0</v>
      </c>
    </row>
    <row r="82" spans="2:5">
      <c r="B82" s="359" t="s">
        <v>525</v>
      </c>
      <c r="C82" s="358">
        <v>0</v>
      </c>
      <c r="D82" s="358">
        <v>0</v>
      </c>
      <c r="E82" s="358">
        <v>0</v>
      </c>
    </row>
    <row r="83" spans="2:5">
      <c r="B83" s="359" t="s">
        <v>524</v>
      </c>
      <c r="C83" s="358">
        <v>0</v>
      </c>
      <c r="D83" s="358">
        <v>0</v>
      </c>
      <c r="E83" s="358">
        <v>0</v>
      </c>
    </row>
    <row r="84" spans="2:5">
      <c r="B84" s="359" t="s">
        <v>523</v>
      </c>
      <c r="C84" s="358">
        <v>438</v>
      </c>
      <c r="D84" s="358">
        <v>0</v>
      </c>
      <c r="E84" s="358">
        <v>11180</v>
      </c>
    </row>
    <row r="85" spans="2:5">
      <c r="B85" s="359" t="s">
        <v>522</v>
      </c>
      <c r="C85" s="358">
        <v>10673</v>
      </c>
      <c r="D85" s="358">
        <v>0</v>
      </c>
      <c r="E85" s="358">
        <v>39</v>
      </c>
    </row>
    <row r="86" spans="2:5">
      <c r="B86" s="359" t="s">
        <v>521</v>
      </c>
      <c r="C86" s="358">
        <v>0</v>
      </c>
      <c r="D86" s="358">
        <v>0</v>
      </c>
      <c r="E86" s="358">
        <v>35155</v>
      </c>
    </row>
    <row r="87" spans="2:5">
      <c r="B87" s="359" t="s">
        <v>520</v>
      </c>
      <c r="C87" s="358">
        <v>0</v>
      </c>
      <c r="D87" s="358">
        <v>0</v>
      </c>
      <c r="E87" s="358">
        <v>0</v>
      </c>
    </row>
    <row r="88" spans="2:5">
      <c r="B88" s="359" t="s">
        <v>519</v>
      </c>
      <c r="C88" s="358">
        <v>0</v>
      </c>
      <c r="D88" s="358">
        <v>0</v>
      </c>
      <c r="E88" s="358">
        <v>300</v>
      </c>
    </row>
    <row r="89" spans="2:5" ht="25.5">
      <c r="B89" s="359" t="s">
        <v>518</v>
      </c>
      <c r="C89" s="358">
        <v>0</v>
      </c>
      <c r="D89" s="358">
        <v>0</v>
      </c>
      <c r="E89" s="358">
        <v>0</v>
      </c>
    </row>
    <row r="90" spans="2:5" ht="25.5">
      <c r="B90" s="359" t="s">
        <v>517</v>
      </c>
      <c r="C90" s="358">
        <v>0</v>
      </c>
      <c r="D90" s="358">
        <v>0</v>
      </c>
      <c r="E90" s="358">
        <v>0</v>
      </c>
    </row>
    <row r="91" spans="2:5" ht="25.5">
      <c r="B91" s="359" t="s">
        <v>516</v>
      </c>
      <c r="C91" s="358">
        <v>0</v>
      </c>
      <c r="D91" s="358">
        <v>0</v>
      </c>
      <c r="E91" s="358">
        <v>0</v>
      </c>
    </row>
    <row r="92" spans="2:5" ht="25.5">
      <c r="B92" s="357" t="s">
        <v>515</v>
      </c>
      <c r="C92" s="356">
        <v>11111</v>
      </c>
      <c r="D92" s="356">
        <v>0</v>
      </c>
      <c r="E92" s="356">
        <f>E80+E86+E88</f>
        <v>46674</v>
      </c>
    </row>
    <row r="93" spans="2:5">
      <c r="B93" s="357" t="s">
        <v>514</v>
      </c>
      <c r="C93" s="356">
        <v>28755</v>
      </c>
      <c r="D93" s="356">
        <v>0</v>
      </c>
      <c r="E93" s="356">
        <f>E65+E79+E92</f>
        <v>77575</v>
      </c>
    </row>
    <row r="94" spans="2:5">
      <c r="B94" s="357" t="s">
        <v>513</v>
      </c>
      <c r="C94" s="356">
        <v>6499</v>
      </c>
      <c r="D94" s="356">
        <v>0</v>
      </c>
      <c r="E94" s="356">
        <v>4952</v>
      </c>
    </row>
    <row r="95" spans="2:5">
      <c r="B95" s="359" t="s">
        <v>512</v>
      </c>
      <c r="C95" s="358">
        <v>0</v>
      </c>
      <c r="D95" s="358">
        <v>0</v>
      </c>
      <c r="E95" s="358">
        <v>0</v>
      </c>
    </row>
    <row r="96" spans="2:5">
      <c r="B96" s="359" t="s">
        <v>511</v>
      </c>
      <c r="C96" s="358">
        <v>0</v>
      </c>
      <c r="D96" s="358">
        <v>0</v>
      </c>
      <c r="E96" s="358">
        <v>0</v>
      </c>
    </row>
    <row r="97" spans="2:5">
      <c r="B97" s="359" t="s">
        <v>510</v>
      </c>
      <c r="C97" s="358">
        <v>0</v>
      </c>
      <c r="D97" s="358">
        <v>0</v>
      </c>
      <c r="E97" s="358">
        <v>0</v>
      </c>
    </row>
    <row r="98" spans="2:5">
      <c r="B98" s="357" t="s">
        <v>509</v>
      </c>
      <c r="C98" s="356">
        <v>0</v>
      </c>
      <c r="D98" s="356">
        <v>0</v>
      </c>
      <c r="E98" s="356">
        <v>0</v>
      </c>
    </row>
    <row r="99" spans="2:5">
      <c r="B99" s="357" t="s">
        <v>508</v>
      </c>
      <c r="C99" s="356">
        <v>3610322</v>
      </c>
      <c r="D99" s="356">
        <v>0</v>
      </c>
      <c r="E99" s="356">
        <f>E30+E45+E51+E93+E94+E98</f>
        <v>4780545</v>
      </c>
    </row>
    <row r="100" spans="2:5">
      <c r="B100" s="357"/>
      <c r="C100" s="356"/>
      <c r="D100" s="356"/>
      <c r="E100" s="356"/>
    </row>
    <row r="101" spans="2:5">
      <c r="B101" s="362" t="s">
        <v>507</v>
      </c>
      <c r="C101" s="361"/>
      <c r="D101" s="361"/>
      <c r="E101" s="361"/>
    </row>
    <row r="102" spans="2:5">
      <c r="B102" s="359" t="s">
        <v>506</v>
      </c>
      <c r="C102" s="358">
        <v>3444209</v>
      </c>
      <c r="D102" s="358">
        <v>0</v>
      </c>
      <c r="E102" s="358">
        <v>3444209</v>
      </c>
    </row>
    <row r="103" spans="2:5">
      <c r="B103" s="359" t="s">
        <v>505</v>
      </c>
      <c r="C103" s="358">
        <v>0</v>
      </c>
      <c r="D103" s="358">
        <v>0</v>
      </c>
      <c r="E103" s="358">
        <v>0</v>
      </c>
    </row>
    <row r="104" spans="2:5">
      <c r="B104" s="359" t="s">
        <v>504</v>
      </c>
      <c r="C104" s="358">
        <v>23921</v>
      </c>
      <c r="D104" s="358">
        <v>0</v>
      </c>
      <c r="E104" s="358">
        <v>23921</v>
      </c>
    </row>
    <row r="105" spans="2:5">
      <c r="B105" s="359" t="s">
        <v>503</v>
      </c>
      <c r="C105" s="358">
        <v>-482985</v>
      </c>
      <c r="D105" s="358">
        <v>0</v>
      </c>
      <c r="E105" s="358">
        <v>31321</v>
      </c>
    </row>
    <row r="106" spans="2:5">
      <c r="B106" s="359" t="s">
        <v>502</v>
      </c>
      <c r="C106" s="358">
        <v>0</v>
      </c>
      <c r="D106" s="358">
        <v>0</v>
      </c>
      <c r="E106" s="358">
        <v>0</v>
      </c>
    </row>
    <row r="107" spans="2:5">
      <c r="B107" s="359" t="s">
        <v>501</v>
      </c>
      <c r="C107" s="358">
        <v>514305</v>
      </c>
      <c r="D107" s="358">
        <v>0</v>
      </c>
      <c r="E107" s="358">
        <v>875010</v>
      </c>
    </row>
    <row r="108" spans="2:5">
      <c r="B108" s="357" t="s">
        <v>500</v>
      </c>
      <c r="C108" s="356">
        <f>SUM(C102:C107)</f>
        <v>3499450</v>
      </c>
      <c r="D108" s="356">
        <v>0</v>
      </c>
      <c r="E108" s="356">
        <f>SUM(E102:E107)</f>
        <v>4374461</v>
      </c>
    </row>
    <row r="109" spans="2:5">
      <c r="B109" s="359" t="s">
        <v>499</v>
      </c>
      <c r="C109" s="358">
        <v>0</v>
      </c>
      <c r="D109" s="358">
        <v>0</v>
      </c>
      <c r="E109" s="358">
        <v>0</v>
      </c>
    </row>
    <row r="110" spans="2:5" ht="25.5">
      <c r="B110" s="359" t="s">
        <v>498</v>
      </c>
      <c r="C110" s="358">
        <v>0</v>
      </c>
      <c r="D110" s="358">
        <v>0</v>
      </c>
      <c r="E110" s="358">
        <v>0</v>
      </c>
    </row>
    <row r="111" spans="2:5">
      <c r="B111" s="359" t="s">
        <v>497</v>
      </c>
      <c r="C111" s="358">
        <v>7</v>
      </c>
      <c r="D111" s="358">
        <v>0</v>
      </c>
      <c r="E111" s="358">
        <v>983</v>
      </c>
    </row>
    <row r="112" spans="2:5" ht="25.5">
      <c r="B112" s="359" t="s">
        <v>496</v>
      </c>
      <c r="C112" s="358">
        <v>0</v>
      </c>
      <c r="D112" s="358">
        <v>0</v>
      </c>
      <c r="E112" s="358">
        <v>0</v>
      </c>
    </row>
    <row r="113" spans="2:5" ht="25.5">
      <c r="B113" s="359" t="s">
        <v>495</v>
      </c>
      <c r="C113" s="358">
        <v>0</v>
      </c>
      <c r="D113" s="358">
        <v>0</v>
      </c>
      <c r="E113" s="358">
        <v>0</v>
      </c>
    </row>
    <row r="114" spans="2:5" ht="38.25">
      <c r="B114" s="359" t="s">
        <v>494</v>
      </c>
      <c r="C114" s="358">
        <v>0</v>
      </c>
      <c r="D114" s="358">
        <v>0</v>
      </c>
      <c r="E114" s="358">
        <v>0</v>
      </c>
    </row>
    <row r="115" spans="2:5">
      <c r="B115" s="359" t="s">
        <v>493</v>
      </c>
      <c r="C115" s="358">
        <v>67707</v>
      </c>
      <c r="D115" s="358">
        <v>0</v>
      </c>
      <c r="E115" s="358">
        <v>0</v>
      </c>
    </row>
    <row r="116" spans="2:5">
      <c r="B116" s="359" t="s">
        <v>492</v>
      </c>
      <c r="C116" s="358">
        <v>0</v>
      </c>
      <c r="D116" s="358">
        <v>0</v>
      </c>
      <c r="E116" s="358">
        <v>0</v>
      </c>
    </row>
    <row r="117" spans="2:5" ht="25.5">
      <c r="B117" s="359" t="s">
        <v>491</v>
      </c>
      <c r="C117" s="358">
        <v>0</v>
      </c>
      <c r="D117" s="358">
        <v>0</v>
      </c>
      <c r="E117" s="358">
        <v>0</v>
      </c>
    </row>
    <row r="118" spans="2:5" ht="38.25">
      <c r="B118" s="359" t="s">
        <v>490</v>
      </c>
      <c r="C118" s="358">
        <v>0</v>
      </c>
      <c r="D118" s="358">
        <v>0</v>
      </c>
      <c r="E118" s="358">
        <v>0</v>
      </c>
    </row>
    <row r="119" spans="2:5" ht="25.5">
      <c r="B119" s="359" t="s">
        <v>489</v>
      </c>
      <c r="C119" s="358">
        <v>0</v>
      </c>
      <c r="D119" s="358">
        <v>0</v>
      </c>
      <c r="E119" s="358">
        <v>0</v>
      </c>
    </row>
    <row r="120" spans="2:5" ht="25.5">
      <c r="B120" s="359" t="s">
        <v>488</v>
      </c>
      <c r="C120" s="358">
        <v>0</v>
      </c>
      <c r="D120" s="358">
        <v>0</v>
      </c>
      <c r="E120" s="358">
        <v>0</v>
      </c>
    </row>
    <row r="121" spans="2:5" ht="25.5">
      <c r="B121" s="359" t="s">
        <v>487</v>
      </c>
      <c r="C121" s="358">
        <v>0</v>
      </c>
      <c r="D121" s="358">
        <v>0</v>
      </c>
      <c r="E121" s="358">
        <v>0</v>
      </c>
    </row>
    <row r="122" spans="2:5" ht="25.5">
      <c r="B122" s="359" t="s">
        <v>486</v>
      </c>
      <c r="C122" s="358">
        <v>0</v>
      </c>
      <c r="D122" s="358">
        <v>0</v>
      </c>
      <c r="E122" s="358">
        <v>0</v>
      </c>
    </row>
    <row r="123" spans="2:5" ht="25.5">
      <c r="B123" s="359" t="s">
        <v>485</v>
      </c>
      <c r="C123" s="358">
        <v>0</v>
      </c>
      <c r="D123" s="358">
        <v>0</v>
      </c>
      <c r="E123" s="358">
        <v>0</v>
      </c>
    </row>
    <row r="124" spans="2:5" ht="25.5">
      <c r="B124" s="359" t="s">
        <v>484</v>
      </c>
      <c r="C124" s="358">
        <v>0</v>
      </c>
      <c r="D124" s="358">
        <v>0</v>
      </c>
      <c r="E124" s="358">
        <v>0</v>
      </c>
    </row>
    <row r="125" spans="2:5" ht="25.5">
      <c r="B125" s="359" t="s">
        <v>483</v>
      </c>
      <c r="C125" s="358">
        <v>0</v>
      </c>
      <c r="D125" s="358">
        <v>0</v>
      </c>
      <c r="E125" s="358">
        <v>0</v>
      </c>
    </row>
    <row r="126" spans="2:5" ht="25.5">
      <c r="B126" s="359" t="s">
        <v>482</v>
      </c>
      <c r="C126" s="358">
        <v>0</v>
      </c>
      <c r="D126" s="358">
        <v>0</v>
      </c>
      <c r="E126" s="358">
        <v>0</v>
      </c>
    </row>
    <row r="127" spans="2:5" ht="25.5">
      <c r="B127" s="359" t="s">
        <v>481</v>
      </c>
      <c r="C127" s="358">
        <v>0</v>
      </c>
      <c r="D127" s="358">
        <v>0</v>
      </c>
      <c r="E127" s="358">
        <v>0</v>
      </c>
    </row>
    <row r="128" spans="2:5">
      <c r="B128" s="357" t="s">
        <v>480</v>
      </c>
      <c r="C128" s="356">
        <v>67714</v>
      </c>
      <c r="D128" s="356">
        <v>0</v>
      </c>
      <c r="E128" s="356">
        <f>SUM(E109:E127)</f>
        <v>983</v>
      </c>
    </row>
    <row r="129" spans="2:6" ht="25.5">
      <c r="B129" s="359" t="s">
        <v>479</v>
      </c>
      <c r="C129" s="358">
        <v>0</v>
      </c>
      <c r="D129" s="358">
        <v>0</v>
      </c>
      <c r="E129" s="358">
        <v>0</v>
      </c>
    </row>
    <row r="130" spans="2:6" ht="25.5">
      <c r="B130" s="359" t="s">
        <v>478</v>
      </c>
      <c r="C130" s="358">
        <v>0</v>
      </c>
      <c r="D130" s="358">
        <v>0</v>
      </c>
      <c r="E130" s="358">
        <v>0</v>
      </c>
    </row>
    <row r="131" spans="2:6" ht="25.5">
      <c r="B131" s="359" t="s">
        <v>477</v>
      </c>
      <c r="C131" s="358">
        <v>3384</v>
      </c>
      <c r="D131" s="358">
        <v>0</v>
      </c>
      <c r="E131" s="358">
        <v>1841</v>
      </c>
    </row>
    <row r="132" spans="2:6" ht="25.5">
      <c r="B132" s="359" t="s">
        <v>476</v>
      </c>
      <c r="C132" s="358">
        <v>0</v>
      </c>
      <c r="D132" s="358">
        <v>0</v>
      </c>
      <c r="E132" s="358">
        <v>0</v>
      </c>
    </row>
    <row r="133" spans="2:6" ht="25.5">
      <c r="B133" s="359" t="s">
        <v>475</v>
      </c>
      <c r="C133" s="358">
        <v>0</v>
      </c>
      <c r="D133" s="358">
        <v>0</v>
      </c>
      <c r="E133" s="358">
        <v>0</v>
      </c>
    </row>
    <row r="134" spans="2:6" ht="38.25">
      <c r="B134" s="359" t="s">
        <v>474</v>
      </c>
      <c r="C134" s="358">
        <v>0</v>
      </c>
      <c r="D134" s="358">
        <v>0</v>
      </c>
      <c r="E134" s="358">
        <v>0</v>
      </c>
    </row>
    <row r="135" spans="2:6">
      <c r="B135" s="359" t="s">
        <v>473</v>
      </c>
      <c r="C135" s="358">
        <v>0</v>
      </c>
      <c r="D135" s="358">
        <v>0</v>
      </c>
      <c r="E135" s="358">
        <v>0</v>
      </c>
    </row>
    <row r="136" spans="2:6">
      <c r="B136" s="359" t="s">
        <v>472</v>
      </c>
      <c r="C136" s="358">
        <v>0</v>
      </c>
      <c r="D136" s="358">
        <v>0</v>
      </c>
      <c r="E136" s="358">
        <v>0</v>
      </c>
    </row>
    <row r="137" spans="2:6" ht="25.5">
      <c r="B137" s="359" t="s">
        <v>471</v>
      </c>
      <c r="C137" s="358">
        <v>0</v>
      </c>
      <c r="D137" s="358">
        <v>0</v>
      </c>
      <c r="E137" s="358">
        <v>0</v>
      </c>
    </row>
    <row r="138" spans="2:6" ht="38.25">
      <c r="B138" s="359" t="s">
        <v>470</v>
      </c>
      <c r="C138" s="358">
        <v>0</v>
      </c>
      <c r="D138" s="358">
        <v>0</v>
      </c>
      <c r="E138" s="358">
        <v>0</v>
      </c>
    </row>
    <row r="139" spans="2:6" ht="25.5">
      <c r="B139" s="359" t="s">
        <v>469</v>
      </c>
      <c r="C139" s="358">
        <v>9470</v>
      </c>
      <c r="D139" s="358">
        <v>0</v>
      </c>
      <c r="E139" s="358">
        <v>335629</v>
      </c>
      <c r="F139" s="360"/>
    </row>
    <row r="140" spans="2:6" ht="25.5">
      <c r="B140" s="359" t="s">
        <v>468</v>
      </c>
      <c r="C140" s="358">
        <v>9470</v>
      </c>
      <c r="D140" s="358">
        <v>0</v>
      </c>
      <c r="E140" s="358">
        <v>11588</v>
      </c>
    </row>
    <row r="141" spans="2:6" ht="25.5">
      <c r="B141" s="359" t="s">
        <v>467</v>
      </c>
      <c r="C141" s="358">
        <v>0</v>
      </c>
      <c r="D141" s="358">
        <v>0</v>
      </c>
      <c r="E141" s="358">
        <v>324041</v>
      </c>
    </row>
    <row r="142" spans="2:6" ht="25.5">
      <c r="B142" s="359" t="s">
        <v>466</v>
      </c>
      <c r="C142" s="358">
        <v>0</v>
      </c>
      <c r="D142" s="358">
        <v>0</v>
      </c>
      <c r="E142" s="358">
        <v>0</v>
      </c>
    </row>
    <row r="143" spans="2:6" ht="25.5">
      <c r="B143" s="359" t="s">
        <v>465</v>
      </c>
      <c r="C143" s="358">
        <v>0</v>
      </c>
      <c r="D143" s="358">
        <v>0</v>
      </c>
      <c r="E143" s="358">
        <v>0</v>
      </c>
    </row>
    <row r="144" spans="2:6" ht="25.5">
      <c r="B144" s="359" t="s">
        <v>464</v>
      </c>
      <c r="C144" s="358">
        <v>0</v>
      </c>
      <c r="D144" s="358">
        <v>0</v>
      </c>
      <c r="E144" s="358">
        <v>0</v>
      </c>
    </row>
    <row r="145" spans="2:5" ht="25.5">
      <c r="B145" s="359" t="s">
        <v>463</v>
      </c>
      <c r="C145" s="358">
        <v>0</v>
      </c>
      <c r="D145" s="358">
        <v>0</v>
      </c>
      <c r="E145" s="358">
        <v>0</v>
      </c>
    </row>
    <row r="146" spans="2:5" ht="25.5">
      <c r="B146" s="359" t="s">
        <v>462</v>
      </c>
      <c r="C146" s="358">
        <v>0</v>
      </c>
      <c r="D146" s="358">
        <v>0</v>
      </c>
      <c r="E146" s="358">
        <v>0</v>
      </c>
    </row>
    <row r="147" spans="2:5" ht="25.5">
      <c r="B147" s="359" t="s">
        <v>461</v>
      </c>
      <c r="C147" s="358">
        <v>0</v>
      </c>
      <c r="D147" s="358">
        <v>0</v>
      </c>
      <c r="E147" s="358">
        <v>0</v>
      </c>
    </row>
    <row r="148" spans="2:5" ht="25.5">
      <c r="B148" s="357" t="s">
        <v>460</v>
      </c>
      <c r="C148" s="356">
        <v>12854</v>
      </c>
      <c r="D148" s="356">
        <v>0</v>
      </c>
      <c r="E148" s="356">
        <f>E139+E131</f>
        <v>337470</v>
      </c>
    </row>
    <row r="149" spans="2:5">
      <c r="B149" s="359" t="s">
        <v>459</v>
      </c>
      <c r="C149" s="358">
        <v>0</v>
      </c>
      <c r="D149" s="358">
        <v>0</v>
      </c>
      <c r="E149" s="358">
        <v>10908</v>
      </c>
    </row>
    <row r="150" spans="2:5">
      <c r="B150" s="359" t="s">
        <v>458</v>
      </c>
      <c r="C150" s="358">
        <v>0</v>
      </c>
      <c r="D150" s="358">
        <v>0</v>
      </c>
      <c r="E150" s="358">
        <v>0</v>
      </c>
    </row>
    <row r="151" spans="2:5">
      <c r="B151" s="359" t="s">
        <v>457</v>
      </c>
      <c r="C151" s="358">
        <v>572</v>
      </c>
      <c r="D151" s="358">
        <v>0</v>
      </c>
      <c r="E151" s="358">
        <v>422</v>
      </c>
    </row>
    <row r="152" spans="2:5">
      <c r="B152" s="359" t="s">
        <v>456</v>
      </c>
      <c r="C152" s="358">
        <v>0</v>
      </c>
      <c r="D152" s="358">
        <v>0</v>
      </c>
      <c r="E152" s="358">
        <v>0</v>
      </c>
    </row>
    <row r="153" spans="2:5" ht="25.5">
      <c r="B153" s="359" t="s">
        <v>455</v>
      </c>
      <c r="C153" s="358">
        <v>0</v>
      </c>
      <c r="D153" s="358">
        <v>0</v>
      </c>
      <c r="E153" s="358">
        <v>0</v>
      </c>
    </row>
    <row r="154" spans="2:5" ht="25.5">
      <c r="B154" s="359" t="s">
        <v>454</v>
      </c>
      <c r="C154" s="358">
        <v>0</v>
      </c>
      <c r="D154" s="358">
        <v>0</v>
      </c>
      <c r="E154" s="358">
        <v>0</v>
      </c>
    </row>
    <row r="155" spans="2:5" ht="25.5">
      <c r="B155" s="359" t="s">
        <v>453</v>
      </c>
      <c r="C155" s="358">
        <v>0</v>
      </c>
      <c r="D155" s="358">
        <v>0</v>
      </c>
      <c r="E155" s="358">
        <v>0</v>
      </c>
    </row>
    <row r="156" spans="2:5" ht="25.5">
      <c r="B156" s="359" t="s">
        <v>452</v>
      </c>
      <c r="C156" s="358"/>
      <c r="D156" s="358"/>
      <c r="E156" s="358">
        <v>28049</v>
      </c>
    </row>
    <row r="157" spans="2:5" ht="25.5">
      <c r="B157" s="357" t="s">
        <v>451</v>
      </c>
      <c r="C157" s="356">
        <v>572</v>
      </c>
      <c r="D157" s="356">
        <v>0</v>
      </c>
      <c r="E157" s="356">
        <f>E149+E151+E156</f>
        <v>39379</v>
      </c>
    </row>
    <row r="158" spans="2:5">
      <c r="B158" s="357" t="s">
        <v>450</v>
      </c>
      <c r="C158" s="356">
        <v>81140</v>
      </c>
      <c r="D158" s="356">
        <v>0</v>
      </c>
      <c r="E158" s="356">
        <f>E128+E148+E157</f>
        <v>377832</v>
      </c>
    </row>
    <row r="159" spans="2:5">
      <c r="B159" s="357" t="s">
        <v>449</v>
      </c>
      <c r="C159" s="356">
        <v>0</v>
      </c>
      <c r="D159" s="356">
        <v>0</v>
      </c>
      <c r="E159" s="356">
        <v>0</v>
      </c>
    </row>
    <row r="160" spans="2:5">
      <c r="B160" s="357" t="s">
        <v>448</v>
      </c>
      <c r="C160" s="356">
        <v>0</v>
      </c>
      <c r="D160" s="356">
        <v>0</v>
      </c>
      <c r="E160" s="356">
        <v>0</v>
      </c>
    </row>
    <row r="161" spans="2:5">
      <c r="B161" s="359" t="s">
        <v>447</v>
      </c>
      <c r="C161" s="358">
        <v>0</v>
      </c>
      <c r="D161" s="358">
        <v>0</v>
      </c>
      <c r="E161" s="358">
        <v>0</v>
      </c>
    </row>
    <row r="162" spans="2:5">
      <c r="B162" s="359" t="s">
        <v>446</v>
      </c>
      <c r="C162" s="358">
        <v>29732</v>
      </c>
      <c r="D162" s="358">
        <v>0</v>
      </c>
      <c r="E162" s="358">
        <v>28252</v>
      </c>
    </row>
    <row r="163" spans="2:5">
      <c r="B163" s="359" t="s">
        <v>445</v>
      </c>
      <c r="C163" s="358">
        <v>0</v>
      </c>
      <c r="D163" s="358">
        <v>0</v>
      </c>
      <c r="E163" s="358">
        <v>0</v>
      </c>
    </row>
    <row r="164" spans="2:5">
      <c r="B164" s="357" t="s">
        <v>444</v>
      </c>
      <c r="C164" s="356">
        <v>29372</v>
      </c>
      <c r="D164" s="356">
        <v>0</v>
      </c>
      <c r="E164" s="356">
        <f>SUM(E162:E163)</f>
        <v>28252</v>
      </c>
    </row>
    <row r="165" spans="2:5">
      <c r="B165" s="357" t="s">
        <v>443</v>
      </c>
      <c r="C165" s="356">
        <v>3610322</v>
      </c>
      <c r="D165" s="356">
        <f>D107</f>
        <v>0</v>
      </c>
      <c r="E165" s="356">
        <f>E108+E158+E164</f>
        <v>4780545</v>
      </c>
    </row>
  </sheetData>
  <mergeCells count="2">
    <mergeCell ref="B4:E4"/>
    <mergeCell ref="B5:E5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8"/>
  <sheetViews>
    <sheetView workbookViewId="0">
      <pane ySplit="7" topLeftCell="A44" activePane="bottomLeft" state="frozen"/>
      <selection activeCell="B30" sqref="B30"/>
      <selection pane="bottomLeft" activeCell="G25" sqref="G25"/>
    </sheetView>
  </sheetViews>
  <sheetFormatPr defaultColWidth="8.85546875" defaultRowHeight="12.75"/>
  <cols>
    <col min="1" max="1" width="8.85546875" style="355"/>
    <col min="2" max="2" width="75.5703125" style="355" customWidth="1"/>
    <col min="3" max="3" width="12.28515625" style="355" customWidth="1"/>
    <col min="4" max="4" width="13.42578125" style="355" customWidth="1"/>
    <col min="5" max="5" width="11.140625" style="355" customWidth="1"/>
    <col min="6" max="16384" width="8.85546875" style="355"/>
  </cols>
  <sheetData>
    <row r="1" spans="2:5">
      <c r="E1" s="365" t="s">
        <v>647</v>
      </c>
    </row>
    <row r="4" spans="2:5">
      <c r="B4" s="663" t="s">
        <v>915</v>
      </c>
      <c r="C4" s="663"/>
      <c r="D4" s="663"/>
      <c r="E4" s="663"/>
    </row>
    <row r="5" spans="2:5">
      <c r="B5" s="663" t="s">
        <v>604</v>
      </c>
      <c r="C5" s="663"/>
      <c r="D5" s="663"/>
      <c r="E5" s="663"/>
    </row>
    <row r="6" spans="2:5">
      <c r="B6" s="368"/>
      <c r="C6" s="368"/>
      <c r="D6" s="368"/>
      <c r="E6" s="368"/>
    </row>
    <row r="7" spans="2:5" ht="31.5">
      <c r="B7" s="364" t="s">
        <v>603</v>
      </c>
      <c r="C7" s="364" t="s">
        <v>602</v>
      </c>
      <c r="D7" s="364" t="s">
        <v>601</v>
      </c>
      <c r="E7" s="364" t="s">
        <v>600</v>
      </c>
    </row>
    <row r="8" spans="2:5" ht="17.100000000000001" customHeight="1">
      <c r="B8" s="367" t="s">
        <v>646</v>
      </c>
      <c r="C8" s="366">
        <v>149636</v>
      </c>
      <c r="D8" s="366">
        <v>0</v>
      </c>
      <c r="E8" s="366">
        <v>109804</v>
      </c>
    </row>
    <row r="9" spans="2:5" ht="17.100000000000001" customHeight="1">
      <c r="B9" s="359" t="s">
        <v>645</v>
      </c>
      <c r="C9" s="358">
        <v>27957</v>
      </c>
      <c r="D9" s="358">
        <v>0</v>
      </c>
      <c r="E9" s="358">
        <v>32389</v>
      </c>
    </row>
    <row r="10" spans="2:5" ht="17.100000000000001" customHeight="1">
      <c r="B10" s="359" t="s">
        <v>644</v>
      </c>
      <c r="C10" s="358">
        <v>25058</v>
      </c>
      <c r="D10" s="358">
        <v>0</v>
      </c>
      <c r="E10" s="358">
        <v>16629</v>
      </c>
    </row>
    <row r="11" spans="2:5" ht="17.100000000000001" customHeight="1">
      <c r="B11" s="357" t="s">
        <v>643</v>
      </c>
      <c r="C11" s="356">
        <f>SUM(C8:C10)</f>
        <v>202651</v>
      </c>
      <c r="D11" s="356">
        <v>0</v>
      </c>
      <c r="E11" s="356">
        <f>SUM(E8:E10)</f>
        <v>158822</v>
      </c>
    </row>
    <row r="12" spans="2:5" ht="17.100000000000001" customHeight="1">
      <c r="B12" s="359" t="s">
        <v>642</v>
      </c>
      <c r="C12" s="358">
        <v>0</v>
      </c>
      <c r="D12" s="358">
        <v>0</v>
      </c>
      <c r="E12" s="358">
        <v>0</v>
      </c>
    </row>
    <row r="13" spans="2:5" ht="17.100000000000001" customHeight="1">
      <c r="B13" s="359" t="s">
        <v>641</v>
      </c>
      <c r="C13" s="358">
        <v>0</v>
      </c>
      <c r="D13" s="358">
        <v>0</v>
      </c>
      <c r="E13" s="358">
        <v>0</v>
      </c>
    </row>
    <row r="14" spans="2:5" ht="17.100000000000001" customHeight="1">
      <c r="B14" s="357" t="s">
        <v>640</v>
      </c>
      <c r="C14" s="356">
        <v>0</v>
      </c>
      <c r="D14" s="356">
        <v>0</v>
      </c>
      <c r="E14" s="356">
        <v>0</v>
      </c>
    </row>
    <row r="15" spans="2:5" ht="17.100000000000001" customHeight="1">
      <c r="B15" s="359" t="s">
        <v>639</v>
      </c>
      <c r="C15" s="358">
        <v>716334</v>
      </c>
      <c r="D15" s="358">
        <v>0</v>
      </c>
      <c r="E15" s="358">
        <v>682020</v>
      </c>
    </row>
    <row r="16" spans="2:5" ht="17.100000000000001" customHeight="1">
      <c r="B16" s="359" t="s">
        <v>638</v>
      </c>
      <c r="C16" s="358">
        <v>103049</v>
      </c>
      <c r="D16" s="358">
        <v>0</v>
      </c>
      <c r="E16" s="358">
        <v>117690</v>
      </c>
    </row>
    <row r="17" spans="2:6" ht="17.100000000000001" customHeight="1">
      <c r="B17" s="359" t="s">
        <v>637</v>
      </c>
      <c r="C17" s="358">
        <v>930</v>
      </c>
      <c r="D17" s="358">
        <v>0</v>
      </c>
      <c r="E17" s="358">
        <v>20310</v>
      </c>
    </row>
    <row r="18" spans="2:6" ht="17.100000000000001" customHeight="1">
      <c r="B18" s="357" t="s">
        <v>636</v>
      </c>
      <c r="C18" s="356">
        <f>SUM(C12:C17)</f>
        <v>820313</v>
      </c>
      <c r="D18" s="356">
        <v>0</v>
      </c>
      <c r="E18" s="356">
        <f>SUM(E15:E17)</f>
        <v>820020</v>
      </c>
    </row>
    <row r="19" spans="2:6" ht="17.100000000000001" customHeight="1">
      <c r="B19" s="359" t="s">
        <v>635</v>
      </c>
      <c r="C19" s="358">
        <v>14619</v>
      </c>
      <c r="D19" s="358">
        <v>0</v>
      </c>
      <c r="E19" s="358">
        <v>13280</v>
      </c>
    </row>
    <row r="20" spans="2:6" ht="17.100000000000001" customHeight="1">
      <c r="B20" s="359" t="s">
        <v>634</v>
      </c>
      <c r="C20" s="358">
        <v>131962</v>
      </c>
      <c r="D20" s="358">
        <v>0</v>
      </c>
      <c r="E20" s="358">
        <v>117680</v>
      </c>
    </row>
    <row r="21" spans="2:6" ht="17.100000000000001" customHeight="1">
      <c r="B21" s="359" t="s">
        <v>633</v>
      </c>
      <c r="C21" s="358">
        <v>0</v>
      </c>
      <c r="D21" s="358">
        <v>0</v>
      </c>
      <c r="E21" s="358">
        <v>0</v>
      </c>
    </row>
    <row r="22" spans="2:6" ht="17.100000000000001" customHeight="1">
      <c r="B22" s="359" t="s">
        <v>632</v>
      </c>
      <c r="C22" s="358">
        <v>0</v>
      </c>
      <c r="D22" s="358">
        <v>0</v>
      </c>
      <c r="E22" s="358">
        <v>5006</v>
      </c>
    </row>
    <row r="23" spans="2:6" ht="17.100000000000001" customHeight="1">
      <c r="B23" s="357" t="s">
        <v>631</v>
      </c>
      <c r="C23" s="356">
        <f>SUM(C19:C22)</f>
        <v>146581</v>
      </c>
      <c r="D23" s="356">
        <v>0</v>
      </c>
      <c r="E23" s="356">
        <f>SUM(E19:E22)</f>
        <v>135966</v>
      </c>
    </row>
    <row r="24" spans="2:6" ht="17.100000000000001" customHeight="1">
      <c r="B24" s="359" t="s">
        <v>630</v>
      </c>
      <c r="C24" s="358">
        <v>272203</v>
      </c>
      <c r="D24" s="358">
        <v>0</v>
      </c>
      <c r="E24" s="358">
        <v>267209</v>
      </c>
    </row>
    <row r="25" spans="2:6" ht="17.100000000000001" customHeight="1">
      <c r="B25" s="359" t="s">
        <v>629</v>
      </c>
      <c r="C25" s="358">
        <v>38844</v>
      </c>
      <c r="D25" s="358">
        <v>0</v>
      </c>
      <c r="E25" s="358">
        <v>33784</v>
      </c>
    </row>
    <row r="26" spans="2:6" ht="17.100000000000001" customHeight="1">
      <c r="B26" s="359" t="s">
        <v>628</v>
      </c>
      <c r="C26" s="358">
        <v>75217</v>
      </c>
      <c r="D26" s="358">
        <v>0</v>
      </c>
      <c r="E26" s="358">
        <v>72175</v>
      </c>
    </row>
    <row r="27" spans="2:6" ht="17.100000000000001" customHeight="1">
      <c r="B27" s="357" t="s">
        <v>627</v>
      </c>
      <c r="C27" s="356">
        <v>386264</v>
      </c>
      <c r="D27" s="356">
        <v>0</v>
      </c>
      <c r="E27" s="356">
        <f>SUM(E24:E26)</f>
        <v>373168</v>
      </c>
    </row>
    <row r="28" spans="2:6" ht="17.100000000000001" customHeight="1">
      <c r="B28" s="357" t="s">
        <v>626</v>
      </c>
      <c r="C28" s="356">
        <v>37811</v>
      </c>
      <c r="D28" s="356">
        <v>0</v>
      </c>
      <c r="E28" s="356">
        <v>125850</v>
      </c>
    </row>
    <row r="29" spans="2:6" ht="17.100000000000001" customHeight="1">
      <c r="B29" s="357" t="s">
        <v>625</v>
      </c>
      <c r="C29" s="356">
        <v>522268</v>
      </c>
      <c r="D29" s="356">
        <v>0</v>
      </c>
      <c r="E29" s="356">
        <v>789523</v>
      </c>
      <c r="F29" s="360"/>
    </row>
    <row r="30" spans="2:6" ht="17.100000000000001" customHeight="1">
      <c r="B30" s="357" t="s">
        <v>624</v>
      </c>
      <c r="C30" s="356">
        <f>C11+C14+C18-C23-C27-C28-C29</f>
        <v>-69960</v>
      </c>
      <c r="D30" s="356">
        <v>0</v>
      </c>
      <c r="E30" s="356">
        <f>E11+E14+E18-E23-E27-E28-E29</f>
        <v>-445665</v>
      </c>
    </row>
    <row r="31" spans="2:6" ht="17.100000000000001" customHeight="1">
      <c r="B31" s="359" t="s">
        <v>623</v>
      </c>
      <c r="C31" s="358">
        <v>0</v>
      </c>
      <c r="D31" s="358">
        <v>0</v>
      </c>
      <c r="E31" s="358">
        <v>0</v>
      </c>
    </row>
    <row r="32" spans="2:6" ht="17.100000000000001" customHeight="1">
      <c r="B32" s="359" t="s">
        <v>622</v>
      </c>
      <c r="C32" s="358">
        <v>13</v>
      </c>
      <c r="D32" s="358">
        <v>0</v>
      </c>
      <c r="E32" s="358">
        <v>4</v>
      </c>
    </row>
    <row r="33" spans="2:6" ht="17.100000000000001" customHeight="1">
      <c r="B33" s="359" t="s">
        <v>621</v>
      </c>
      <c r="C33" s="358">
        <v>0</v>
      </c>
      <c r="D33" s="358">
        <v>0</v>
      </c>
      <c r="E33" s="358">
        <v>0</v>
      </c>
    </row>
    <row r="34" spans="2:6" ht="17.100000000000001" customHeight="1">
      <c r="B34" s="359" t="s">
        <v>620</v>
      </c>
      <c r="C34" s="358">
        <v>0</v>
      </c>
      <c r="D34" s="358">
        <v>0</v>
      </c>
      <c r="E34" s="358">
        <v>0</v>
      </c>
    </row>
    <row r="35" spans="2:6" ht="24.75" customHeight="1">
      <c r="B35" s="357" t="s">
        <v>619</v>
      </c>
      <c r="C35" s="356">
        <v>13</v>
      </c>
      <c r="D35" s="356">
        <v>0</v>
      </c>
      <c r="E35" s="356">
        <f>SUM(E31:E34)</f>
        <v>4</v>
      </c>
    </row>
    <row r="36" spans="2:6" ht="17.100000000000001" customHeight="1">
      <c r="B36" s="359" t="s">
        <v>618</v>
      </c>
      <c r="C36" s="358">
        <v>690</v>
      </c>
      <c r="D36" s="358">
        <v>0</v>
      </c>
      <c r="E36" s="358">
        <v>4529</v>
      </c>
    </row>
    <row r="37" spans="2:6" ht="17.100000000000001" customHeight="1">
      <c r="B37" s="359" t="s">
        <v>617</v>
      </c>
      <c r="C37" s="358">
        <v>0</v>
      </c>
      <c r="D37" s="358">
        <v>0</v>
      </c>
      <c r="E37" s="358">
        <v>0</v>
      </c>
    </row>
    <row r="38" spans="2:6" ht="17.100000000000001" customHeight="1">
      <c r="B38" s="359" t="s">
        <v>616</v>
      </c>
      <c r="C38" s="358">
        <v>0</v>
      </c>
      <c r="D38" s="358">
        <v>0</v>
      </c>
      <c r="E38" s="358">
        <v>0</v>
      </c>
    </row>
    <row r="39" spans="2:6" ht="17.100000000000001" customHeight="1">
      <c r="B39" s="359" t="s">
        <v>615</v>
      </c>
      <c r="C39" s="358">
        <v>0</v>
      </c>
      <c r="D39" s="358">
        <v>0</v>
      </c>
      <c r="E39" s="358">
        <v>0</v>
      </c>
    </row>
    <row r="40" spans="2:6" ht="17.100000000000001" customHeight="1">
      <c r="B40" s="357" t="s">
        <v>614</v>
      </c>
      <c r="C40" s="356">
        <v>690</v>
      </c>
      <c r="D40" s="356">
        <v>0</v>
      </c>
      <c r="E40" s="356">
        <f>SUM(E36:E39)</f>
        <v>4529</v>
      </c>
    </row>
    <row r="41" spans="2:6" ht="17.100000000000001" customHeight="1">
      <c r="B41" s="357" t="s">
        <v>613</v>
      </c>
      <c r="C41" s="356">
        <f>C35-C40</f>
        <v>-677</v>
      </c>
      <c r="D41" s="356">
        <v>0</v>
      </c>
      <c r="E41" s="356">
        <f>E35-E40</f>
        <v>-4525</v>
      </c>
    </row>
    <row r="42" spans="2:6" ht="17.100000000000001" customHeight="1">
      <c r="B42" s="357" t="s">
        <v>612</v>
      </c>
      <c r="C42" s="356">
        <v>-70637</v>
      </c>
      <c r="D42" s="356">
        <v>0</v>
      </c>
      <c r="E42" s="356">
        <f>E30+E41</f>
        <v>-450190</v>
      </c>
    </row>
    <row r="43" spans="2:6" ht="17.100000000000001" customHeight="1">
      <c r="B43" s="359" t="s">
        <v>611</v>
      </c>
      <c r="C43" s="358">
        <v>458246</v>
      </c>
      <c r="D43" s="358">
        <v>0</v>
      </c>
      <c r="E43" s="358">
        <v>1213745</v>
      </c>
    </row>
    <row r="44" spans="2:6" ht="17.100000000000001" customHeight="1">
      <c r="B44" s="359" t="s">
        <v>610</v>
      </c>
      <c r="C44" s="358">
        <v>127196</v>
      </c>
      <c r="D44" s="358">
        <v>0</v>
      </c>
      <c r="E44" s="358">
        <v>170239</v>
      </c>
    </row>
    <row r="45" spans="2:6" ht="17.100000000000001" customHeight="1">
      <c r="B45" s="357" t="s">
        <v>609</v>
      </c>
      <c r="C45" s="356">
        <f>SUM(C43:C44)</f>
        <v>585442</v>
      </c>
      <c r="D45" s="356">
        <v>0</v>
      </c>
      <c r="E45" s="356">
        <f>SUM(E43:E44)</f>
        <v>1383984</v>
      </c>
      <c r="F45" s="360"/>
    </row>
    <row r="46" spans="2:6" ht="17.100000000000001" customHeight="1">
      <c r="B46" s="357" t="s">
        <v>608</v>
      </c>
      <c r="C46" s="356">
        <v>500</v>
      </c>
      <c r="D46" s="356">
        <v>0</v>
      </c>
      <c r="E46" s="356">
        <v>58784</v>
      </c>
    </row>
    <row r="47" spans="2:6" ht="17.100000000000001" customHeight="1">
      <c r="B47" s="357" t="s">
        <v>607</v>
      </c>
      <c r="C47" s="356">
        <f>C45-C46</f>
        <v>584942</v>
      </c>
      <c r="D47" s="356">
        <v>0</v>
      </c>
      <c r="E47" s="356">
        <f>E45-E46</f>
        <v>1325200</v>
      </c>
    </row>
    <row r="48" spans="2:6" ht="17.100000000000001" customHeight="1">
      <c r="B48" s="357" t="s">
        <v>606</v>
      </c>
      <c r="C48" s="356">
        <v>514305</v>
      </c>
      <c r="D48" s="356">
        <v>0</v>
      </c>
      <c r="E48" s="356">
        <f>E42+E47</f>
        <v>875010</v>
      </c>
    </row>
  </sheetData>
  <mergeCells count="2">
    <mergeCell ref="B5:E5"/>
    <mergeCell ref="B4:E4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S28"/>
  <sheetViews>
    <sheetView workbookViewId="0">
      <pane ySplit="9" topLeftCell="A10" activePane="bottomLeft" state="frozen"/>
      <selection pane="bottomLeft" activeCell="AB15" sqref="AB15"/>
    </sheetView>
  </sheetViews>
  <sheetFormatPr defaultColWidth="8.85546875" defaultRowHeight="12.75"/>
  <cols>
    <col min="1" max="1" width="71.140625" style="355" customWidth="1"/>
    <col min="2" max="2" width="18.140625" style="355" customWidth="1"/>
    <col min="3" max="25" width="0" style="355" hidden="1" customWidth="1"/>
    <col min="26" max="16384" width="8.85546875" style="355"/>
  </cols>
  <sheetData>
    <row r="1" spans="1:45">
      <c r="B1" s="365" t="s">
        <v>668</v>
      </c>
    </row>
    <row r="4" spans="1:45">
      <c r="A4" s="663" t="s">
        <v>916</v>
      </c>
      <c r="B4" s="663"/>
      <c r="C4" s="663"/>
      <c r="D4" s="663"/>
    </row>
    <row r="5" spans="1:45">
      <c r="A5" s="663" t="s">
        <v>604</v>
      </c>
      <c r="B5" s="663"/>
      <c r="C5" s="663"/>
      <c r="D5" s="663"/>
    </row>
    <row r="7" spans="1:45" ht="17.100000000000001" customHeight="1">
      <c r="A7" s="664"/>
      <c r="B7" s="664"/>
    </row>
    <row r="8" spans="1:45" ht="17.100000000000001" customHeight="1">
      <c r="A8" s="370"/>
      <c r="B8" s="370"/>
    </row>
    <row r="9" spans="1:45" ht="17.100000000000001" customHeight="1">
      <c r="A9" s="364" t="s">
        <v>603</v>
      </c>
      <c r="B9" s="364" t="s">
        <v>667</v>
      </c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S9" s="369"/>
    </row>
    <row r="10" spans="1:45" ht="17.100000000000001" customHeight="1">
      <c r="A10" s="359" t="s">
        <v>666</v>
      </c>
      <c r="B10" s="358">
        <v>2012422</v>
      </c>
    </row>
    <row r="11" spans="1:45" ht="17.100000000000001" customHeight="1">
      <c r="A11" s="359" t="s">
        <v>665</v>
      </c>
      <c r="B11" s="358">
        <v>2340164</v>
      </c>
    </row>
    <row r="12" spans="1:45" ht="17.100000000000001" customHeight="1">
      <c r="A12" s="357" t="s">
        <v>664</v>
      </c>
      <c r="B12" s="356">
        <f>B10-B11</f>
        <v>-327742</v>
      </c>
    </row>
    <row r="13" spans="1:45" ht="17.100000000000001" customHeight="1">
      <c r="A13" s="359" t="s">
        <v>663</v>
      </c>
      <c r="B13" s="358">
        <v>916687</v>
      </c>
    </row>
    <row r="14" spans="1:45" ht="17.100000000000001" customHeight="1">
      <c r="A14" s="359" t="s">
        <v>662</v>
      </c>
      <c r="B14" s="358">
        <v>533284</v>
      </c>
    </row>
    <row r="15" spans="1:45" ht="17.100000000000001" customHeight="1">
      <c r="A15" s="357" t="s">
        <v>661</v>
      </c>
      <c r="B15" s="356">
        <f>B13-B14</f>
        <v>383403</v>
      </c>
    </row>
    <row r="16" spans="1:45" ht="17.100000000000001" customHeight="1">
      <c r="A16" s="357" t="s">
        <v>660</v>
      </c>
      <c r="B16" s="356">
        <f>B15+B12</f>
        <v>55661</v>
      </c>
    </row>
    <row r="17" spans="1:2" ht="17.100000000000001" customHeight="1">
      <c r="A17" s="359" t="s">
        <v>659</v>
      </c>
      <c r="B17" s="358">
        <v>0</v>
      </c>
    </row>
    <row r="18" spans="1:2" ht="17.100000000000001" customHeight="1">
      <c r="A18" s="359" t="s">
        <v>658</v>
      </c>
      <c r="B18" s="358">
        <v>0</v>
      </c>
    </row>
    <row r="19" spans="1:2" ht="17.100000000000001" customHeight="1">
      <c r="A19" s="357" t="s">
        <v>657</v>
      </c>
      <c r="B19" s="356">
        <v>0</v>
      </c>
    </row>
    <row r="20" spans="1:2" ht="17.100000000000001" customHeight="1">
      <c r="A20" s="359" t="s">
        <v>656</v>
      </c>
      <c r="B20" s="358">
        <v>0</v>
      </c>
    </row>
    <row r="21" spans="1:2" ht="17.100000000000001" customHeight="1">
      <c r="A21" s="359" t="s">
        <v>655</v>
      </c>
      <c r="B21" s="358">
        <v>0</v>
      </c>
    </row>
    <row r="22" spans="1:2" ht="17.100000000000001" customHeight="1">
      <c r="A22" s="357" t="s">
        <v>654</v>
      </c>
      <c r="B22" s="356">
        <v>0</v>
      </c>
    </row>
    <row r="23" spans="1:2" ht="17.100000000000001" customHeight="1">
      <c r="A23" s="357" t="s">
        <v>653</v>
      </c>
      <c r="B23" s="356">
        <v>0</v>
      </c>
    </row>
    <row r="24" spans="1:2" ht="17.100000000000001" customHeight="1">
      <c r="A24" s="357" t="s">
        <v>652</v>
      </c>
      <c r="B24" s="356">
        <f>B16</f>
        <v>55661</v>
      </c>
    </row>
    <row r="25" spans="1:2" ht="17.100000000000001" customHeight="1">
      <c r="A25" s="357" t="s">
        <v>651</v>
      </c>
      <c r="B25" s="356">
        <v>0</v>
      </c>
    </row>
    <row r="26" spans="1:2" ht="17.100000000000001" customHeight="1">
      <c r="A26" s="357" t="s">
        <v>650</v>
      </c>
      <c r="B26" s="356">
        <f>B24-B25</f>
        <v>55661</v>
      </c>
    </row>
    <row r="27" spans="1:2" ht="17.100000000000001" customHeight="1">
      <c r="A27" s="357" t="s">
        <v>649</v>
      </c>
      <c r="B27" s="356">
        <v>0</v>
      </c>
    </row>
    <row r="28" spans="1:2" ht="17.100000000000001" customHeight="1">
      <c r="A28" s="357" t="s">
        <v>648</v>
      </c>
      <c r="B28" s="356">
        <v>0</v>
      </c>
    </row>
  </sheetData>
  <mergeCells count="3">
    <mergeCell ref="A7:B7"/>
    <mergeCell ref="A4:D4"/>
    <mergeCell ref="A5:D5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15" sqref="B15"/>
    </sheetView>
  </sheetViews>
  <sheetFormatPr defaultRowHeight="12.75"/>
  <cols>
    <col min="1" max="1" width="60.28515625" customWidth="1"/>
    <col min="2" max="2" width="26.28515625" customWidth="1"/>
    <col min="7" max="7" width="11.7109375" bestFit="1" customWidth="1"/>
  </cols>
  <sheetData>
    <row r="1" spans="1:3" ht="15">
      <c r="A1" s="346" t="s">
        <v>118</v>
      </c>
      <c r="B1" s="376" t="s">
        <v>676</v>
      </c>
      <c r="C1" s="375"/>
    </row>
    <row r="4" spans="1:3">
      <c r="A4" s="632" t="s">
        <v>670</v>
      </c>
      <c r="B4" s="632"/>
      <c r="C4" s="346"/>
    </row>
    <row r="7" spans="1:3">
      <c r="B7" s="372" t="s">
        <v>671</v>
      </c>
    </row>
    <row r="8" spans="1:3" ht="27.6" customHeight="1">
      <c r="A8" s="601" t="s">
        <v>672</v>
      </c>
      <c r="B8" s="602">
        <v>40193445</v>
      </c>
    </row>
    <row r="9" spans="1:3" ht="42.6" customHeight="1">
      <c r="A9" s="378" t="s">
        <v>680</v>
      </c>
      <c r="B9" s="373">
        <f>bevételek!D141</f>
        <v>2560759410.4499998</v>
      </c>
    </row>
    <row r="10" spans="1:3" ht="30" customHeight="1">
      <c r="A10" s="378" t="s">
        <v>677</v>
      </c>
      <c r="B10" s="373">
        <f>-kiadások!D109+kiadások!D102</f>
        <v>-2505097968</v>
      </c>
    </row>
    <row r="11" spans="1:3" ht="28.9" customHeight="1">
      <c r="A11" s="378" t="s">
        <v>673</v>
      </c>
      <c r="B11" s="373">
        <f>B9+B10</f>
        <v>55661442.449999809</v>
      </c>
    </row>
    <row r="12" spans="1:3" ht="29.45" customHeight="1">
      <c r="A12" s="379" t="s">
        <v>678</v>
      </c>
      <c r="B12" s="373">
        <v>-57244364</v>
      </c>
      <c r="C12" s="374"/>
    </row>
    <row r="13" spans="1:3" ht="29.45" customHeight="1">
      <c r="A13" s="378" t="s">
        <v>674</v>
      </c>
      <c r="B13" s="373">
        <v>-6111696</v>
      </c>
    </row>
    <row r="14" spans="1:3" ht="29.45" customHeight="1">
      <c r="A14" s="377" t="s">
        <v>675</v>
      </c>
      <c r="B14" s="373">
        <v>10907319</v>
      </c>
    </row>
    <row r="15" spans="1:3" ht="30" customHeight="1">
      <c r="A15" s="601" t="s">
        <v>679</v>
      </c>
      <c r="B15" s="603">
        <f>B8+B11+B12+B13+B14</f>
        <v>43406146.449999809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bevételek</vt:lpstr>
      <vt:lpstr>kiadások</vt:lpstr>
      <vt:lpstr>3_melléklet</vt:lpstr>
      <vt:lpstr>4_ melléklet</vt:lpstr>
      <vt:lpstr>5_melléklet</vt:lpstr>
      <vt:lpstr>6_melléklet</vt:lpstr>
      <vt:lpstr>7_melléklet</vt:lpstr>
      <vt:lpstr>8_melléklet</vt:lpstr>
      <vt:lpstr>9_melléklet</vt:lpstr>
      <vt:lpstr>10_melléklet</vt:lpstr>
      <vt:lpstr>11_melléklet</vt:lpstr>
      <vt:lpstr>12_melléklet </vt:lpstr>
      <vt:lpstr>13_melléklet</vt:lpstr>
      <vt:lpstr>14_melléklet</vt:lpstr>
      <vt:lpstr>15_melléklet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</dc:creator>
  <cp:lastModifiedBy>Fujitsu siemens</cp:lastModifiedBy>
  <cp:lastPrinted>2016-04-20T14:10:05Z</cp:lastPrinted>
  <dcterms:created xsi:type="dcterms:W3CDTF">2010-01-06T13:04:50Z</dcterms:created>
  <dcterms:modified xsi:type="dcterms:W3CDTF">2016-05-31T16:12:44Z</dcterms:modified>
</cp:coreProperties>
</file>