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EA -\"/>
    </mc:Choice>
  </mc:AlternateContent>
  <xr:revisionPtr revIDLastSave="0" documentId="8_{1EFB7F70-705C-4B77-9C1F-2A225F10BBD5}" xr6:coauthVersionLast="43" xr6:coauthVersionMax="43" xr10:uidLastSave="{00000000-0000-0000-0000-000000000000}"/>
  <bookViews>
    <workbookView xWindow="-120" yWindow="-120" windowWidth="29040" windowHeight="15840" firstSheet="7" activeTab="20" xr2:uid="{00000000-000D-0000-FFFF-FFFF00000000}"/>
  </bookViews>
  <sheets>
    <sheet name="1.sz.m." sheetId="1" r:id="rId1"/>
    <sheet name="2. sz. m. (mód)" sheetId="16" r:id="rId2"/>
    <sheet name="2a" sheetId="19" r:id="rId3"/>
    <sheet name="2b" sheetId="13" r:id="rId4"/>
    <sheet name="2c" sheetId="15" r:id="rId5"/>
    <sheet name="3. sz. m. (mód) " sheetId="17" r:id="rId6"/>
    <sheet name="4 sz. m.(mód) " sheetId="10" r:id="rId7"/>
    <sheet name="4a" sheetId="18" r:id="rId8"/>
    <sheet name="4.b." sheetId="6" r:id="rId9"/>
    <sheet name="4c." sheetId="24" r:id="rId10"/>
    <sheet name="4d." sheetId="25" r:id="rId11"/>
    <sheet name="5.sz.m.(mód)" sheetId="9" r:id="rId12"/>
    <sheet name="6.sz.m" sheetId="4" r:id="rId13"/>
    <sheet name="7.sz.m." sheetId="23" r:id="rId14"/>
    <sheet name="8.sz.m" sheetId="27" r:id="rId15"/>
    <sheet name="9.sz.m" sheetId="28" r:id="rId16"/>
    <sheet name="10. sz. m." sheetId="26" r:id="rId17"/>
    <sheet name="11.sz.m." sheetId="29" r:id="rId18"/>
    <sheet name="12.sz.m." sheetId="30" r:id="rId19"/>
    <sheet name="13.sz.m." sheetId="31" r:id="rId20"/>
    <sheet name="14.sz.m." sheetId="32" r:id="rId21"/>
  </sheets>
  <definedNames>
    <definedName name="_xlnm.Print_Titles" localSheetId="1">'2. sz. m. (mód)'!$1:$4</definedName>
    <definedName name="_xlnm.Print_Titles" localSheetId="5">'3. sz. m. (mód) '!$1:$5</definedName>
    <definedName name="_xlnm.Print_Titles" localSheetId="6">'4 sz. m.(mód) '!$1:$4</definedName>
    <definedName name="_xlnm.Print_Titles" localSheetId="8">'4.b.'!$1:$5</definedName>
    <definedName name="_xlnm.Print_Area" localSheetId="0">'1.sz.m.'!$A$1:$D$54</definedName>
    <definedName name="_xlnm.Print_Area" localSheetId="2">'2a'!$A$1:$I$30</definedName>
    <definedName name="_xlnm.Print_Area" localSheetId="5">'3. sz. m. (mód) '!$A$1:$H$113</definedName>
    <definedName name="_xlnm.Print_Area" localSheetId="6">'4 sz. m.(mód) '!$A$1:$J$591</definedName>
    <definedName name="_xlnm.Print_Area" localSheetId="8">'4.b.'!$A$1:$D$47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2" i="23" l="1"/>
  <c r="C44" i="6"/>
  <c r="D44" i="6"/>
  <c r="D43" i="6"/>
  <c r="D46" i="6"/>
  <c r="C46" i="6"/>
  <c r="C45" i="6"/>
  <c r="C42" i="6" s="1"/>
  <c r="C43" i="6"/>
  <c r="C6" i="6"/>
  <c r="D407" i="30"/>
  <c r="D402" i="30"/>
  <c r="D396" i="30"/>
  <c r="D384" i="30"/>
  <c r="E16" i="18" l="1"/>
  <c r="F16" i="18"/>
  <c r="F23" i="18"/>
  <c r="E23" i="18"/>
  <c r="D362" i="30" l="1"/>
  <c r="D375" i="30" s="1"/>
  <c r="D395" i="30" s="1"/>
  <c r="F26" i="15" l="1"/>
  <c r="E26" i="15"/>
  <c r="F21" i="13"/>
  <c r="H90" i="17"/>
  <c r="E34" i="13" l="1"/>
  <c r="F18" i="13"/>
  <c r="F34" i="13" s="1"/>
  <c r="J14" i="31" l="1"/>
  <c r="J13" i="31"/>
  <c r="J15" i="31" s="1"/>
  <c r="D15" i="31"/>
  <c r="F15" i="31"/>
  <c r="H15" i="31"/>
  <c r="B15" i="31"/>
  <c r="D10" i="31"/>
  <c r="F10" i="31"/>
  <c r="H10" i="31"/>
  <c r="B10" i="31"/>
  <c r="M9" i="27"/>
  <c r="L9" i="27"/>
  <c r="K9" i="27"/>
  <c r="J9" i="27"/>
  <c r="I9" i="27"/>
  <c r="H9" i="27"/>
  <c r="G9" i="27"/>
  <c r="F9" i="27"/>
  <c r="E9" i="27"/>
  <c r="D9" i="27"/>
  <c r="M8" i="27"/>
  <c r="L8" i="27"/>
  <c r="K8" i="27"/>
  <c r="J8" i="27"/>
  <c r="I8" i="27"/>
  <c r="H8" i="27"/>
  <c r="G8" i="27"/>
  <c r="F8" i="27"/>
  <c r="E8" i="27"/>
  <c r="D8" i="27"/>
  <c r="N8" i="27" s="1"/>
  <c r="N9" i="27" l="1"/>
  <c r="H94" i="17"/>
  <c r="E14" i="4" s="1"/>
  <c r="H19" i="16" l="1"/>
  <c r="I331" i="10" l="1"/>
  <c r="H12" i="16" l="1"/>
  <c r="H11" i="16"/>
  <c r="H10" i="16"/>
  <c r="I26" i="19"/>
  <c r="I14" i="19"/>
  <c r="C15" i="9"/>
  <c r="B15" i="9"/>
  <c r="H37" i="17"/>
  <c r="H14" i="17"/>
  <c r="I240" i="10"/>
  <c r="I58" i="10"/>
  <c r="H9" i="16" l="1"/>
  <c r="J10" i="31"/>
  <c r="J9" i="31"/>
  <c r="J8" i="31"/>
  <c r="D411" i="30"/>
  <c r="E12" i="29"/>
  <c r="D12" i="29"/>
  <c r="C12" i="29"/>
  <c r="B12" i="29"/>
  <c r="E9" i="29"/>
  <c r="D9" i="29"/>
  <c r="D13" i="29" s="1"/>
  <c r="C9" i="29"/>
  <c r="B9" i="29"/>
  <c r="E13" i="29" l="1"/>
  <c r="E23" i="29" s="1"/>
  <c r="C13" i="29"/>
  <c r="C21" i="29" s="1"/>
  <c r="B13" i="29"/>
  <c r="B21" i="29" s="1"/>
  <c r="B23" i="29" s="1"/>
  <c r="D23" i="29"/>
  <c r="D21" i="29"/>
  <c r="C23" i="29"/>
  <c r="E21" i="29" l="1"/>
  <c r="H62" i="17"/>
  <c r="H67" i="17" s="1"/>
  <c r="I490" i="10"/>
  <c r="I489" i="10"/>
  <c r="I485" i="10"/>
  <c r="I484" i="10"/>
  <c r="I483" i="10"/>
  <c r="H106" i="17"/>
  <c r="E30" i="4" s="1"/>
  <c r="H105" i="17"/>
  <c r="H41" i="16" s="1"/>
  <c r="H104" i="17"/>
  <c r="H103" i="17"/>
  <c r="H102" i="17"/>
  <c r="H101" i="17"/>
  <c r="H17" i="16" s="1"/>
  <c r="H100" i="17"/>
  <c r="H99" i="17"/>
  <c r="H98" i="17"/>
  <c r="H24" i="16" s="1"/>
  <c r="H93" i="17"/>
  <c r="H92" i="17"/>
  <c r="H42" i="16" s="1"/>
  <c r="H91" i="17"/>
  <c r="C13" i="9" s="1"/>
  <c r="H89" i="17"/>
  <c r="H88" i="17"/>
  <c r="H86" i="17"/>
  <c r="H48" i="17"/>
  <c r="H53" i="17" s="1"/>
  <c r="I397" i="10"/>
  <c r="I396" i="10"/>
  <c r="I392" i="10"/>
  <c r="I391" i="10"/>
  <c r="I390" i="10"/>
  <c r="H76" i="17"/>
  <c r="H81" i="17" s="1"/>
  <c r="I537" i="10"/>
  <c r="I536" i="10"/>
  <c r="I532" i="10"/>
  <c r="I531" i="10"/>
  <c r="I530" i="10"/>
  <c r="I551" i="10"/>
  <c r="I550" i="10"/>
  <c r="I525" i="10"/>
  <c r="I516" i="10"/>
  <c r="I511" i="10"/>
  <c r="I502" i="10"/>
  <c r="I478" i="10"/>
  <c r="I472" i="10"/>
  <c r="I466" i="10"/>
  <c r="I461" i="10"/>
  <c r="I452" i="10"/>
  <c r="I442" i="10"/>
  <c r="I433" i="10"/>
  <c r="I428" i="10"/>
  <c r="I435" i="10" s="1"/>
  <c r="I421" i="10"/>
  <c r="I409" i="10"/>
  <c r="I385" i="10"/>
  <c r="I371" i="10"/>
  <c r="I362" i="10"/>
  <c r="I350" i="10"/>
  <c r="I339" i="10"/>
  <c r="I583" i="10" s="1"/>
  <c r="F35" i="9" s="1"/>
  <c r="I338" i="10"/>
  <c r="I582" i="10" s="1"/>
  <c r="I337" i="10"/>
  <c r="I581" i="10" s="1"/>
  <c r="F33" i="9" s="1"/>
  <c r="I336" i="10"/>
  <c r="I580" i="10" s="1"/>
  <c r="F32" i="9" s="1"/>
  <c r="I335" i="10"/>
  <c r="I579" i="10" s="1"/>
  <c r="F31" i="9" s="1"/>
  <c r="I334" i="10"/>
  <c r="I578" i="10" s="1"/>
  <c r="F30" i="9" s="1"/>
  <c r="I333" i="10"/>
  <c r="I577" i="10" s="1"/>
  <c r="F29" i="9" s="1"/>
  <c r="I332" i="10"/>
  <c r="I576" i="10" s="1"/>
  <c r="F28" i="9" s="1"/>
  <c r="I575" i="10"/>
  <c r="I327" i="10"/>
  <c r="I571" i="10" s="1"/>
  <c r="F36" i="9" s="1"/>
  <c r="E35" i="4" s="1"/>
  <c r="I326" i="10"/>
  <c r="I570" i="10" s="1"/>
  <c r="I325" i="10"/>
  <c r="I569" i="10" s="1"/>
  <c r="I588" i="10" s="1"/>
  <c r="I324" i="10"/>
  <c r="I568" i="10" s="1"/>
  <c r="F27" i="9" s="1"/>
  <c r="I323" i="10"/>
  <c r="I567" i="10" s="1"/>
  <c r="F26" i="9" s="1"/>
  <c r="I322" i="10"/>
  <c r="I321" i="10"/>
  <c r="I565" i="10" s="1"/>
  <c r="F24" i="9" s="1"/>
  <c r="I320" i="10"/>
  <c r="I564" i="10" s="1"/>
  <c r="F23" i="9" s="1"/>
  <c r="I319" i="10"/>
  <c r="I563" i="10" s="1"/>
  <c r="F22" i="9" s="1"/>
  <c r="I318" i="10"/>
  <c r="I562" i="10" s="1"/>
  <c r="F21" i="9" s="1"/>
  <c r="I317" i="10"/>
  <c r="I561" i="10" s="1"/>
  <c r="F20" i="9" s="1"/>
  <c r="I316" i="10"/>
  <c r="I315" i="10"/>
  <c r="I559" i="10" s="1"/>
  <c r="F18" i="9" s="1"/>
  <c r="I311" i="10"/>
  <c r="I555" i="10" s="1"/>
  <c r="E22" i="4" s="1"/>
  <c r="I310" i="10"/>
  <c r="I554" i="10" s="1"/>
  <c r="E23" i="4" s="1"/>
  <c r="I309" i="10"/>
  <c r="I553" i="10" s="1"/>
  <c r="E21" i="4" s="1"/>
  <c r="I308" i="10"/>
  <c r="I552" i="10" s="1"/>
  <c r="I305" i="10"/>
  <c r="I549" i="10" s="1"/>
  <c r="I304" i="10"/>
  <c r="I548" i="10" s="1"/>
  <c r="E19" i="4" s="1"/>
  <c r="I303" i="10"/>
  <c r="I302" i="10"/>
  <c r="I301" i="10"/>
  <c r="I297" i="10"/>
  <c r="I292" i="10"/>
  <c r="I282" i="10"/>
  <c r="I277" i="10"/>
  <c r="I269" i="10"/>
  <c r="I264" i="10"/>
  <c r="I249" i="10"/>
  <c r="I257" i="10" s="1"/>
  <c r="I235" i="10"/>
  <c r="I242" i="10" s="1"/>
  <c r="I224" i="10"/>
  <c r="I218" i="10"/>
  <c r="I209" i="10"/>
  <c r="I202" i="10"/>
  <c r="I196" i="10"/>
  <c r="I191" i="10"/>
  <c r="I184" i="10"/>
  <c r="I177" i="10"/>
  <c r="I172" i="10"/>
  <c r="I165" i="10"/>
  <c r="I154" i="10"/>
  <c r="I149" i="10"/>
  <c r="I144" i="10"/>
  <c r="I125" i="10"/>
  <c r="C14" i="9" l="1"/>
  <c r="E13" i="4"/>
  <c r="I226" i="10"/>
  <c r="I299" i="10"/>
  <c r="F34" i="9"/>
  <c r="E33" i="4" s="1"/>
  <c r="I518" i="10"/>
  <c r="I538" i="10"/>
  <c r="I398" i="10"/>
  <c r="E9" i="4"/>
  <c r="C9" i="9"/>
  <c r="H15" i="16"/>
  <c r="H30" i="16"/>
  <c r="C10" i="9"/>
  <c r="H16" i="16"/>
  <c r="E29" i="4" s="1"/>
  <c r="C22" i="9"/>
  <c r="H31" i="16"/>
  <c r="E27" i="4" s="1"/>
  <c r="C19" i="9"/>
  <c r="H46" i="16"/>
  <c r="C21" i="9"/>
  <c r="E20" i="4"/>
  <c r="F11" i="9"/>
  <c r="E7" i="4"/>
  <c r="C7" i="9"/>
  <c r="H8" i="16"/>
  <c r="E10" i="4"/>
  <c r="H18" i="16"/>
  <c r="C12" i="9"/>
  <c r="C18" i="9"/>
  <c r="H25" i="16"/>
  <c r="C20" i="9"/>
  <c r="H37" i="16"/>
  <c r="H38" i="16"/>
  <c r="E12" i="4"/>
  <c r="I284" i="10"/>
  <c r="I156" i="10"/>
  <c r="I328" i="10"/>
  <c r="I312" i="10"/>
  <c r="F7" i="9" s="1"/>
  <c r="I584" i="10"/>
  <c r="I586" i="10"/>
  <c r="I587" i="10"/>
  <c r="I340" i="10"/>
  <c r="H107" i="17"/>
  <c r="H109" i="17"/>
  <c r="I491" i="10"/>
  <c r="I486" i="10"/>
  <c r="I560" i="10"/>
  <c r="F19" i="9" s="1"/>
  <c r="I454" i="10"/>
  <c r="I566" i="10"/>
  <c r="F25" i="9" s="1"/>
  <c r="I547" i="10"/>
  <c r="E18" i="4" s="1"/>
  <c r="I393" i="10"/>
  <c r="I546" i="10"/>
  <c r="E17" i="4" s="1"/>
  <c r="I545" i="10"/>
  <c r="E16" i="4" s="1"/>
  <c r="I364" i="10"/>
  <c r="I533" i="10"/>
  <c r="I109" i="10"/>
  <c r="I104" i="10"/>
  <c r="I99" i="10"/>
  <c r="I94" i="10"/>
  <c r="I87" i="10"/>
  <c r="I81" i="10"/>
  <c r="I74" i="10"/>
  <c r="I66" i="10"/>
  <c r="I48" i="10"/>
  <c r="I44" i="10"/>
  <c r="I40" i="10"/>
  <c r="I29" i="10"/>
  <c r="I23" i="10"/>
  <c r="I16" i="10"/>
  <c r="I11" i="10"/>
  <c r="H10" i="17"/>
  <c r="H25" i="17" s="1"/>
  <c r="E28" i="4"/>
  <c r="I18" i="10" l="1"/>
  <c r="E32" i="4"/>
  <c r="H20" i="16"/>
  <c r="H48" i="16"/>
  <c r="F37" i="9"/>
  <c r="I493" i="10"/>
  <c r="F8" i="9"/>
  <c r="H87" i="17"/>
  <c r="H39" i="17"/>
  <c r="I541" i="10"/>
  <c r="F10" i="9"/>
  <c r="I400" i="10"/>
  <c r="F9" i="9"/>
  <c r="F16" i="9" s="1"/>
  <c r="F38" i="9" s="1"/>
  <c r="C37" i="9"/>
  <c r="H32" i="16"/>
  <c r="H36" i="16"/>
  <c r="H50" i="16"/>
  <c r="E8" i="4"/>
  <c r="E15" i="4" s="1"/>
  <c r="I50" i="10"/>
  <c r="I31" i="10"/>
  <c r="I572" i="10"/>
  <c r="I76" i="10"/>
  <c r="I341" i="10"/>
  <c r="E24" i="4"/>
  <c r="H49" i="16"/>
  <c r="H26" i="16"/>
  <c r="E26" i="4" s="1"/>
  <c r="E31" i="4" s="1"/>
  <c r="I556" i="10"/>
  <c r="G20" i="17"/>
  <c r="G18" i="17"/>
  <c r="G17" i="17"/>
  <c r="G16" i="17"/>
  <c r="G15" i="17"/>
  <c r="C8" i="9" l="1"/>
  <c r="C16" i="9" s="1"/>
  <c r="H95" i="17"/>
  <c r="H111" i="17" s="1"/>
  <c r="H52" i="16"/>
  <c r="E40" i="4"/>
  <c r="C38" i="9"/>
  <c r="I590" i="10"/>
  <c r="E12" i="9"/>
  <c r="E13" i="9"/>
  <c r="G14" i="17"/>
  <c r="G88" i="17" s="1"/>
  <c r="G12" i="16"/>
  <c r="G11" i="16"/>
  <c r="G106" i="17"/>
  <c r="G104" i="17"/>
  <c r="G101" i="17"/>
  <c r="G17" i="16" s="1"/>
  <c r="G99" i="17"/>
  <c r="G25" i="16" s="1"/>
  <c r="G93" i="17"/>
  <c r="G59" i="17"/>
  <c r="G90" i="17" s="1"/>
  <c r="G58" i="17"/>
  <c r="G34" i="17"/>
  <c r="G103" i="17" s="1"/>
  <c r="G37" i="16" s="1"/>
  <c r="D28" i="4" s="1"/>
  <c r="G33" i="17"/>
  <c r="G102" i="17" s="1"/>
  <c r="B19" i="9" s="1"/>
  <c r="G32" i="17"/>
  <c r="G30" i="17"/>
  <c r="G100" i="17" s="1"/>
  <c r="G28" i="17"/>
  <c r="G22" i="17"/>
  <c r="G91" i="17" s="1"/>
  <c r="G19" i="17"/>
  <c r="G89" i="17" s="1"/>
  <c r="G18" i="16" s="1"/>
  <c r="G11" i="17"/>
  <c r="G10" i="17" s="1"/>
  <c r="G87" i="17" s="1"/>
  <c r="G9" i="17"/>
  <c r="H123" i="10"/>
  <c r="H103" i="10"/>
  <c r="H104" i="10" s="1"/>
  <c r="H408" i="10"/>
  <c r="H406" i="10"/>
  <c r="H551" i="10"/>
  <c r="H550" i="10"/>
  <c r="H525" i="10"/>
  <c r="H515" i="10"/>
  <c r="H537" i="10" s="1"/>
  <c r="H514" i="10"/>
  <c r="H516" i="10" s="1"/>
  <c r="H510" i="10"/>
  <c r="H511" i="10" s="1"/>
  <c r="H501" i="10"/>
  <c r="H532" i="10" s="1"/>
  <c r="H500" i="10"/>
  <c r="H531" i="10" s="1"/>
  <c r="H499" i="10"/>
  <c r="H530" i="10" s="1"/>
  <c r="H478" i="10"/>
  <c r="H471" i="10"/>
  <c r="H470" i="10"/>
  <c r="H465" i="10"/>
  <c r="H466" i="10" s="1"/>
  <c r="H461" i="10"/>
  <c r="H451" i="10"/>
  <c r="H489" i="10" s="1"/>
  <c r="H450" i="10"/>
  <c r="H442" i="10"/>
  <c r="H433" i="10"/>
  <c r="H427" i="10"/>
  <c r="H485" i="10" s="1"/>
  <c r="H426" i="10"/>
  <c r="H425" i="10"/>
  <c r="H421" i="10"/>
  <c r="H407" i="10"/>
  <c r="H397" i="10"/>
  <c r="H396" i="10"/>
  <c r="H385" i="10"/>
  <c r="H378" i="10"/>
  <c r="H370" i="10"/>
  <c r="H392" i="10" s="1"/>
  <c r="H369" i="10"/>
  <c r="H368" i="10"/>
  <c r="H362" i="10"/>
  <c r="H348" i="10"/>
  <c r="H347" i="10"/>
  <c r="H339" i="10"/>
  <c r="H583" i="10" s="1"/>
  <c r="E35" i="9" s="1"/>
  <c r="H338" i="10"/>
  <c r="H582" i="10" s="1"/>
  <c r="H337" i="10"/>
  <c r="H581" i="10" s="1"/>
  <c r="E33" i="9" s="1"/>
  <c r="H335" i="10"/>
  <c r="H579" i="10" s="1"/>
  <c r="E31" i="9" s="1"/>
  <c r="H334" i="10"/>
  <c r="H578" i="10" s="1"/>
  <c r="E30" i="9" s="1"/>
  <c r="H333" i="10"/>
  <c r="H577" i="10" s="1"/>
  <c r="E29" i="9" s="1"/>
  <c r="H332" i="10"/>
  <c r="H576" i="10" s="1"/>
  <c r="E28" i="9" s="1"/>
  <c r="H326" i="10"/>
  <c r="H570" i="10" s="1"/>
  <c r="H323" i="10"/>
  <c r="H567" i="10" s="1"/>
  <c r="E26" i="9" s="1"/>
  <c r="H321" i="10"/>
  <c r="H565" i="10" s="1"/>
  <c r="E24" i="9" s="1"/>
  <c r="H320" i="10"/>
  <c r="H564" i="10" s="1"/>
  <c r="E23" i="9" s="1"/>
  <c r="H311" i="10"/>
  <c r="H555" i="10" s="1"/>
  <c r="D22" i="4" s="1"/>
  <c r="H297" i="10"/>
  <c r="H290" i="10"/>
  <c r="H292" i="10" s="1"/>
  <c r="H299" i="10" s="1"/>
  <c r="H282" i="10"/>
  <c r="H275" i="10"/>
  <c r="H277" i="10" s="1"/>
  <c r="H284" i="10" s="1"/>
  <c r="H268" i="10"/>
  <c r="H269" i="10" s="1"/>
  <c r="H263" i="10"/>
  <c r="H262" i="10"/>
  <c r="H261" i="10"/>
  <c r="H264" i="10" s="1"/>
  <c r="H254" i="10"/>
  <c r="H253" i="10"/>
  <c r="H318" i="10" s="1"/>
  <c r="H562" i="10" s="1"/>
  <c r="E21" i="9" s="1"/>
  <c r="H252" i="10"/>
  <c r="H317" i="10" s="1"/>
  <c r="H561" i="10" s="1"/>
  <c r="E20" i="9" s="1"/>
  <c r="H248" i="10"/>
  <c r="H247" i="10"/>
  <c r="H246" i="10"/>
  <c r="H239" i="10"/>
  <c r="H327" i="10" s="1"/>
  <c r="H571" i="10" s="1"/>
  <c r="E36" i="9" s="1"/>
  <c r="D35" i="4" s="1"/>
  <c r="H230" i="10"/>
  <c r="H310" i="10" s="1"/>
  <c r="H554" i="10" s="1"/>
  <c r="D23" i="4" s="1"/>
  <c r="H223" i="10"/>
  <c r="H222" i="10"/>
  <c r="H221" i="10"/>
  <c r="H324" i="10" s="1"/>
  <c r="H568" i="10" s="1"/>
  <c r="E27" i="9" s="1"/>
  <c r="H216" i="10"/>
  <c r="H215" i="10"/>
  <c r="H208" i="10"/>
  <c r="H209" i="10" s="1"/>
  <c r="H201" i="10"/>
  <c r="H202" i="10" s="1"/>
  <c r="H195" i="10"/>
  <c r="H196" i="10" s="1"/>
  <c r="H190" i="10"/>
  <c r="H191" i="10" s="1"/>
  <c r="H184" i="10"/>
  <c r="H177" i="10"/>
  <c r="H172" i="10"/>
  <c r="H164" i="10"/>
  <c r="H162" i="10"/>
  <c r="H154" i="10"/>
  <c r="H149" i="10"/>
  <c r="H143" i="10"/>
  <c r="H142" i="10"/>
  <c r="H141" i="10"/>
  <c r="H119" i="10"/>
  <c r="H109" i="10"/>
  <c r="H99" i="10"/>
  <c r="H93" i="10"/>
  <c r="H94" i="10" s="1"/>
  <c r="H87" i="10"/>
  <c r="H81" i="10"/>
  <c r="H73" i="10"/>
  <c r="H72" i="10"/>
  <c r="H64" i="10"/>
  <c r="H322" i="10" s="1"/>
  <c r="H62" i="10"/>
  <c r="H56" i="10"/>
  <c r="H58" i="10" s="1"/>
  <c r="H48" i="10"/>
  <c r="H42" i="10"/>
  <c r="H39" i="10"/>
  <c r="H309" i="10" s="1"/>
  <c r="H553" i="10" s="1"/>
  <c r="D21" i="4" s="1"/>
  <c r="H38" i="10"/>
  <c r="H305" i="10" s="1"/>
  <c r="H549" i="10" s="1"/>
  <c r="H37" i="10"/>
  <c r="H27" i="10"/>
  <c r="H23" i="10"/>
  <c r="H14" i="10"/>
  <c r="H315" i="10" s="1"/>
  <c r="H559" i="10" s="1"/>
  <c r="E18" i="9" s="1"/>
  <c r="H9" i="10"/>
  <c r="H11" i="10" s="1"/>
  <c r="G37" i="17" l="1"/>
  <c r="B14" i="9"/>
  <c r="D13" i="4"/>
  <c r="B21" i="9"/>
  <c r="D30" i="4"/>
  <c r="H301" i="10"/>
  <c r="H16" i="10"/>
  <c r="H18" i="10" s="1"/>
  <c r="E11" i="9"/>
  <c r="D20" i="4"/>
  <c r="B8" i="9"/>
  <c r="D8" i="4"/>
  <c r="B13" i="9"/>
  <c r="D12" i="4"/>
  <c r="B20" i="9"/>
  <c r="G15" i="16"/>
  <c r="D9" i="4"/>
  <c r="E34" i="9"/>
  <c r="H533" i="10"/>
  <c r="E10" i="9" s="1"/>
  <c r="H125" i="10"/>
  <c r="G10" i="16"/>
  <c r="G9" i="16" s="1"/>
  <c r="G38" i="16"/>
  <c r="H66" i="10"/>
  <c r="H218" i="10"/>
  <c r="H249" i="10"/>
  <c r="H472" i="10"/>
  <c r="H518" i="10"/>
  <c r="G86" i="17"/>
  <c r="D7" i="4" s="1"/>
  <c r="H74" i="10"/>
  <c r="H316" i="10"/>
  <c r="G75" i="17"/>
  <c r="G76" i="17" s="1"/>
  <c r="H336" i="10"/>
  <c r="H580" i="10" s="1"/>
  <c r="E32" i="9" s="1"/>
  <c r="D33" i="4" s="1"/>
  <c r="H390" i="10"/>
  <c r="H391" i="10"/>
  <c r="H536" i="10"/>
  <c r="H566" i="10" s="1"/>
  <c r="E25" i="9" s="1"/>
  <c r="H331" i="10"/>
  <c r="H29" i="10"/>
  <c r="H31" i="10" s="1"/>
  <c r="H302" i="10"/>
  <c r="H165" i="10"/>
  <c r="H224" i="10"/>
  <c r="H226" i="10" s="1"/>
  <c r="H483" i="10"/>
  <c r="H428" i="10"/>
  <c r="H435" i="10" s="1"/>
  <c r="H303" i="10"/>
  <c r="H547" i="10" s="1"/>
  <c r="D18" i="4" s="1"/>
  <c r="G36" i="16"/>
  <c r="G16" i="16"/>
  <c r="B22" i="9"/>
  <c r="B12" i="9"/>
  <c r="G31" i="16"/>
  <c r="D27" i="4" s="1"/>
  <c r="G46" i="16"/>
  <c r="B9" i="9"/>
  <c r="G98" i="17"/>
  <c r="G25" i="17"/>
  <c r="G39" i="17" s="1"/>
  <c r="H304" i="10"/>
  <c r="H548" i="10" s="1"/>
  <c r="D19" i="4" s="1"/>
  <c r="H319" i="10"/>
  <c r="H563" i="10" s="1"/>
  <c r="E22" i="9" s="1"/>
  <c r="H44" i="10"/>
  <c r="H144" i="10"/>
  <c r="H156" i="10" s="1"/>
  <c r="H350" i="10"/>
  <c r="H364" i="10" s="1"/>
  <c r="H371" i="10"/>
  <c r="H490" i="10"/>
  <c r="H491" i="10" s="1"/>
  <c r="G65" i="17" s="1"/>
  <c r="H452" i="10"/>
  <c r="H454" i="10" s="1"/>
  <c r="H538" i="10"/>
  <c r="G79" i="17" s="1"/>
  <c r="H40" i="10"/>
  <c r="H255" i="10"/>
  <c r="H398" i="10"/>
  <c r="G51" i="17" s="1"/>
  <c r="H484" i="10"/>
  <c r="H502" i="10"/>
  <c r="H409" i="10"/>
  <c r="H76" i="10" l="1"/>
  <c r="H257" i="10"/>
  <c r="H575" i="10"/>
  <c r="H584" i="10" s="1"/>
  <c r="H340" i="10"/>
  <c r="H560" i="10"/>
  <c r="E19" i="9" s="1"/>
  <c r="B10" i="9"/>
  <c r="D10" i="4"/>
  <c r="D15" i="4" s="1"/>
  <c r="G20" i="16"/>
  <c r="D29" i="4"/>
  <c r="H541" i="10"/>
  <c r="G30" i="16"/>
  <c r="G32" i="16" s="1"/>
  <c r="B7" i="9"/>
  <c r="B16" i="9" s="1"/>
  <c r="G8" i="16"/>
  <c r="H393" i="10"/>
  <c r="E9" i="9" s="1"/>
  <c r="G81" i="17"/>
  <c r="H546" i="10"/>
  <c r="D17" i="4" s="1"/>
  <c r="G105" i="17"/>
  <c r="G24" i="16"/>
  <c r="G26" i="16" s="1"/>
  <c r="D26" i="4" s="1"/>
  <c r="D31" i="4" s="1"/>
  <c r="B18" i="9"/>
  <c r="B37" i="9" s="1"/>
  <c r="H545" i="10"/>
  <c r="D16" i="4" s="1"/>
  <c r="H50" i="10"/>
  <c r="H486" i="10"/>
  <c r="H400" i="10" l="1"/>
  <c r="G47" i="17"/>
  <c r="G48" i="17" s="1"/>
  <c r="G53" i="17" s="1"/>
  <c r="E37" i="9"/>
  <c r="D32" i="4"/>
  <c r="D40" i="4"/>
  <c r="D24" i="4"/>
  <c r="B38" i="9"/>
  <c r="G41" i="16"/>
  <c r="G49" i="16" s="1"/>
  <c r="H238" i="10"/>
  <c r="G107" i="17"/>
  <c r="H493" i="10"/>
  <c r="E8" i="9"/>
  <c r="G61" i="17"/>
  <c r="G109" i="17" l="1"/>
  <c r="G62" i="17"/>
  <c r="G67" i="17" s="1"/>
  <c r="G92" i="17"/>
  <c r="G42" i="16" l="1"/>
  <c r="H232" i="10"/>
  <c r="G95" i="17"/>
  <c r="G111" i="17" s="1"/>
  <c r="H325" i="10"/>
  <c r="H240" i="10"/>
  <c r="G48" i="16" l="1"/>
  <c r="G50" i="16"/>
  <c r="H308" i="10"/>
  <c r="H235" i="10"/>
  <c r="H242" i="10" s="1"/>
  <c r="H569" i="10"/>
  <c r="H328" i="10"/>
  <c r="G52" i="16" l="1"/>
  <c r="H588" i="10"/>
  <c r="H572" i="10"/>
  <c r="H552" i="10"/>
  <c r="H312" i="10"/>
  <c r="H341" i="10" l="1"/>
  <c r="E7" i="9"/>
  <c r="E16" i="9" s="1"/>
  <c r="E38" i="9" s="1"/>
  <c r="G57" i="16"/>
  <c r="H586" i="10"/>
  <c r="H587" i="10"/>
  <c r="H556" i="10"/>
  <c r="H590" i="10" l="1"/>
  <c r="G56" i="16"/>
  <c r="D10" i="6" l="1"/>
  <c r="B10" i="6"/>
  <c r="D45" i="6" l="1"/>
  <c r="D42" i="6" s="1"/>
  <c r="D6" i="6"/>
  <c r="B45" i="6"/>
  <c r="B43" i="6"/>
  <c r="D26" i="6" l="1"/>
  <c r="C26" i="6"/>
  <c r="B26" i="6"/>
  <c r="D16" i="18"/>
  <c r="D23" i="18" s="1"/>
  <c r="B46" i="6" l="1"/>
  <c r="B44" i="6"/>
  <c r="G73" i="10"/>
  <c r="G331" i="10" s="1"/>
  <c r="G575" i="10" s="1"/>
  <c r="D16" i="15"/>
  <c r="F20" i="17"/>
  <c r="G315" i="10"/>
  <c r="G490" i="10"/>
  <c r="G489" i="10"/>
  <c r="G433" i="10"/>
  <c r="G442" i="10"/>
  <c r="G396" i="10"/>
  <c r="G397" i="10"/>
  <c r="G392" i="10"/>
  <c r="G391" i="10"/>
  <c r="G390" i="10"/>
  <c r="G371" i="10"/>
  <c r="G362" i="10"/>
  <c r="G336" i="10"/>
  <c r="G580" i="10" s="1"/>
  <c r="G335" i="10"/>
  <c r="G579" i="10" s="1"/>
  <c r="G334" i="10"/>
  <c r="G578" i="10" s="1"/>
  <c r="G333" i="10"/>
  <c r="G577" i="10" s="1"/>
  <c r="G332" i="10"/>
  <c r="G576" i="10" s="1"/>
  <c r="G324" i="10"/>
  <c r="G568" i="10" s="1"/>
  <c r="G323" i="10"/>
  <c r="G567" i="10" s="1"/>
  <c r="G398" i="10" l="1"/>
  <c r="F51" i="17" s="1"/>
  <c r="G322" i="10"/>
  <c r="G566" i="10" s="1"/>
  <c r="G321" i="10"/>
  <c r="G565" i="10" s="1"/>
  <c r="G320" i="10"/>
  <c r="G564" i="10" s="1"/>
  <c r="G319" i="10"/>
  <c r="G563" i="10" s="1"/>
  <c r="G318" i="10"/>
  <c r="G562" i="10" s="1"/>
  <c r="G317" i="10"/>
  <c r="G561" i="10" s="1"/>
  <c r="G303" i="10"/>
  <c r="G310" i="10"/>
  <c r="G554" i="10" s="1"/>
  <c r="G224" i="10"/>
  <c r="G38" i="10"/>
  <c r="G305" i="10" s="1"/>
  <c r="G117" i="10"/>
  <c r="G62" i="10"/>
  <c r="G316" i="10" s="1"/>
  <c r="G560" i="10" s="1"/>
  <c r="G304" i="10" l="1"/>
  <c r="G125" i="10"/>
  <c r="C23" i="4"/>
  <c r="G66" i="10"/>
  <c r="G74" i="10"/>
  <c r="G255" i="10" l="1"/>
  <c r="G29" i="10"/>
  <c r="G16" i="10"/>
  <c r="G11" i="10"/>
  <c r="G18" i="10" l="1"/>
  <c r="F129" i="23" l="1"/>
  <c r="F130" i="23"/>
  <c r="F131" i="23"/>
  <c r="F128" i="23"/>
  <c r="D125" i="23"/>
  <c r="D108" i="23"/>
  <c r="F114" i="23"/>
  <c r="F111" i="23"/>
  <c r="F112" i="23"/>
  <c r="D132" i="23"/>
  <c r="C132" i="23"/>
  <c r="B132" i="23"/>
  <c r="C125" i="23"/>
  <c r="B125" i="23"/>
  <c r="F124" i="23"/>
  <c r="F123" i="23"/>
  <c r="F122" i="23"/>
  <c r="D115" i="23"/>
  <c r="C115" i="23"/>
  <c r="B115" i="23"/>
  <c r="F113" i="23"/>
  <c r="C108" i="23"/>
  <c r="B108" i="23"/>
  <c r="F107" i="23"/>
  <c r="F106" i="23"/>
  <c r="F105" i="23"/>
  <c r="C80" i="23"/>
  <c r="C64" i="23"/>
  <c r="C48" i="23"/>
  <c r="D34" i="23"/>
  <c r="F30" i="23"/>
  <c r="F31" i="23"/>
  <c r="F32" i="23"/>
  <c r="F33" i="23"/>
  <c r="F132" i="23" l="1"/>
  <c r="F125" i="23"/>
  <c r="F108" i="23"/>
  <c r="F115" i="23"/>
  <c r="D11" i="23" l="1"/>
  <c r="D18" i="23"/>
  <c r="C16" i="23"/>
  <c r="C18" i="23" s="1"/>
  <c r="F15" i="23"/>
  <c r="F16" i="23"/>
  <c r="F17" i="23"/>
  <c r="F14" i="23"/>
  <c r="D98" i="23"/>
  <c r="C98" i="23"/>
  <c r="B98" i="23"/>
  <c r="F97" i="23"/>
  <c r="F96" i="23"/>
  <c r="F95" i="23"/>
  <c r="F94" i="23"/>
  <c r="C91" i="23"/>
  <c r="B91" i="23"/>
  <c r="F90" i="23"/>
  <c r="F89" i="23"/>
  <c r="F88" i="23"/>
  <c r="D82" i="23"/>
  <c r="B82" i="23"/>
  <c r="C82" i="23"/>
  <c r="F80" i="23"/>
  <c r="F79" i="23"/>
  <c r="F78" i="23"/>
  <c r="C75" i="23"/>
  <c r="B75" i="23"/>
  <c r="F74" i="23"/>
  <c r="F73" i="23"/>
  <c r="F72" i="23"/>
  <c r="D66" i="23"/>
  <c r="B66" i="23"/>
  <c r="C66" i="23"/>
  <c r="F64" i="23"/>
  <c r="F63" i="23"/>
  <c r="F62" i="23"/>
  <c r="D59" i="23"/>
  <c r="B59" i="23"/>
  <c r="F58" i="23"/>
  <c r="C57" i="23"/>
  <c r="C59" i="23" s="1"/>
  <c r="F56" i="23"/>
  <c r="D50" i="23"/>
  <c r="B50" i="23"/>
  <c r="C50" i="23"/>
  <c r="F48" i="23"/>
  <c r="F47" i="23"/>
  <c r="F46" i="23"/>
  <c r="B43" i="23"/>
  <c r="F42" i="23"/>
  <c r="C41" i="23"/>
  <c r="C43" i="23" s="1"/>
  <c r="F40" i="23"/>
  <c r="C34" i="23"/>
  <c r="B34" i="23"/>
  <c r="C27" i="23"/>
  <c r="B27" i="23"/>
  <c r="F26" i="23"/>
  <c r="F25" i="23"/>
  <c r="F24" i="23"/>
  <c r="B18" i="23"/>
  <c r="C11" i="23"/>
  <c r="B11" i="23"/>
  <c r="F10" i="23"/>
  <c r="F9" i="23"/>
  <c r="F8" i="23"/>
  <c r="F11" i="23" l="1"/>
  <c r="F27" i="23"/>
  <c r="F34" i="23"/>
  <c r="F41" i="23"/>
  <c r="F43" i="23" s="1"/>
  <c r="F75" i="23"/>
  <c r="F91" i="23"/>
  <c r="F18" i="23"/>
  <c r="F57" i="23"/>
  <c r="F59" i="23" s="1"/>
  <c r="F65" i="23"/>
  <c r="F66" i="23" s="1"/>
  <c r="F98" i="23"/>
  <c r="F49" i="23"/>
  <c r="F50" i="23" s="1"/>
  <c r="F81" i="23"/>
  <c r="F82" i="23" s="1"/>
  <c r="I17" i="19" l="1"/>
  <c r="I28" i="19" s="1"/>
  <c r="G421" i="10"/>
  <c r="G452" i="10" l="1"/>
  <c r="G454" i="10" s="1"/>
  <c r="G491" i="10" l="1"/>
  <c r="F65" i="17" s="1"/>
  <c r="G378" i="10"/>
  <c r="G337" i="10"/>
  <c r="G581" i="10" s="1"/>
  <c r="G559" i="10"/>
  <c r="G302" i="10"/>
  <c r="G301" i="10"/>
  <c r="G584" i="10" l="1"/>
  <c r="F105" i="17"/>
  <c r="F41" i="16" s="1"/>
  <c r="G144" i="10"/>
  <c r="G238" i="10" l="1"/>
  <c r="G325" i="10" s="1"/>
  <c r="G569" i="10" s="1"/>
  <c r="G588" i="10" s="1"/>
  <c r="G48" i="10"/>
  <c r="G44" i="10"/>
  <c r="G328" i="10" l="1"/>
  <c r="G572" i="10"/>
  <c r="D28" i="24"/>
  <c r="C28" i="24"/>
  <c r="D34" i="13" l="1"/>
  <c r="F14" i="17" l="1"/>
  <c r="F88" i="17" s="1"/>
  <c r="C9" i="4" l="1"/>
  <c r="F15" i="16"/>
  <c r="G309" i="10" l="1"/>
  <c r="G553" i="10" s="1"/>
  <c r="G196" i="10"/>
  <c r="G58" i="10"/>
  <c r="G76" i="10" s="1"/>
  <c r="G87" i="10"/>
  <c r="G81" i="10"/>
  <c r="C21" i="4" l="1"/>
  <c r="G40" i="10"/>
  <c r="G50" i="10" s="1"/>
  <c r="G532" i="10" l="1"/>
  <c r="G485" i="10"/>
  <c r="G484" i="10"/>
  <c r="G483" i="10"/>
  <c r="B31" i="26" l="1"/>
  <c r="B16" i="26"/>
  <c r="B17" i="26" s="1"/>
  <c r="B32" i="26" l="1"/>
  <c r="F89" i="17"/>
  <c r="F86" i="17" l="1"/>
  <c r="G531" i="10" l="1"/>
  <c r="G530" i="10"/>
  <c r="G525" i="10"/>
  <c r="G202" i="10" l="1"/>
  <c r="F91" i="17" l="1"/>
  <c r="G264" i="10" l="1"/>
  <c r="G249" i="10"/>
  <c r="G257" i="10" s="1"/>
  <c r="F90" i="17"/>
  <c r="C10" i="4" l="1"/>
  <c r="B6" i="6" l="1"/>
  <c r="D39" i="6"/>
  <c r="C39" i="6"/>
  <c r="B39" i="6"/>
  <c r="G511" i="10" l="1"/>
  <c r="G502" i="10"/>
  <c r="G533" i="10" l="1"/>
  <c r="G541" i="10" l="1"/>
  <c r="F75" i="17"/>
  <c r="F76" i="17" s="1"/>
  <c r="F81" i="17" s="1"/>
  <c r="G218" i="10"/>
  <c r="G226" i="10" s="1"/>
  <c r="G184" i="10"/>
  <c r="G23" i="10"/>
  <c r="G31" i="10" s="1"/>
  <c r="F18" i="16"/>
  <c r="F99" i="17"/>
  <c r="F102" i="17"/>
  <c r="F103" i="17"/>
  <c r="F10" i="17"/>
  <c r="F25" i="17" s="1"/>
  <c r="G172" i="10"/>
  <c r="G165" i="10"/>
  <c r="G549" i="10"/>
  <c r="G550" i="10"/>
  <c r="G551" i="10"/>
  <c r="G209" i="10"/>
  <c r="G191" i="10"/>
  <c r="F10" i="16"/>
  <c r="F11" i="16"/>
  <c r="F12" i="16"/>
  <c r="F38" i="16"/>
  <c r="D20" i="6"/>
  <c r="C20" i="6"/>
  <c r="B20" i="6"/>
  <c r="F98" i="17"/>
  <c r="F104" i="17"/>
  <c r="F100" i="17"/>
  <c r="F37" i="17"/>
  <c r="F101" i="17"/>
  <c r="F17" i="16" s="1"/>
  <c r="G466" i="10"/>
  <c r="G350" i="10"/>
  <c r="G364" i="10" s="1"/>
  <c r="G94" i="10"/>
  <c r="G428" i="10"/>
  <c r="G435" i="10" s="1"/>
  <c r="G177" i="10"/>
  <c r="G461" i="10"/>
  <c r="G409" i="10"/>
  <c r="C12" i="4"/>
  <c r="C7" i="4"/>
  <c r="G99" i="10"/>
  <c r="E38" i="4"/>
  <c r="E41" i="4" s="1"/>
  <c r="D38" i="4"/>
  <c r="D41" i="4" s="1"/>
  <c r="D26" i="15"/>
  <c r="F107" i="17" l="1"/>
  <c r="B42" i="6"/>
  <c r="F25" i="16"/>
  <c r="G548" i="10"/>
  <c r="G547" i="10"/>
  <c r="G546" i="10"/>
  <c r="G545" i="10"/>
  <c r="C16" i="4" s="1"/>
  <c r="D19" i="25"/>
  <c r="C19" i="25"/>
  <c r="F37" i="16"/>
  <c r="F36" i="16" s="1"/>
  <c r="F16" i="16"/>
  <c r="C29" i="4" s="1"/>
  <c r="F24" i="16"/>
  <c r="F31" i="16"/>
  <c r="C27" i="4" s="1"/>
  <c r="F87" i="17"/>
  <c r="F8" i="16"/>
  <c r="C22" i="4"/>
  <c r="G393" i="10"/>
  <c r="F47" i="17" s="1"/>
  <c r="G486" i="10"/>
  <c r="G340" i="10"/>
  <c r="F9" i="16"/>
  <c r="C20" i="4"/>
  <c r="C18" i="4" l="1"/>
  <c r="F49" i="16"/>
  <c r="F57" i="16" s="1"/>
  <c r="C28" i="4"/>
  <c r="G400" i="10"/>
  <c r="C8" i="4"/>
  <c r="G493" i="10"/>
  <c r="F26" i="16"/>
  <c r="C26" i="4" s="1"/>
  <c r="F61" i="17"/>
  <c r="F62" i="17" s="1"/>
  <c r="F67" i="17" s="1"/>
  <c r="F39" i="17"/>
  <c r="C19" i="4"/>
  <c r="C17" i="4"/>
  <c r="C31" i="4" l="1"/>
  <c r="F48" i="17"/>
  <c r="F53" i="17" s="1"/>
  <c r="F109" i="17"/>
  <c r="F92" i="17"/>
  <c r="F20" i="16"/>
  <c r="C24" i="4"/>
  <c r="F30" i="16"/>
  <c r="C15" i="4"/>
  <c r="C38" i="4"/>
  <c r="C41" i="4" l="1"/>
  <c r="C40" i="4"/>
  <c r="G232" i="10"/>
  <c r="G235" i="10" s="1"/>
  <c r="G242" i="10" s="1"/>
  <c r="F42" i="16"/>
  <c r="F50" i="16" s="1"/>
  <c r="F95" i="17"/>
  <c r="F111" i="17" s="1"/>
  <c r="F32" i="16"/>
  <c r="G308" i="10" l="1"/>
  <c r="G552" i="10" s="1"/>
  <c r="G556" i="10" s="1"/>
  <c r="F48" i="16"/>
  <c r="F52" i="16" s="1"/>
  <c r="G587" i="10" l="1"/>
  <c r="F56" i="16" s="1"/>
  <c r="G586" i="10"/>
  <c r="G312" i="10"/>
  <c r="G341" i="10" l="1"/>
  <c r="G590" i="10"/>
</calcChain>
</file>

<file path=xl/sharedStrings.xml><?xml version="1.0" encoding="utf-8"?>
<sst xmlns="http://schemas.openxmlformats.org/spreadsheetml/2006/main" count="2420" uniqueCount="1076">
  <si>
    <t>Címrend a költségvetési rendelet 2.§. /2./ bekezdéséhez</t>
  </si>
  <si>
    <t>Cím</t>
  </si>
  <si>
    <t>Cím neve:</t>
  </si>
  <si>
    <t>Alcím</t>
  </si>
  <si>
    <t>Alcím megnevezése</t>
  </si>
  <si>
    <t>száma:</t>
  </si>
  <si>
    <t>száma</t>
  </si>
  <si>
    <t>1.</t>
  </si>
  <si>
    <t>POLGÁRMESTERI</t>
  </si>
  <si>
    <t>HIVATAL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</si>
  <si>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</si>
  <si>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</si>
  <si>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</si>
  <si>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</si>
  <si>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</si>
  <si>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</si>
  <si>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</si>
  <si>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</si>
  <si>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</si>
  <si>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</si>
  <si>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</si>
  <si>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</si>
  <si>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</si>
  <si>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</si>
  <si>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</si>
  <si>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</si>
  <si>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</si>
  <si>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</si>
  <si>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</si>
  <si>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</si>
  <si>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</si>
  <si>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</si>
  <si>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</si>
  <si>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</si>
  <si>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</si>
  <si>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 xml:space="preserve">EGYESÍTETT </t>
  </si>
  <si>
    <t>27.</t>
  </si>
  <si>
    <t xml:space="preserve">EGÉSZSÉGÜGYI ÉS </t>
  </si>
  <si>
    <t>28.</t>
  </si>
  <si>
    <t>Házi segítségnyújtás</t>
  </si>
  <si>
    <t>SZOCIÁLIS INTÉZMÉNY</t>
  </si>
  <si>
    <t>29.</t>
  </si>
  <si>
    <t>Szociális étkeztetés</t>
  </si>
  <si>
    <t>30.</t>
  </si>
  <si>
    <t>BEVÉTELEK ÖSSZESEN</t>
  </si>
  <si>
    <t>sorszám</t>
  </si>
  <si>
    <t>Megnevezés</t>
  </si>
  <si>
    <t>Ezer forintban</t>
  </si>
  <si>
    <t>ÖSSZESEN</t>
  </si>
  <si>
    <t xml:space="preserve">Kommunális adó </t>
  </si>
  <si>
    <t>Al-</t>
  </si>
  <si>
    <t>Előir.</t>
  </si>
  <si>
    <t>Kie.</t>
  </si>
  <si>
    <t>BEVÉTELEK</t>
  </si>
  <si>
    <t>sz.</t>
  </si>
  <si>
    <t>cím</t>
  </si>
  <si>
    <t>csop.</t>
  </si>
  <si>
    <t>előir.</t>
  </si>
  <si>
    <t xml:space="preserve">eredeti </t>
  </si>
  <si>
    <t>Cím, Alcím, Előírányzat csoport, Kiemelt előírányzat</t>
  </si>
  <si>
    <t>MŰKÖDÉSI BEVÉTELEK</t>
  </si>
  <si>
    <t>Sajátos bevételek</t>
  </si>
  <si>
    <t>TÁMOGATÁSOK</t>
  </si>
  <si>
    <t>ÖSSZESEN:</t>
  </si>
  <si>
    <t>FELHALMOZÁS ÉS TŐKE JELL. BEV.</t>
  </si>
  <si>
    <t>Sajátos felhalmozás és tőke jellegű bev.</t>
  </si>
  <si>
    <t>VÉGLEGESEN ÁTVETT PÉNZESZKÖZÖK</t>
  </si>
  <si>
    <t>Működési célú pénzeszköz átvétel</t>
  </si>
  <si>
    <t>Felhalmozás célra átvett pénzeszköz</t>
  </si>
  <si>
    <t>PÉNZFORGALOM NÉLKÜLI BEVÉTELEK</t>
  </si>
  <si>
    <t>Előző évi pénzmaradvány igénybevétel</t>
  </si>
  <si>
    <t xml:space="preserve">Cím  </t>
  </si>
  <si>
    <t xml:space="preserve">Alcím </t>
  </si>
  <si>
    <t xml:space="preserve">Előir. </t>
  </si>
  <si>
    <t xml:space="preserve">Kie. </t>
  </si>
  <si>
    <t>cs.</t>
  </si>
  <si>
    <t>elői.</t>
  </si>
  <si>
    <t>Eredeti ei.</t>
  </si>
  <si>
    <t>Cím, Alcím. Előirányzat csoport, Kiemelt előirányzat</t>
  </si>
  <si>
    <t>POLGÁRMESTERI HIVATAL</t>
  </si>
  <si>
    <t xml:space="preserve">            MŰKÖDÉSI BEVÉTELEK</t>
  </si>
  <si>
    <t>Működési célú pénzmaradvány</t>
  </si>
  <si>
    <t>Működési célú hitel</t>
  </si>
  <si>
    <t>Felhalmozás és tőke jellegű bevétel</t>
  </si>
  <si>
    <t>Intézményi működési bevételek</t>
  </si>
  <si>
    <t>Működési célú maradvány</t>
  </si>
  <si>
    <t>Intézményfinanszírozás</t>
  </si>
  <si>
    <t>Intézményi működési bevétel</t>
  </si>
  <si>
    <t>ÖNKORMÁNYZATI ÖSSZESEN</t>
  </si>
  <si>
    <t xml:space="preserve">KÖLTSÉGVETÉS </t>
  </si>
  <si>
    <t>BEVÉTELEI ÖSSZESEN</t>
  </si>
  <si>
    <t>eredeti</t>
  </si>
  <si>
    <t>I.</t>
  </si>
  <si>
    <t>Helyi önszerveződések támogatása</t>
  </si>
  <si>
    <t>II.</t>
  </si>
  <si>
    <t>Cím , Alcím, Előirányzat csoport</t>
  </si>
  <si>
    <t xml:space="preserve">                     kiemelt előirányzat </t>
  </si>
  <si>
    <t>Működési költségvetés</t>
  </si>
  <si>
    <t>Dologi kiadások</t>
  </si>
  <si>
    <t>Fejlesztési kiadások</t>
  </si>
  <si>
    <t>Ellátottak pénzbeli juttatása</t>
  </si>
  <si>
    <t>Költségvetés kiadásai</t>
  </si>
  <si>
    <t>Működési kiadások</t>
  </si>
  <si>
    <t>Fejlesztési kiadás</t>
  </si>
  <si>
    <t>EGYESÍTETT EGÉSZSÉGÜGYI ÉS SZOCIÁLIS INTÉZMÉNY</t>
  </si>
  <si>
    <t>EGYESÍTETT EGÉSZS. ÉS SZOC. INT.</t>
  </si>
  <si>
    <t>KÖLTSÉGVETÉS KIADÁSAI ÖSSZESEN</t>
  </si>
  <si>
    <t>ÖNKORMÁNYZAT ÖSSZESEN</t>
  </si>
  <si>
    <t>Személyi juttatások</t>
  </si>
  <si>
    <t>Munkaadókat terh. elvonás</t>
  </si>
  <si>
    <t>Átadott pénzeszköz működéshez</t>
  </si>
  <si>
    <t>Működési hitel visszafizetése</t>
  </si>
  <si>
    <t>Működési tartalék</t>
  </si>
  <si>
    <t>MEGNEVEZÉS</t>
  </si>
  <si>
    <t>előirányzat</t>
  </si>
  <si>
    <t xml:space="preserve">I. MŰKÖDÉSI CÉLÚ BEVÉTELEK: </t>
  </si>
  <si>
    <t xml:space="preserve">I. MŰKÖDÉSI CÉLÚ KIADÁSOK: </t>
  </si>
  <si>
    <t xml:space="preserve"> - Intézmény működési bevétel</t>
  </si>
  <si>
    <t xml:space="preserve"> - Sajátos működési bevétel</t>
  </si>
  <si>
    <t xml:space="preserve"> - Egyesített Egészségügyi Intézmény</t>
  </si>
  <si>
    <t xml:space="preserve"> - Polgármesteri Hivatal</t>
  </si>
  <si>
    <t xml:space="preserve"> - Pénzeszköz átadás</t>
  </si>
  <si>
    <t xml:space="preserve"> - Működésre átvett pénzeszközök</t>
  </si>
  <si>
    <t xml:space="preserve"> - Működési hitel törlesztése</t>
  </si>
  <si>
    <t xml:space="preserve"> - Működési hitel</t>
  </si>
  <si>
    <t xml:space="preserve"> - Működési tartalék</t>
  </si>
  <si>
    <t xml:space="preserve"> - Működési célú pénzmaradvány</t>
  </si>
  <si>
    <t xml:space="preserve">ÖSSZESEN: </t>
  </si>
  <si>
    <t>II. FELHALMOZÁSI BEVÉTELEK:</t>
  </si>
  <si>
    <t>II. FELHALMOZÁSI KIADÁSOK:</t>
  </si>
  <si>
    <t xml:space="preserve"> - Felhalmozás és tőke jellegű bevétel+ komm adó</t>
  </si>
  <si>
    <t xml:space="preserve"> - felhalmozás átvett pénzeszköz</t>
  </si>
  <si>
    <t xml:space="preserve"> - felhalmozás célú maradvány</t>
  </si>
  <si>
    <t xml:space="preserve"> - felhalmozás célú hitel igénybevétele</t>
  </si>
  <si>
    <t>BEVÉTEL ÖSSZESEN:</t>
  </si>
  <si>
    <t>KIADÁS ÖSSZESEN:</t>
  </si>
  <si>
    <t>Sorsz.</t>
  </si>
  <si>
    <t>I. Működési célú bevételek és kiadások</t>
  </si>
  <si>
    <t xml:space="preserve">Intézményi működési bevétel </t>
  </si>
  <si>
    <t>Sajátos működési bevétel</t>
  </si>
  <si>
    <t>Műk. célú előző évi pénzmaradvány</t>
  </si>
  <si>
    <t>Működési célú bevételek összesen:</t>
  </si>
  <si>
    <t>Munkaadókat terhelő járulékok</t>
  </si>
  <si>
    <t>Pénzeszköz átadás</t>
  </si>
  <si>
    <t>Működési célú kiadások összesen:</t>
  </si>
  <si>
    <t>II. Felhalmozási célú bevételek és kiadások</t>
  </si>
  <si>
    <t>Felhalmozásra átvett pénzeszköz</t>
  </si>
  <si>
    <t>Előző évi tartalék maradvány</t>
  </si>
  <si>
    <t>Felhalmozás célú hitel</t>
  </si>
  <si>
    <t>Felhalmozás célú bevételek összes</t>
  </si>
  <si>
    <t>Felhalmozási kiadás (ÁFA-val)</t>
  </si>
  <si>
    <t>Felújítási kiadás (ÁFA-val)</t>
  </si>
  <si>
    <t>Felhalmozás célú pénz átadás</t>
  </si>
  <si>
    <t>Fejlesztési hitel törlesztés</t>
  </si>
  <si>
    <t>Felhalmozási célú tartalék</t>
  </si>
  <si>
    <t>Felhalmozási célú kiadások összesen:</t>
  </si>
  <si>
    <t>ÖNKORMÁNYZAT BEVÉTELEI:</t>
  </si>
  <si>
    <t>ÖNKORMÁNYZAT KIADÁSAI:</t>
  </si>
  <si>
    <t xml:space="preserve">    Működésre átvett pénzeszközök</t>
  </si>
  <si>
    <t>adatok ezer Ft-ban</t>
  </si>
  <si>
    <t>A működési és fejlesztési célú bevételek és kiadások</t>
  </si>
  <si>
    <t xml:space="preserve"> - működési</t>
  </si>
  <si>
    <t xml:space="preserve"> - fejlesztési</t>
  </si>
  <si>
    <t>Közutak üzemeltetése és fenntartása</t>
  </si>
  <si>
    <t>Önkormányzatok igazgatási tevékenysége</t>
  </si>
  <si>
    <t>Közvilágítási feladatok</t>
  </si>
  <si>
    <t>Sorszám</t>
  </si>
  <si>
    <t>összesen</t>
  </si>
  <si>
    <t>Összesen</t>
  </si>
  <si>
    <t>MŰKÖDÉSI ÉS FELHALMOZÁSI CÉLÚ MÉRLEGE</t>
  </si>
  <si>
    <t>adatok Ft-ban</t>
  </si>
  <si>
    <t>Jogcím megnevezése</t>
  </si>
  <si>
    <t xml:space="preserve"> - helyi adók</t>
  </si>
  <si>
    <t xml:space="preserve"> - átengedett központi adók</t>
  </si>
  <si>
    <t>Fejlesztési célú támogatás</t>
  </si>
  <si>
    <t>FEJLESZTÉSI BEVÉTELEK</t>
  </si>
  <si>
    <t xml:space="preserve"> - Helyi adók</t>
  </si>
  <si>
    <t>FELHALMOZÁSI BEVÉTELEK</t>
  </si>
  <si>
    <t>Sajátos felhalmozási és tőke bevételek</t>
  </si>
  <si>
    <t>Fejlesztési célú támogatások</t>
  </si>
  <si>
    <t>Felhalmozási célú péneszköz átvétel</t>
  </si>
  <si>
    <t>FELHALMOZÁSI  BEVÉTELEK</t>
  </si>
  <si>
    <t>Felhalmozási célú pénzmaradvány</t>
  </si>
  <si>
    <t xml:space="preserve"> - bírságok, pótlékok</t>
  </si>
  <si>
    <t xml:space="preserve"> - felhalmozási célú támogatások</t>
  </si>
  <si>
    <t>Többcélú Kistérségi Társulás</t>
  </si>
  <si>
    <t>31.</t>
  </si>
  <si>
    <t>32.</t>
  </si>
  <si>
    <t>33.</t>
  </si>
  <si>
    <t>Ktgvet. támog. ( normatíva, közp.támogatás)</t>
  </si>
  <si>
    <t xml:space="preserve">Álláshelyek </t>
  </si>
  <si>
    <t>Munkajogi</t>
  </si>
  <si>
    <t>létszám</t>
  </si>
  <si>
    <t xml:space="preserve">Statisztikai </t>
  </si>
  <si>
    <t>Intézmény - szakfeladat</t>
  </si>
  <si>
    <t>megnevezése</t>
  </si>
  <si>
    <t>Polgármesteri Hivatal</t>
  </si>
  <si>
    <t xml:space="preserve">  - igazgatási tevékenység</t>
  </si>
  <si>
    <t xml:space="preserve">     közalkalmazott</t>
  </si>
  <si>
    <t xml:space="preserve">     köztisztviselő</t>
  </si>
  <si>
    <t xml:space="preserve">    közalkalmazott</t>
  </si>
  <si>
    <t>Maroslelei Egyesített és Egészségügyi Intézmény</t>
  </si>
  <si>
    <t xml:space="preserve">  - Védőnői szolgálat</t>
  </si>
  <si>
    <t xml:space="preserve">  - Házisegítségnyújtás</t>
  </si>
  <si>
    <t xml:space="preserve">  - Szociális étkezés</t>
  </si>
  <si>
    <t xml:space="preserve">  - köztisztviselő</t>
  </si>
  <si>
    <t xml:space="preserve">  - munkatörvénykönyve alá tartozó</t>
  </si>
  <si>
    <t xml:space="preserve">  - közfoglalkoztatott</t>
  </si>
  <si>
    <t>Dologi kiadás</t>
  </si>
  <si>
    <t>Eredeti</t>
  </si>
  <si>
    <t>adatok ezer forintban</t>
  </si>
  <si>
    <t xml:space="preserve"> </t>
  </si>
  <si>
    <t xml:space="preserve">          </t>
  </si>
  <si>
    <t>Zöldterület-kezelés</t>
  </si>
  <si>
    <t>Civil szervezetek működési támogatása</t>
  </si>
  <si>
    <t>34.</t>
  </si>
  <si>
    <t>35.</t>
  </si>
  <si>
    <t>36.</t>
  </si>
  <si>
    <t>37.</t>
  </si>
  <si>
    <t>38.</t>
  </si>
  <si>
    <t>39.</t>
  </si>
  <si>
    <t>40.</t>
  </si>
  <si>
    <t>41.</t>
  </si>
  <si>
    <t>Család és nővédelmi eü-i gondozás</t>
  </si>
  <si>
    <t>Könyvtári szolgáltatások</t>
  </si>
  <si>
    <t>Város- és községgazdálkodási szolgáltatás</t>
  </si>
  <si>
    <t>Köztemető fenntartás</t>
  </si>
  <si>
    <t>Személyi jellegű kiadás</t>
  </si>
  <si>
    <t>Munkaadói elvonás</t>
  </si>
  <si>
    <t>Működési költség</t>
  </si>
  <si>
    <t>Átadott pénzeszköz</t>
  </si>
  <si>
    <r>
      <t xml:space="preserve"> </t>
    </r>
    <r>
      <rPr>
        <b/>
        <sz val="12"/>
        <rFont val="Times New Roman"/>
        <family val="1"/>
        <charset val="238"/>
      </rPr>
      <t>ÖSSZESEN:</t>
    </r>
  </si>
  <si>
    <t>Felújítások</t>
  </si>
  <si>
    <t>Működési célú hitel törlesztés</t>
  </si>
  <si>
    <t xml:space="preserve"> Személyi juttatás</t>
  </si>
  <si>
    <t>Céltartalék</t>
  </si>
  <si>
    <t>Támogatások</t>
  </si>
  <si>
    <t>Munkaügyi Központtól átvett pénzeszköz:</t>
  </si>
  <si>
    <t>Egyéb átvett pénzeszköz</t>
  </si>
  <si>
    <t xml:space="preserve"> - idősek nappali ellátása</t>
  </si>
  <si>
    <t xml:space="preserve">   közalkalmazott</t>
  </si>
  <si>
    <t>MAROSLELE KÖZSÉG</t>
  </si>
  <si>
    <t>ÖNKORMÁNYZATA</t>
  </si>
  <si>
    <t>Rövid időtartamú közfoglalkoztatás</t>
  </si>
  <si>
    <t>Hosszabb időtartamú közfoglalkoztatás</t>
  </si>
  <si>
    <t>MAROSLELE KÖZSÉG ÖNKORMÁNYZATA</t>
  </si>
  <si>
    <t>EGYESÍTETT EGÉSZSÉGÜGYI ÉS  SZOCIÁLIS INTÉZMÉNY</t>
  </si>
  <si>
    <t>Intézményfinanszírozás (korrekció)</t>
  </si>
  <si>
    <t>Felhalmozási célú hiány</t>
  </si>
  <si>
    <t>KÖLTSÉGVETÉSI HIÁNY</t>
  </si>
  <si>
    <t>Működési hiány</t>
  </si>
  <si>
    <t>Fejlesztési célú hiány</t>
  </si>
  <si>
    <t>Intézményműködés bevétele</t>
  </si>
  <si>
    <t>ÖNKORMÁNYZAT  KIADÁSAI ÖSSZESEN</t>
  </si>
  <si>
    <t xml:space="preserve"> - Európai Uniós támogatás</t>
  </si>
  <si>
    <t xml:space="preserve"> - Önkormányzati kiadások</t>
  </si>
  <si>
    <t xml:space="preserve">Önkormányzat </t>
  </si>
  <si>
    <t xml:space="preserve">  - zöldterület kezelés</t>
  </si>
  <si>
    <t>Helyi önkormányzatok feladatainak támogatása</t>
  </si>
  <si>
    <t>Önkormányzati hivatal működésének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</si>
  <si>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</si>
  <si>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</si>
  <si>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</si>
  <si>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</si>
  <si>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</si>
  <si>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Óvodapedagógusok és az óvodapedagógusok munkáját segítők bértámogatása</t>
  </si>
  <si>
    <t>Óvodaműködtetési támogatás</t>
  </si>
  <si>
    <t>Hozzájárulás a pénzbeli szociális ellátásokhoz</t>
  </si>
  <si>
    <t>Egészségbiztosítási pénztártól átvett pénzeszköz:</t>
  </si>
  <si>
    <t xml:space="preserve"> - Védőnői ellátás: </t>
  </si>
  <si>
    <t>Önkormányzati feladatok támogatása</t>
  </si>
  <si>
    <t xml:space="preserve">  - Könyvtári szolgáltatások</t>
  </si>
  <si>
    <t xml:space="preserve"> - Önkormányzati feladatok támogatása</t>
  </si>
  <si>
    <t>Út, autópálya építése</t>
  </si>
  <si>
    <t>Közutak, hidak, alagutak üzemeltetése, fenntartása</t>
  </si>
  <si>
    <t>Város-, községgazdálkodási egyéb szolgáltatások</t>
  </si>
  <si>
    <t>Köztemető fenntartás és működtetés</t>
  </si>
  <si>
    <t>Közvilágítás</t>
  </si>
  <si>
    <t>Egészségügy igazgatása</t>
  </si>
  <si>
    <t>Lakásfenntartással, lakhatással összefüggő ellátások</t>
  </si>
  <si>
    <t>Gyermekvédelmi pénzbeli és természetbeni ellátások</t>
  </si>
  <si>
    <t>Elhunyt személyek hátramaradottainak pénzbeli ellátása</t>
  </si>
  <si>
    <t>Fogyatékossággal összefüggő pénzbeli ellátások, támogatások</t>
  </si>
  <si>
    <t>Betegséggel kapcsolatos pénzbeli ellátások</t>
  </si>
  <si>
    <t>Közfoglalkoztatási mintaprogram</t>
  </si>
  <si>
    <t>Szennyvíz gyűjtése, tisztítás</t>
  </si>
  <si>
    <t>Mindenféle egyéb szabadidős szolgáltatás</t>
  </si>
  <si>
    <t>Egyéb kiadói tevékenység</t>
  </si>
  <si>
    <t>Önkormányzatok és önkormányzati hivatalok jogalkotó és általános igazgatási tevékenysége</t>
  </si>
  <si>
    <t>Országgyűlési, önkormányzati és európai parlamenti képviselőválasztásokhoz kapcsolódó tevékenységek</t>
  </si>
  <si>
    <t>Óvodai nevelés, ellátás szakmai feladatai</t>
  </si>
  <si>
    <t>Óvodai nevelés, ellátás működtetési feladatai</t>
  </si>
  <si>
    <t>Sajátos nevelési igényű gyermekek óvodai nevelésének, ellátásának szakmai feladatai</t>
  </si>
  <si>
    <t>Család- és nővédelmi egészségügyi gondozás</t>
  </si>
  <si>
    <t>Tagsági díjak, hozzájárulások</t>
  </si>
  <si>
    <t>Fejlesztések áfája</t>
  </si>
  <si>
    <t>Lakásfenntartással, lakhatással összefüggő ellát</t>
  </si>
  <si>
    <t>Gyermekvédelmi pénzbeli és természetbeli ellát.</t>
  </si>
  <si>
    <t>Egyéb szociális természetbeni és pénzbeli ellátások</t>
  </si>
  <si>
    <t>Elhunyt személyek hátramaradottainak pénzbeli ellát.</t>
  </si>
  <si>
    <t>Ellátottak pénzbeli juttatásai (köztemetés)</t>
  </si>
  <si>
    <t>Fogyatékosággal összefüggő pénzbeli ellátások</t>
  </si>
  <si>
    <t>Szennyvíz gyűjtése, tisztítása</t>
  </si>
  <si>
    <t>Könyvtári szolgáltatás</t>
  </si>
  <si>
    <t>Önkormányzatok elszámolásai költségvetési szerveivel</t>
  </si>
  <si>
    <t>Országgyűlés, önkormányzati és európai parlamenti képviselőválasztás</t>
  </si>
  <si>
    <t>SNI gyermekek óvodai nevelésének szakmai feladatai</t>
  </si>
  <si>
    <t>Közművelődés – közösségi és társadalmi részvétel fejlesztése</t>
  </si>
  <si>
    <t>Közművelődés – közösségi és társadalmi részvétel fejl</t>
  </si>
  <si>
    <t>Egészségügyi igazgatás</t>
  </si>
  <si>
    <t xml:space="preserve"> - Élelmiszergyártás</t>
  </si>
  <si>
    <t>MAROSLELEI ZENGŐ ÓVODA</t>
  </si>
  <si>
    <t xml:space="preserve"> - Maroslelei Zengő Óvoda</t>
  </si>
  <si>
    <t>Maroslelei Zengő Óvoda</t>
  </si>
  <si>
    <t xml:space="preserve"> - Óvodai nevelés</t>
  </si>
  <si>
    <t xml:space="preserve"> - közművelődési intézmények működtetése</t>
  </si>
  <si>
    <t>Ellátottak pénzbeli, természetbeli juttatásai</t>
  </si>
  <si>
    <t>Ellátottak természetbeli juttatásai (karácsonyi csomag)</t>
  </si>
  <si>
    <t>2016.</t>
  </si>
  <si>
    <t xml:space="preserve"> - önkormányzatok igazgatási tevékenysége</t>
  </si>
  <si>
    <t xml:space="preserve"> - Közfoglalkoztatás</t>
  </si>
  <si>
    <t xml:space="preserve">  - közalkalmazott</t>
  </si>
  <si>
    <t>Lakott külterülettel kapcsolatos feladatok támogatása</t>
  </si>
  <si>
    <t>Országos közfoglalkoztatási program</t>
  </si>
  <si>
    <t>Az önkormányzat önként vállalt feladatai</t>
  </si>
  <si>
    <t>Arany János tehetséggondozó program + BURSA HUNGARICA</t>
  </si>
  <si>
    <t>Gazdainformációs Központ üzemeltetése</t>
  </si>
  <si>
    <t>Növénytermesztési szolgáltatás</t>
  </si>
  <si>
    <t>Kiadási</t>
  </si>
  <si>
    <t>Bevételi</t>
  </si>
  <si>
    <t>Az önkormányzat államigazgatási feladatai</t>
  </si>
  <si>
    <t>Helyi adók</t>
  </si>
  <si>
    <t>Átengedett központi adók</t>
  </si>
  <si>
    <t>Bírságok, pótlékok</t>
  </si>
  <si>
    <t>Köznevelési feladatok</t>
  </si>
  <si>
    <t>Adózással összefüggő feladatok</t>
  </si>
  <si>
    <t>Maroslele Község Önkormányzata adósságot keletkeztető ügyleteiből eredő</t>
  </si>
  <si>
    <t>fizetési kötelezettségeinek bemutatása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</si>
  <si>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</si>
  <si>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</si>
  <si>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</si>
  <si>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 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</si>
  <si>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</si>
  <si>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</si>
  <si>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</si>
  <si>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</si>
  <si>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</si>
  <si>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Kezességgel kapcsolatos megtérülés</t>
  </si>
  <si>
    <t>Saját bevétel összesen</t>
  </si>
  <si>
    <t>Saját bevételek 50%-a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</si>
  <si>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</si>
  <si>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</si>
  <si>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</si>
  <si>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</si>
  <si>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számviteli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</si>
  <si>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</si>
  <si>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kötelezettséggel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</si>
  <si>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</si>
  <si>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 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</si>
  <si>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</si>
  <si>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</si>
  <si>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</si>
  <si>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>Adósságot keletkeztető ügyletekből eredő fizetési kötelezettségekkel csökkentett saját bevétel</t>
  </si>
  <si>
    <t xml:space="preserve">Saját bevétel megnevezése </t>
  </si>
  <si>
    <t xml:space="preserve">Adósságot keletkeztető ügylet megnevezése </t>
  </si>
  <si>
    <t>Gyermekétkeztetés köznevelési intézményben</t>
  </si>
  <si>
    <t>Az önkormányzati vagyonnal való gazdálkodással kapcs. Feladatok</t>
  </si>
  <si>
    <t>Piac üzemeltetése</t>
  </si>
  <si>
    <t>Intézményen kívüli gyermekétkeztetés</t>
  </si>
  <si>
    <t>Lakóingatlan szociális célú bérbeadása, üzemeltetése</t>
  </si>
  <si>
    <t>Idősek nappali ellátása</t>
  </si>
  <si>
    <t>Család- és gyermekjóléti szolgáltatások</t>
  </si>
  <si>
    <t>Az önkormányzati vagyonnal való gazdálkod.feladatok</t>
  </si>
  <si>
    <t>Lakóingatlan szociális c. bérbeadása, üzemeltetése</t>
  </si>
  <si>
    <t>2017.</t>
  </si>
  <si>
    <t>Tárgyi eszköz értékesítés, bérbeadás</t>
  </si>
  <si>
    <t>Ívóvíz hálózat felújítása</t>
  </si>
  <si>
    <t>POLGÁRMESTERI HIVATAL KIADÁSAI ÖSSZESEN</t>
  </si>
  <si>
    <t>Lakás célú kölcsön</t>
  </si>
  <si>
    <t>Ellátottak pénzbeli juttatásai (beiskolázási tám.)</t>
  </si>
  <si>
    <t>Ellátottak pénzbeli juttatásai (babaszámla)</t>
  </si>
  <si>
    <t>Ellátottak természetbeli jutt. (Mikulás cs.)</t>
  </si>
  <si>
    <t>DAREH</t>
  </si>
  <si>
    <t xml:space="preserve">  - Család- és gyermekjóléti szolgáltatás</t>
  </si>
  <si>
    <t>Működési célú kölcsön nyújtása és törlesztése</t>
  </si>
  <si>
    <t>Tárgyi eszköz, immat. Javak értékesítése, bérbeadása</t>
  </si>
  <si>
    <t>Tárgyi eszköz, imm. javak értékesítése, bérbeadása</t>
  </si>
  <si>
    <t xml:space="preserve"> - Önkormányzatok működésének általános támogatása</t>
  </si>
  <si>
    <t xml:space="preserve"> - Köznevelési feladatok támogatása</t>
  </si>
  <si>
    <t xml:space="preserve"> - Szociális, gyermekjóléti és gyermekétkezt. feladatok tám.</t>
  </si>
  <si>
    <t xml:space="preserve"> - Kulturális feladatok támogatása</t>
  </si>
  <si>
    <t>Ellátottak pénzbeli jutattat. (Önkorm. Tám. Lakásfennt.)</t>
  </si>
  <si>
    <t>Ellátottak pénzbeli juttatásai (közgyógy )</t>
  </si>
  <si>
    <t>Kisértékű tárgyieszköz beszerzés</t>
  </si>
  <si>
    <t>Ivóvíz hálózat felújítása</t>
  </si>
  <si>
    <t>Kisértékű tárgyi eszköz</t>
  </si>
  <si>
    <t>Növénytermesztés, állattenyésztés, kapcs. Szolg. (élelmiszergy.)</t>
  </si>
  <si>
    <t>Növénytermesztés, állattenyésztés, kapcs. Szolg. (növényterm.)</t>
  </si>
  <si>
    <t>Növénytermesztés, állatteny., kapcs.szolg (Élelmiszergyártás)</t>
  </si>
  <si>
    <t>Növénytermesztés, állatteny., kapcs. szolg. (Növénytermesztés)</t>
  </si>
  <si>
    <t>Fejlesztések kiadások</t>
  </si>
  <si>
    <t xml:space="preserve">Önkormányzatok elszámolásai </t>
  </si>
  <si>
    <t xml:space="preserve"> - bírságok, pótlékok, egyéb adók</t>
  </si>
  <si>
    <t>42.</t>
  </si>
  <si>
    <t>Országos és helyi népszavazással kapcsolatos tevékenységek</t>
  </si>
  <si>
    <t>Országos és helyi népszavazáshoz kapcsolódó tev.</t>
  </si>
  <si>
    <t>2018.</t>
  </si>
  <si>
    <t>Szociális bérlakás</t>
  </si>
  <si>
    <t>Projekt megnevezése</t>
  </si>
  <si>
    <t>Projekt bevételei:</t>
  </si>
  <si>
    <t>Saját erő</t>
  </si>
  <si>
    <t>EU-s forrás</t>
  </si>
  <si>
    <t>Egyéb forrás (EU önerő, átcsop.kérelem)</t>
  </si>
  <si>
    <t>Projekt kiadásai:</t>
  </si>
  <si>
    <t>Személyi jellegű</t>
  </si>
  <si>
    <t>Munkáltatói járulék</t>
  </si>
  <si>
    <t>Beruházások, beszerzések</t>
  </si>
  <si>
    <t>Polgármesteri Hiavatal épületszárny újjáépítés</t>
  </si>
  <si>
    <t>kisértékű tárgyi eszköz</t>
  </si>
  <si>
    <t>Ellátottak pénzbeli juttatásai (eseti segély )</t>
  </si>
  <si>
    <t xml:space="preserve">    közfoglalkoztatott</t>
  </si>
  <si>
    <t xml:space="preserve">    munkatörvénykönyve alá tartozó</t>
  </si>
  <si>
    <t xml:space="preserve">  Az önkormányzat működési célú pénzeszköz átadásai</t>
  </si>
  <si>
    <t>LeleInnov Kft.</t>
  </si>
  <si>
    <t>működési célú</t>
  </si>
  <si>
    <t>fejlesztési célú</t>
  </si>
  <si>
    <t>Önkormányzat 2018. évi bevételei jogcímenként</t>
  </si>
  <si>
    <t>2018. év</t>
  </si>
  <si>
    <t>2018. évi alakulását külön bemutató mérleg</t>
  </si>
  <si>
    <t>2018. évi előirányzat</t>
  </si>
  <si>
    <t>2019.</t>
  </si>
  <si>
    <t xml:space="preserve">MAROSLELE ÖNKORMÁNYZAT 2018. ÉVI KÖLTSÉGVETÉSÉNEK </t>
  </si>
  <si>
    <t>2018. évi</t>
  </si>
  <si>
    <t>Intézmények 2018. évi létszámkerete</t>
  </si>
  <si>
    <t>2018. évi kiadások címrend szerinti kimutatása</t>
  </si>
  <si>
    <t xml:space="preserve">         2018. évi előirányzat</t>
  </si>
  <si>
    <t>Az önkormányzat 2018. évi bevételei intézményenkénti címrend szerint</t>
  </si>
  <si>
    <t>Polgármesteri illetmény támogatása</t>
  </si>
  <si>
    <t>A helyi önkormányzatok működésének általános támogatása összesen:</t>
  </si>
  <si>
    <t>Települési önkormányzatok egyes köznevelési feladatainak támogatása</t>
  </si>
  <si>
    <t>Család- és gyermekjóléti szolgálat</t>
  </si>
  <si>
    <t xml:space="preserve"> Szociális étkeztetés</t>
  </si>
  <si>
    <t xml:space="preserve"> Házi segítségnyújtás</t>
  </si>
  <si>
    <t>Időskorúak nappali intézményi ellátása</t>
  </si>
  <si>
    <t>Települési önkormányzatok szociális, gyermekjóléti és gyermekétkeztetési feladatainak támogatása</t>
  </si>
  <si>
    <t>Gyermekétkeztetés  támogatása</t>
  </si>
  <si>
    <t>Rászoruló gyermekek szünidei étkeztetésének támogatása</t>
  </si>
  <si>
    <t>Könyvtári, közművelődési és múzeumi feladatok támogatása</t>
  </si>
  <si>
    <t xml:space="preserve">Az európai uniós támogatással valósuló programok, projektek bevételei, kiadásai </t>
  </si>
  <si>
    <t>(adatok ezer forintban)</t>
  </si>
  <si>
    <t>Maroslele Községi Önkormányzat ASP központhoz való csatlakozása  (KÖFOP-1.2.1-VEKOP-16-2016-00015)</t>
  </si>
  <si>
    <t>Maroslele belterületi belvízelvezető csatornáinak fejlesztése (TOP-2.1.3-15-CS1-2016-00001)</t>
  </si>
  <si>
    <t>Maroslele község bel- és külterületi kerékpárforgalmi létesítményeinek kiépítése (TOP-3.1.1-15-CS1-2016-00008)</t>
  </si>
  <si>
    <t>Maroslele önkormányzati tulajdonú épületeinek energetikai korszerűsítése (TOP-3.2.1-15-CS1-2016-00007)</t>
  </si>
  <si>
    <t>Maroslele Község Önkormányzatának agrárlogisztikai célú ipari terület fejlesztése (TOP-1.1.1-15-CS1-2016-00004)</t>
  </si>
  <si>
    <t>Helytörténeti gyűjtemény külső felújítása, energetikai korszerűsítése (VP6-7.2.1-7.4.1.1-16)</t>
  </si>
  <si>
    <t>Humán szolgáltatások fejlesztése térségi szemléletben (EFOP-1.5.3-16)</t>
  </si>
  <si>
    <t>Humán kapacitások fejlesztése térségi szemléletben (EFOP-3.9.2-16)</t>
  </si>
  <si>
    <t>2020.</t>
  </si>
  <si>
    <t>Kerékpárforgalmi létesítmény kialakítása</t>
  </si>
  <si>
    <t>Járda felújítás</t>
  </si>
  <si>
    <t>Fejlesztések</t>
  </si>
  <si>
    <t>Járdafelújítás</t>
  </si>
  <si>
    <t>EFOP-1.5.3 Mintaház kialakítás</t>
  </si>
  <si>
    <t>EFOP-3.9.2</t>
  </si>
  <si>
    <t>Ivóvíz hálóza felújítása</t>
  </si>
  <si>
    <t>Hulladékgazdálkodási fejlesztések (FM-LSZF/2017-01)</t>
  </si>
  <si>
    <t>Polgármesteri Hivatal épületszárnyépítés</t>
  </si>
  <si>
    <t>Épületek energetikai fejlesztése</t>
  </si>
  <si>
    <t>Polgármesteri Hivatal felújítása</t>
  </si>
  <si>
    <t>Iparterület fejlesztés</t>
  </si>
  <si>
    <t>Belvízelvezető csatorna felújítása</t>
  </si>
  <si>
    <t>Iparterület fejlesztés (TOP-1.1.1)</t>
  </si>
  <si>
    <t>Épületek energetikai fejlesztése (TOP-3.2.1)</t>
  </si>
  <si>
    <t>Kerékpárforgalmi létesítmény kialakítása (TOP-3.1.1)</t>
  </si>
  <si>
    <t>Belvízelvezető csatorna felújítása (TOP-2.1.3)</t>
  </si>
  <si>
    <t>kisértékű tárgyieszköz beszerzés</t>
  </si>
  <si>
    <t>Földterület vásárlás</t>
  </si>
  <si>
    <t>Bútor beszerzés</t>
  </si>
  <si>
    <t>Helytörténeti gyűjtemény felújítása</t>
  </si>
  <si>
    <t>Elszámolások központi költségvetéssel</t>
  </si>
  <si>
    <t>Pénzmaradvány</t>
  </si>
  <si>
    <t xml:space="preserve"> -  ebből Európai Uniós támogatás</t>
  </si>
  <si>
    <t xml:space="preserve"> - ebből Európai Uniós támogatás</t>
  </si>
  <si>
    <t xml:space="preserve">  közfoglalkozatás</t>
  </si>
  <si>
    <t>EFOP-3.9.2 Projekt iroda kialakítása</t>
  </si>
  <si>
    <t>Átadott pénzeszköz (Bursa)</t>
  </si>
  <si>
    <t>III.</t>
  </si>
  <si>
    <t>Bursa Hungarica</t>
  </si>
  <si>
    <t>Tárgyi eszköz, immateriális javak értékesítése, bérbeadása</t>
  </si>
  <si>
    <t xml:space="preserve">Önkormányzat összesen </t>
  </si>
  <si>
    <t>Közfoglalkoztatás eszközbeszerzés</t>
  </si>
  <si>
    <t xml:space="preserve">Közfoglalkoztatási felújítás </t>
  </si>
  <si>
    <t>Közfogalakoztatási eszközbeszerzés, felújítás</t>
  </si>
  <si>
    <t>adatok e  forintban</t>
  </si>
  <si>
    <t>Ellátottak természetbeli jutt. (tüzifa)</t>
  </si>
  <si>
    <t xml:space="preserve">    munkatörvénykönyve alá tartozó EFOP</t>
  </si>
  <si>
    <t xml:space="preserve">  munkatörvénykönyve alá tartozó EFOP</t>
  </si>
  <si>
    <t xml:space="preserve">     köztisztviselő EFOP</t>
  </si>
  <si>
    <t xml:space="preserve">     munkatörvénkönyve alá tartozó EFOP</t>
  </si>
  <si>
    <t>Betét elhelyezés</t>
  </si>
  <si>
    <t>Lejárt betét</t>
  </si>
  <si>
    <t xml:space="preserve"> - Lejárt betét </t>
  </si>
  <si>
    <t>INTÉZMÉNYFINANSZÍROZÁS</t>
  </si>
  <si>
    <t>LEKÖTÖTT BETÉT</t>
  </si>
  <si>
    <t>43.</t>
  </si>
  <si>
    <t>Felhalmozási célú hitel</t>
  </si>
  <si>
    <t>44.</t>
  </si>
  <si>
    <t>Esélyegyenlőség elősegítés célzó tevékenységek és programok (EFOP-1.5.3)</t>
  </si>
  <si>
    <t>Iskolarendszeren kívüli egyéb oktatás, képzés (EFOP-3.9.2)</t>
  </si>
  <si>
    <t>FEJLESZTÉSI CÉLÚ HITEL</t>
  </si>
  <si>
    <t xml:space="preserve">MAROSLELEI ZENGŐ </t>
  </si>
  <si>
    <t>ÓVODA</t>
  </si>
  <si>
    <t>Ellátottak természetbeli juttatásai (Erzsébet utalvány)</t>
  </si>
  <si>
    <t>Hiteltörlesztés</t>
  </si>
  <si>
    <t xml:space="preserve"> - köznevelési feladatok támogatása</t>
  </si>
  <si>
    <t>Hitel törlesztés</t>
  </si>
  <si>
    <t>Damjanich u. útfelújítás</t>
  </si>
  <si>
    <t>Ellátottak természetbeli jutt. (rezsicsökk.)</t>
  </si>
  <si>
    <t xml:space="preserve">   </t>
  </si>
  <si>
    <t>teljesülése 2018.évben</t>
  </si>
  <si>
    <t>módosított</t>
  </si>
  <si>
    <t>Teljesítés</t>
  </si>
  <si>
    <t xml:space="preserve">  Felhalmozás és tőkejellegű bevételek teljesülése</t>
  </si>
  <si>
    <t xml:space="preserve">   2018. évben</t>
  </si>
  <si>
    <t>Módosított</t>
  </si>
  <si>
    <t xml:space="preserve"> 2018. évben</t>
  </si>
  <si>
    <t>Az önkormányzat közvetett támogatásait (adóelengedések,adókedvezmények) tartalmazó kimutatás</t>
  </si>
  <si>
    <t>Maroslele Önkormányzat képviselő-testülete egyetlen rendeletében sem határozott meg adókedvezményt, adóelengedést-így  közvetett támogatás az elmúlt időszakban nem valósult meg.</t>
  </si>
  <si>
    <t>Önkormányzat</t>
  </si>
  <si>
    <t>Polgm.Hiv.</t>
  </si>
  <si>
    <t>EESZI</t>
  </si>
  <si>
    <t>Zengő Óvoda</t>
  </si>
  <si>
    <t>01   Alaptevékenység költségvetési bevételei</t>
  </si>
  <si>
    <t>02   Alaptevékenység költségvetési kiadásai</t>
  </si>
  <si>
    <t>I .Alaptevékenység költségvetési egyenlege (01-02)</t>
  </si>
  <si>
    <t>03  Alaptevékenység finanszírozási bevételei</t>
  </si>
  <si>
    <t>04  Alaptevékenység finanszírozási kiadásai</t>
  </si>
  <si>
    <t>II .Alaptevékenység finansz.egyenlege (03-04)</t>
  </si>
  <si>
    <t>A )Alaptevékenység maradványa (I +- II )</t>
  </si>
  <si>
    <t>05  Vállalkozási tevékenység kv.bevételei</t>
  </si>
  <si>
    <t>06  Vállalkozási tevékenység kv.kiadásai</t>
  </si>
  <si>
    <t>III .Vállalkozási tevékenység kv.egyenlege (05-06)</t>
  </si>
  <si>
    <t>07  Vállalkozási tevékenység fin.bevételei</t>
  </si>
  <si>
    <t>08  Vállalkozási tevékenység fin.kiadásai</t>
  </si>
  <si>
    <t>IV Vállalkozási tevékenység fin.egyenlege(07-08)</t>
  </si>
  <si>
    <t>B)Vállalkozási tevékenység maradványa</t>
  </si>
  <si>
    <t>C) Összes maradvány(A+B)</t>
  </si>
  <si>
    <t>D) Alaptevékenység kötelezettségvállalással terhelt maradványa</t>
  </si>
  <si>
    <t>E ) Alaptevékenység szabad maradványa (A-D)</t>
  </si>
  <si>
    <t>F ) Vállalkozási tevékenységet terhelő befizetési kötelezettség (B*0,1)</t>
  </si>
  <si>
    <t>G ) Vállalkozási tevékenység felhasználható maradványa (B-F)</t>
  </si>
  <si>
    <t>ESZKÖZÖK:</t>
  </si>
  <si>
    <t>INGATLANOK:</t>
  </si>
  <si>
    <r>
      <t xml:space="preserve">MAROSLELE ÖNKORMÁNYZATÁNAK </t>
    </r>
    <r>
      <rPr>
        <u/>
        <sz val="10"/>
        <rFont val="Times New Roman"/>
        <family val="1"/>
        <charset val="238"/>
      </rPr>
      <t xml:space="preserve">KIZÁRÓLAGOS </t>
    </r>
    <r>
      <rPr>
        <sz val="10"/>
        <rFont val="Times New Roman"/>
        <family val="1"/>
        <charset val="238"/>
      </rPr>
      <t>TULAJDONÁBAN ÁLLÓ FORGALOMKÉPTELEN TÖRZSVAGYONA (BELTERÜLET)</t>
    </r>
  </si>
  <si>
    <t>Hrsz.</t>
  </si>
  <si>
    <r>
      <t>terület m</t>
    </r>
    <r>
      <rPr>
        <b/>
        <vertAlign val="superscript"/>
        <sz val="10"/>
        <rFont val="Times New Roman"/>
        <family val="1"/>
        <charset val="238"/>
      </rPr>
      <t>2</t>
    </r>
  </si>
  <si>
    <t>műv. ág</t>
  </si>
  <si>
    <t>1/1,1/2</t>
  </si>
  <si>
    <t>Szabadság tér</t>
  </si>
  <si>
    <t>közterület</t>
  </si>
  <si>
    <t>Árpád utca</t>
  </si>
  <si>
    <t>József A. u.</t>
  </si>
  <si>
    <t xml:space="preserve">Vásárhelyi u. </t>
  </si>
  <si>
    <t>Rózsa u.</t>
  </si>
  <si>
    <t>Tulipán u.</t>
  </si>
  <si>
    <t xml:space="preserve">Hunyadi u. </t>
  </si>
  <si>
    <t>Névtelen u.</t>
  </si>
  <si>
    <t>Szegfű u.</t>
  </si>
  <si>
    <t>Táncsics u.</t>
  </si>
  <si>
    <t>Annus köz</t>
  </si>
  <si>
    <t>Dózsa Gy. u.</t>
  </si>
  <si>
    <t>Béke u.</t>
  </si>
  <si>
    <t>Makói u.</t>
  </si>
  <si>
    <t>617/1</t>
  </si>
  <si>
    <t>Hősök tere</t>
  </si>
  <si>
    <t>Pacsirta u.</t>
  </si>
  <si>
    <t>Petőfi u.</t>
  </si>
  <si>
    <t>Arany J. u.</t>
  </si>
  <si>
    <t>Köztársaság u.</t>
  </si>
  <si>
    <t>Damjanich u.</t>
  </si>
  <si>
    <t>Névtelen (játszótér)</t>
  </si>
  <si>
    <t>Kossuth u.</t>
  </si>
  <si>
    <t>Névtelen tér</t>
  </si>
  <si>
    <t>1003/1</t>
  </si>
  <si>
    <t>1003/3</t>
  </si>
  <si>
    <t>1071/1</t>
  </si>
  <si>
    <t>Rákóczi u.</t>
  </si>
  <si>
    <t>1071/5</t>
  </si>
  <si>
    <t>45.</t>
  </si>
  <si>
    <t>46.</t>
  </si>
  <si>
    <t>47.</t>
  </si>
  <si>
    <t>Béke utca</t>
  </si>
  <si>
    <t>árok</t>
  </si>
  <si>
    <t>48.</t>
  </si>
  <si>
    <t>Rákóczi utca</t>
  </si>
  <si>
    <t>49.</t>
  </si>
  <si>
    <t>Óvoda előtti parkoló</t>
  </si>
  <si>
    <r>
      <t xml:space="preserve">MAROSLELE ÖNKORMÁNYZATÁNAK </t>
    </r>
    <r>
      <rPr>
        <i/>
        <sz val="10"/>
        <rFont val="Times New Roman"/>
        <family val="1"/>
        <charset val="238"/>
      </rPr>
      <t>KIZÁRÓLAGOS</t>
    </r>
    <r>
      <rPr>
        <sz val="10"/>
        <rFont val="Times New Roman"/>
        <family val="1"/>
        <charset val="238"/>
      </rPr>
      <t xml:space="preserve"> TULAJDONÁT KÉPEZŐ FORGALOMKÉPTELEN TÖRZSVAGYONA (KÜLTERÜLET)</t>
    </r>
  </si>
  <si>
    <t>hrsz.</t>
  </si>
  <si>
    <t>út(földút)</t>
  </si>
  <si>
    <t xml:space="preserve">   út(földút)</t>
  </si>
  <si>
    <t>074/1</t>
  </si>
  <si>
    <t>082/4</t>
  </si>
  <si>
    <t>0103/2</t>
  </si>
  <si>
    <t>0112/2</t>
  </si>
  <si>
    <t>0216/4</t>
  </si>
  <si>
    <t>közút (dögtér)</t>
  </si>
  <si>
    <t>0222/2</t>
  </si>
  <si>
    <t>0223/2</t>
  </si>
  <si>
    <t>0288/2</t>
  </si>
  <si>
    <t>0298/1</t>
  </si>
  <si>
    <t>0300/9</t>
  </si>
  <si>
    <t>0300/11</t>
  </si>
  <si>
    <t>0342/18</t>
  </si>
  <si>
    <t>út</t>
  </si>
  <si>
    <t>0363/1</t>
  </si>
  <si>
    <t>0363/3</t>
  </si>
  <si>
    <t>0395/53</t>
  </si>
  <si>
    <t>0396/8</t>
  </si>
  <si>
    <t>0396/51</t>
  </si>
  <si>
    <t>0205/18</t>
  </si>
  <si>
    <t>0238/7</t>
  </si>
  <si>
    <t>0205/11</t>
  </si>
  <si>
    <t>0238/2</t>
  </si>
  <si>
    <t>0238/14</t>
  </si>
  <si>
    <t>0238/15</t>
  </si>
  <si>
    <t>0238/16</t>
  </si>
  <si>
    <t>0270/29</t>
  </si>
  <si>
    <t>0292/1</t>
  </si>
  <si>
    <t>031/45</t>
  </si>
  <si>
    <t>02)1</t>
  </si>
  <si>
    <t>02)3</t>
  </si>
  <si>
    <t>Út(földút)</t>
  </si>
  <si>
    <t>09)2</t>
  </si>
  <si>
    <t>50.</t>
  </si>
  <si>
    <t>51.</t>
  </si>
  <si>
    <t>014/6</t>
  </si>
  <si>
    <t>52.</t>
  </si>
  <si>
    <t>014/8</t>
  </si>
  <si>
    <t>53.</t>
  </si>
  <si>
    <t>54.</t>
  </si>
  <si>
    <t>026/1</t>
  </si>
  <si>
    <t>55.</t>
  </si>
  <si>
    <t>56.</t>
  </si>
  <si>
    <t>57.</t>
  </si>
  <si>
    <t>0124/1</t>
  </si>
  <si>
    <t>58.</t>
  </si>
  <si>
    <t>0124/3</t>
  </si>
  <si>
    <t>59.</t>
  </si>
  <si>
    <t>0222/4</t>
  </si>
  <si>
    <t>60.</t>
  </si>
  <si>
    <t>0270/41</t>
  </si>
  <si>
    <t>61.</t>
  </si>
  <si>
    <t>0294/1</t>
  </si>
  <si>
    <t>62.</t>
  </si>
  <si>
    <t>0294/3</t>
  </si>
  <si>
    <t>63.</t>
  </si>
  <si>
    <t>64.</t>
  </si>
  <si>
    <t>65.</t>
  </si>
  <si>
    <t>0395/48</t>
  </si>
  <si>
    <t>66.</t>
  </si>
  <si>
    <t>0226/4</t>
  </si>
  <si>
    <t>67.</t>
  </si>
  <si>
    <t>68.</t>
  </si>
  <si>
    <t>69.</t>
  </si>
  <si>
    <t>0322/4</t>
  </si>
  <si>
    <t>70.</t>
  </si>
  <si>
    <t>0322/24</t>
  </si>
  <si>
    <t>71.</t>
  </si>
  <si>
    <t>72.</t>
  </si>
  <si>
    <t>0372/2</t>
  </si>
  <si>
    <t>73.</t>
  </si>
  <si>
    <t>74.</t>
  </si>
  <si>
    <t>zártkert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</si>
  <si>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</si>
  <si>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</si>
  <si>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</si>
  <si>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</si>
  <si>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</si>
  <si>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</si>
  <si>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</si>
  <si>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</si>
  <si>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</si>
  <si>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</si>
  <si>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0374/10</t>
  </si>
  <si>
    <t>85.</t>
  </si>
  <si>
    <t>05)2</t>
  </si>
  <si>
    <t>86.</t>
  </si>
  <si>
    <t>014/3</t>
  </si>
  <si>
    <t>csatorna</t>
  </si>
  <si>
    <t>87.</t>
  </si>
  <si>
    <t>014/5</t>
  </si>
  <si>
    <t>88.</t>
  </si>
  <si>
    <t>0222/3</t>
  </si>
  <si>
    <t>89.</t>
  </si>
  <si>
    <t>90.</t>
  </si>
  <si>
    <t>91.</t>
  </si>
  <si>
    <t>92.</t>
  </si>
  <si>
    <t>0284/1</t>
  </si>
  <si>
    <t>93.</t>
  </si>
  <si>
    <t>0284/3</t>
  </si>
  <si>
    <t>94.</t>
  </si>
  <si>
    <t>95.</t>
  </si>
  <si>
    <t>0300/15</t>
  </si>
  <si>
    <t>96.</t>
  </si>
  <si>
    <t>97.</t>
  </si>
  <si>
    <t>98.</t>
  </si>
  <si>
    <t>0372/1</t>
  </si>
  <si>
    <t>99.</t>
  </si>
  <si>
    <t>100.</t>
  </si>
  <si>
    <t>101.</t>
  </si>
  <si>
    <t>026/2</t>
  </si>
  <si>
    <t>102.</t>
  </si>
  <si>
    <t>0222/5</t>
  </si>
  <si>
    <t>103.</t>
  </si>
  <si>
    <t>104.</t>
  </si>
  <si>
    <t>105.</t>
  </si>
  <si>
    <t>0281/1</t>
  </si>
  <si>
    <t>106.</t>
  </si>
  <si>
    <t>0281/3</t>
  </si>
  <si>
    <t>107.</t>
  </si>
  <si>
    <t>108.</t>
  </si>
  <si>
    <t>109.</t>
  </si>
  <si>
    <t>110.</t>
  </si>
  <si>
    <t>111.</t>
  </si>
  <si>
    <t>112.</t>
  </si>
  <si>
    <t>113.</t>
  </si>
  <si>
    <t>0395/45</t>
  </si>
  <si>
    <t>114.</t>
  </si>
  <si>
    <t>115.</t>
  </si>
  <si>
    <t>116.</t>
  </si>
  <si>
    <t>0226/3</t>
  </si>
  <si>
    <t>117.</t>
  </si>
  <si>
    <t>118.</t>
  </si>
  <si>
    <t>119.</t>
  </si>
  <si>
    <t>0283/2</t>
  </si>
  <si>
    <t>120.</t>
  </si>
  <si>
    <t>0288/3</t>
  </si>
  <si>
    <t>121.</t>
  </si>
  <si>
    <t>122.</t>
  </si>
  <si>
    <t>123.</t>
  </si>
  <si>
    <t>124.</t>
  </si>
  <si>
    <t>töltés</t>
  </si>
  <si>
    <t>125.</t>
  </si>
  <si>
    <t>126.</t>
  </si>
  <si>
    <t>0300/3</t>
  </si>
  <si>
    <t>127.</t>
  </si>
  <si>
    <t>128.</t>
  </si>
  <si>
    <t>034/4</t>
  </si>
  <si>
    <t>129.</t>
  </si>
  <si>
    <t>039/4</t>
  </si>
  <si>
    <t>130.</t>
  </si>
  <si>
    <t>039/6</t>
  </si>
  <si>
    <t>131.</t>
  </si>
  <si>
    <t>132.</t>
  </si>
  <si>
    <t>067/5</t>
  </si>
  <si>
    <t>133.</t>
  </si>
  <si>
    <t>085/5</t>
  </si>
  <si>
    <t>134.</t>
  </si>
  <si>
    <t>0185/64</t>
  </si>
  <si>
    <t>135.</t>
  </si>
  <si>
    <t>0214/2</t>
  </si>
  <si>
    <t>136.</t>
  </si>
  <si>
    <t>0216/9</t>
  </si>
  <si>
    <t>137.</t>
  </si>
  <si>
    <t>0240/4</t>
  </si>
  <si>
    <t>138.</t>
  </si>
  <si>
    <t>0243/2</t>
  </si>
  <si>
    <t>139.</t>
  </si>
  <si>
    <t>0247/14</t>
  </si>
  <si>
    <t>140.</t>
  </si>
  <si>
    <t>064/4</t>
  </si>
  <si>
    <t>141.</t>
  </si>
  <si>
    <t>0185/90</t>
  </si>
  <si>
    <t>142.</t>
  </si>
  <si>
    <t>0201/5</t>
  </si>
  <si>
    <t>143.</t>
  </si>
  <si>
    <t>144.</t>
  </si>
  <si>
    <t>0207/2</t>
  </si>
  <si>
    <t>145.</t>
  </si>
  <si>
    <t>0211/2</t>
  </si>
  <si>
    <t>146.</t>
  </si>
  <si>
    <t>147.</t>
  </si>
  <si>
    <t>148.</t>
  </si>
  <si>
    <t>051/1</t>
  </si>
  <si>
    <t>149.</t>
  </si>
  <si>
    <t>053/1</t>
  </si>
  <si>
    <t>150.</t>
  </si>
  <si>
    <t>0185/60</t>
  </si>
  <si>
    <t>151.</t>
  </si>
  <si>
    <t>0185/61</t>
  </si>
  <si>
    <t>152.</t>
  </si>
  <si>
    <t>0185/63</t>
  </si>
  <si>
    <t>153.</t>
  </si>
  <si>
    <t>0185/86</t>
  </si>
  <si>
    <t>154.</t>
  </si>
  <si>
    <t>0185/97</t>
  </si>
  <si>
    <t>155.</t>
  </si>
  <si>
    <t>0201/7</t>
  </si>
  <si>
    <t>156.</t>
  </si>
  <si>
    <t>0205/5</t>
  </si>
  <si>
    <t>157.</t>
  </si>
  <si>
    <t>158.</t>
  </si>
  <si>
    <t>0211/10</t>
  </si>
  <si>
    <t>159.</t>
  </si>
  <si>
    <t>160.</t>
  </si>
  <si>
    <t>0240/5</t>
  </si>
  <si>
    <t>161.</t>
  </si>
  <si>
    <t>0241/1</t>
  </si>
  <si>
    <t>162.</t>
  </si>
  <si>
    <t>163.</t>
  </si>
  <si>
    <t>164.</t>
  </si>
  <si>
    <t>0247/17</t>
  </si>
  <si>
    <t>165.</t>
  </si>
  <si>
    <t>166.</t>
  </si>
  <si>
    <t>0245/1</t>
  </si>
  <si>
    <r>
      <t>MAROSLELE ÖNKORMÁNYZATÁNAK NEMZETGAZDASÁGI SZEMPONTBÓL</t>
    </r>
    <r>
      <rPr>
        <u/>
        <sz val="10"/>
        <rFont val="Times New Roman"/>
        <family val="1"/>
        <charset val="238"/>
      </rPr>
      <t xml:space="preserve"> KIEMELT JELENTŐSÉGŰ</t>
    </r>
    <r>
      <rPr>
        <sz val="10"/>
        <rFont val="Times New Roman"/>
        <family val="1"/>
        <charset val="238"/>
      </rPr>
      <t xml:space="preserve"> NEMZETI VAGYONA</t>
    </r>
  </si>
  <si>
    <t>038.</t>
  </si>
  <si>
    <t>lőtér</t>
  </si>
  <si>
    <t>044/6</t>
  </si>
  <si>
    <t>kivett</t>
  </si>
  <si>
    <t>044/3</t>
  </si>
  <si>
    <t>Sporttelep</t>
  </si>
  <si>
    <t>sporttelep</t>
  </si>
  <si>
    <t>Temető</t>
  </si>
  <si>
    <t>temető</t>
  </si>
  <si>
    <t>Vízmű vagyon épületei és építményei</t>
  </si>
  <si>
    <t>Szennyvízcsatorna hálózat építményei</t>
  </si>
  <si>
    <r>
      <t xml:space="preserve">MAROSLELE ÖNKORMÁNYZATÁNAK </t>
    </r>
    <r>
      <rPr>
        <u/>
        <sz val="10"/>
        <rFont val="Times New Roman"/>
        <family val="1"/>
        <charset val="238"/>
      </rPr>
      <t>KORLÁTOZOTTAN  FORGALOMKÉPES</t>
    </r>
    <r>
      <rPr>
        <sz val="10"/>
        <rFont val="Times New Roman"/>
        <family val="1"/>
        <charset val="238"/>
      </rPr>
      <t xml:space="preserve"> TÖRZSVAGYONA (BELTERÜLET)</t>
    </r>
  </si>
  <si>
    <t>Árpád u. 2  .(Vagyonkezelésbe adva a Hódmezővásárhelyi Tankerületi  Központnak)</t>
  </si>
  <si>
    <t>ált. iskola</t>
  </si>
  <si>
    <t>Szabadság tér 1.</t>
  </si>
  <si>
    <t>községháza</t>
  </si>
  <si>
    <t>Petőfi u. 4.</t>
  </si>
  <si>
    <t>idősek klubja</t>
  </si>
  <si>
    <t>Petőfi u. 6.</t>
  </si>
  <si>
    <t>orvosi rendelő</t>
  </si>
  <si>
    <t>42)1</t>
  </si>
  <si>
    <t>Árpád u. 19.</t>
  </si>
  <si>
    <t>Óvoda</t>
  </si>
  <si>
    <t>42)2</t>
  </si>
  <si>
    <t>Árpád u.19.</t>
  </si>
  <si>
    <t>óvoda</t>
  </si>
  <si>
    <t>Szabadság tér 5.</t>
  </si>
  <si>
    <t>műv. ház</t>
  </si>
  <si>
    <t>Táncsics u. 20.</t>
  </si>
  <si>
    <t>kert</t>
  </si>
  <si>
    <t>Táncsics u. 14.</t>
  </si>
  <si>
    <t>Szegfű u. 4.</t>
  </si>
  <si>
    <t>Szegfű u. 2.</t>
  </si>
  <si>
    <t>Makói u. 2.</t>
  </si>
  <si>
    <t xml:space="preserve"> könyvtár</t>
  </si>
  <si>
    <t>Kossuth u. 16.</t>
  </si>
  <si>
    <t>Damjanich u. 71.</t>
  </si>
  <si>
    <t>669/4</t>
  </si>
  <si>
    <t>Vályogos</t>
  </si>
  <si>
    <t>Szegfű u. 21-23.</t>
  </si>
  <si>
    <t>231/2</t>
  </si>
  <si>
    <t xml:space="preserve"> telek</t>
  </si>
  <si>
    <t>Arany J. u. 9.</t>
  </si>
  <si>
    <t>vízmű telek</t>
  </si>
  <si>
    <t>Arany J. u. 11.</t>
  </si>
  <si>
    <t>Rákóczi u. 141.</t>
  </si>
  <si>
    <t>1024.</t>
  </si>
  <si>
    <t>Petőfi u.34.</t>
  </si>
  <si>
    <t>szociális bérház</t>
  </si>
  <si>
    <t>Makó szivattyúház</t>
  </si>
  <si>
    <t xml:space="preserve">vízmű </t>
  </si>
  <si>
    <t>MAROSLELE ÖNKORMÁNYZATÁNAK KORLÁTOZOTTAN FORGALOMKÉPES TÖRZSVAGYONA (KÜLTERÜLET)</t>
  </si>
  <si>
    <t>0221/3</t>
  </si>
  <si>
    <t>0221/4</t>
  </si>
  <si>
    <t>Kereskedelmi és gazdainformációs Központ</t>
  </si>
  <si>
    <t>038</t>
  </si>
  <si>
    <t>sportöltöző</t>
  </si>
  <si>
    <r>
      <t xml:space="preserve">MAROSLELE ÖNKORMÁNYZATÁNAK </t>
    </r>
    <r>
      <rPr>
        <u/>
        <sz val="10"/>
        <rFont val="Times New Roman"/>
        <family val="1"/>
        <charset val="238"/>
      </rPr>
      <t>ÜZLETI</t>
    </r>
    <r>
      <rPr>
        <sz val="10"/>
        <rFont val="Times New Roman"/>
        <family val="1"/>
        <charset val="238"/>
      </rPr>
      <t xml:space="preserve"> VAGYONA</t>
    </r>
  </si>
  <si>
    <r>
      <t>FORGALOMKÉPES  INGATLANOK (</t>
    </r>
    <r>
      <rPr>
        <b/>
        <sz val="10"/>
        <rFont val="Times New Roman"/>
        <family val="1"/>
        <charset val="238"/>
      </rPr>
      <t>BELTERÜLET</t>
    </r>
    <r>
      <rPr>
        <sz val="10"/>
        <rFont val="Times New Roman"/>
        <family val="1"/>
        <charset val="238"/>
      </rPr>
      <t>)</t>
    </r>
  </si>
  <si>
    <t>220/3</t>
  </si>
  <si>
    <t>Rózsa u. 17/b</t>
  </si>
  <si>
    <t>lakóház udvar</t>
  </si>
  <si>
    <t>Dózsa Gy. u. 34.</t>
  </si>
  <si>
    <t>Szabadság tér 8.</t>
  </si>
  <si>
    <t>220/1</t>
  </si>
  <si>
    <t>Hunyadi u. 12.</t>
  </si>
  <si>
    <t>épület</t>
  </si>
  <si>
    <t>116/5</t>
  </si>
  <si>
    <t>Rózsa u. 103/a.</t>
  </si>
  <si>
    <t>Rózsa u. 76.</t>
  </si>
  <si>
    <t>Szegfű u. 65.</t>
  </si>
  <si>
    <t>Szegfű u. 67.</t>
  </si>
  <si>
    <t>Szegfű u. 69.</t>
  </si>
  <si>
    <t>Szegfű u. 71.</t>
  </si>
  <si>
    <t>Szegfű u. 73.</t>
  </si>
  <si>
    <t>Szegfű u. 79.</t>
  </si>
  <si>
    <t>Szegfű u. 90.</t>
  </si>
  <si>
    <t xml:space="preserve">Szegfű u. 86. </t>
  </si>
  <si>
    <t>Szegfű u. 84.</t>
  </si>
  <si>
    <t>Szegfű u. 80.</t>
  </si>
  <si>
    <t>Szegfű u. 76.</t>
  </si>
  <si>
    <t>Szegfű u. 74.</t>
  </si>
  <si>
    <t>Táncsics u. 61.</t>
  </si>
  <si>
    <t>Táncsics u. 63.</t>
  </si>
  <si>
    <t>Táncsics u. 65.</t>
  </si>
  <si>
    <t>Táncsics u. 69.</t>
  </si>
  <si>
    <t>Táncsics u. 71.</t>
  </si>
  <si>
    <t>Táncsics u. 75.</t>
  </si>
  <si>
    <t>Táncsics u. 96.</t>
  </si>
  <si>
    <t>Táncsics u. 94.</t>
  </si>
  <si>
    <t>Táncsics u. 92.</t>
  </si>
  <si>
    <t>Táncsics u. 90.</t>
  </si>
  <si>
    <t>Táncsics u. 88.</t>
  </si>
  <si>
    <t xml:space="preserve">Táncsics u. 82. </t>
  </si>
  <si>
    <t>Táncsics u. 76.</t>
  </si>
  <si>
    <t>Táncsics u. 68.</t>
  </si>
  <si>
    <t>Szegfű u. 58.</t>
  </si>
  <si>
    <t>Szegfű u. 54.</t>
  </si>
  <si>
    <t>Táncsics u. 31.</t>
  </si>
  <si>
    <t>Táncsics u. 43.</t>
  </si>
  <si>
    <t>Táncsics u. 47.</t>
  </si>
  <si>
    <t>Táncsics u. 49.</t>
  </si>
  <si>
    <t>Táncsics u. 51.</t>
  </si>
  <si>
    <t>Táncsics u. 55.</t>
  </si>
  <si>
    <t>Táncsics u. 57.</t>
  </si>
  <si>
    <t>Táncsics u. 59.</t>
  </si>
  <si>
    <t>Táncsics u. 66.</t>
  </si>
  <si>
    <t>Táncsics u. 62.</t>
  </si>
  <si>
    <t>Táncsics u. 52.</t>
  </si>
  <si>
    <t>Táncsics u. 48.</t>
  </si>
  <si>
    <t>Táncsics u. 42.</t>
  </si>
  <si>
    <t>Táncsics u. 38.</t>
  </si>
  <si>
    <t>Táncsics u. 5.</t>
  </si>
  <si>
    <t>Táncsics u. 7.</t>
  </si>
  <si>
    <t>Táncsics u. 11.</t>
  </si>
  <si>
    <t>Damjanich u. 65.</t>
  </si>
  <si>
    <t>Damjanich u. 82.</t>
  </si>
  <si>
    <t>Béke u. 46.</t>
  </si>
  <si>
    <t>Kossuth u. 58.</t>
  </si>
  <si>
    <t>Kossuth  u. 93.</t>
  </si>
  <si>
    <t>18/A</t>
  </si>
  <si>
    <t>Pavilon</t>
  </si>
  <si>
    <r>
      <t>FORGALOMKÉPES INGATLANOK (</t>
    </r>
    <r>
      <rPr>
        <b/>
        <sz val="10"/>
        <rFont val="Times New Roman"/>
        <family val="1"/>
        <charset val="238"/>
      </rPr>
      <t>KÜLTERÜLET</t>
    </r>
    <r>
      <rPr>
        <sz val="10"/>
        <rFont val="Times New Roman"/>
        <family val="1"/>
        <charset val="238"/>
      </rPr>
      <t>)</t>
    </r>
  </si>
  <si>
    <t>terület m2</t>
  </si>
  <si>
    <t>0319/8</t>
  </si>
  <si>
    <t>szántó</t>
  </si>
  <si>
    <t>0309/9</t>
  </si>
  <si>
    <t xml:space="preserve">szántó </t>
  </si>
  <si>
    <t>0309/10</t>
  </si>
  <si>
    <t>0395/57</t>
  </si>
  <si>
    <t>0395/73</t>
  </si>
  <si>
    <t>IMMATERIÁLIS  JAVAK(nyilvántartási) NETTÓ ÉRTÉKE ÖSSZESEN:</t>
  </si>
  <si>
    <t>INGATLANOK (nyilvántartási )NETTÓ ÉRTÉKE ÖSSZESEN:</t>
  </si>
  <si>
    <t>GÉPEK,BERENDEZÉSEK,FELSZERELÉSEK NETTÓ ÉRTÉKE:</t>
  </si>
  <si>
    <t>FOLYAMATBAN LÉVŐ  FELÚJÍTÁSOK, BERUHÁZÁSOK:</t>
  </si>
  <si>
    <t>- Ipari park kialakítás</t>
  </si>
  <si>
    <t>- Árpád u.2.felújítás tervei</t>
  </si>
  <si>
    <t>- Szabadság tér 8.épületfelújítás tervei</t>
  </si>
  <si>
    <t xml:space="preserve">  -  kistermelői piac felújítás tervek</t>
  </si>
  <si>
    <t>310eFt</t>
  </si>
  <si>
    <t>BEFEKTETETT PÉNZÜGYI ESZKÖZÖK:</t>
  </si>
  <si>
    <t>Nyilvántartott érték</t>
  </si>
  <si>
    <t>Részesedések:</t>
  </si>
  <si>
    <t>Nemzetgazdasági szempontból  kiemelt jelentőségű nemzeti vagyon:</t>
  </si>
  <si>
    <t xml:space="preserve">Forgalomképes üzleti vagyon: </t>
  </si>
  <si>
    <t>NEMZETI VAGYONBA TARTOZÓ BEFEKTETETT ESZKÖZÖK ÖSSZESEN:</t>
  </si>
  <si>
    <t>KÉSZTERMÉKEK</t>
  </si>
  <si>
    <t>eFt</t>
  </si>
  <si>
    <t>Gazdainformációs központ , START munka késztermékei</t>
  </si>
  <si>
    <t>PÉNZESZKÖZÖK:</t>
  </si>
  <si>
    <t>Pénztárak egyenlege:</t>
  </si>
  <si>
    <t>Bankszámlák egyenlege :</t>
  </si>
  <si>
    <t>KÖVETELÉSEK:</t>
  </si>
  <si>
    <t>Követelések közhatalmi bevételre</t>
  </si>
  <si>
    <t>Követelések működési bevételre</t>
  </si>
  <si>
    <t>Követelések működési c.átvett pénzeszközre</t>
  </si>
  <si>
    <t>Követelések felhalm.kölcsönökre</t>
  </si>
  <si>
    <t>Követelések működési kölcsönökre</t>
  </si>
  <si>
    <t>Követelés jell.sajátos elszámolások</t>
  </si>
  <si>
    <t>Egyéb sajátos eszközoldali elszámolások (ÁFA-val kapcsolatos elszámolások)</t>
  </si>
  <si>
    <t>eft</t>
  </si>
  <si>
    <t>ESZKÖZÖK ÖSSZESEN:</t>
  </si>
  <si>
    <t>SAJÁT TŐKE :</t>
  </si>
  <si>
    <t>Nemzeti vagyon induláskori értéke</t>
  </si>
  <si>
    <t xml:space="preserve"> Nemzeti vagyon változása</t>
  </si>
  <si>
    <t>Egyéb eszközök induláskori értéke és változásai</t>
  </si>
  <si>
    <t>Felhalmozott eredmény</t>
  </si>
  <si>
    <t>Mérleg szerinti eredmény</t>
  </si>
  <si>
    <t>KÖTELEZETTSÉGEK :</t>
  </si>
  <si>
    <t>Kötelezettségek dologi kiadásokra</t>
  </si>
  <si>
    <t>Kötelezettségek felújítási kiadásokra</t>
  </si>
  <si>
    <t>Kötelezettség áh.belüli megelőlegezés miatt</t>
  </si>
  <si>
    <t>PASSZÍV IDŐBELI ELHATÁROLÁSOK</t>
  </si>
  <si>
    <t>Költségek ,ráfordítások passzív időbeli elhatárolása</t>
  </si>
  <si>
    <t>Halasztott eredményszemléletű bevételek</t>
  </si>
  <si>
    <t>FORRÁSOK ÖSSZESEN:</t>
  </si>
  <si>
    <t>Összesítő kimutatás a bankszámla és pénztár egyenlegekről</t>
  </si>
  <si>
    <t>(adatok eFt-ban)</t>
  </si>
  <si>
    <t xml:space="preserve">Megnevezés </t>
  </si>
  <si>
    <t>Maroslelei Polgármesteri Hivatal</t>
  </si>
  <si>
    <t>Maroslelei Egyesített Egészségügyi és Szociális Intézmény</t>
  </si>
  <si>
    <t>Nyitó pénzkészlet</t>
  </si>
  <si>
    <t xml:space="preserve">  - költségvetési bankszámlák egyenlege</t>
  </si>
  <si>
    <t xml:space="preserve">  - pénztár egyenleg </t>
  </si>
  <si>
    <t>Záró pénzkészlet</t>
  </si>
  <si>
    <t>Dologi kiadás (szociális tüzifa)</t>
  </si>
  <si>
    <t>EFOP-1.5.3  mintaház kialakítás,kisértékű tárgyi eszk</t>
  </si>
  <si>
    <t>EFOP-3.9.2 Projekt iroda kialakítása(bútorok,kisért.tárgyi)</t>
  </si>
  <si>
    <t>Dologi kiadások (hitel kamat)</t>
  </si>
  <si>
    <t>Működőképesség megőrzését szolgáló támog.,működési c.kv.támogatások</t>
  </si>
  <si>
    <t>Államháztartási megelőlegezés</t>
  </si>
  <si>
    <t xml:space="preserve"> -  államháztartási megelőlegezés</t>
  </si>
  <si>
    <t>mód.ei.</t>
  </si>
  <si>
    <t>Áthúzódó bérkompenzáció támogatása</t>
  </si>
  <si>
    <t>Szociális ágazatban dolgozó bérpótléka</t>
  </si>
  <si>
    <t>EFOP-1.5.3 Mintaház kialakítás tárgyi esz.besz.</t>
  </si>
  <si>
    <t>EFOP-3.9.2 Projekt iroda kialakítása tárgyi eszk.besz.</t>
  </si>
  <si>
    <t>Ellátottak pénzbeli juttatásai (Arany J.)</t>
  </si>
  <si>
    <t>EFOP-1.5.3 Mintaház kialakítás(kisért.tárgyi eszk)</t>
  </si>
  <si>
    <t>EFOP-3.9.2 Projekt iroda kialakítása(kisért.tárgyi e.)</t>
  </si>
  <si>
    <t>ebből fejlesztés fordított ÁFA-ja</t>
  </si>
  <si>
    <t xml:space="preserve"> - Működőképesség megőrzését szolgáló támog.,működési c.kv.támogatások</t>
  </si>
  <si>
    <t>Kimutatás a 2018.évben képződött maradványokról</t>
  </si>
  <si>
    <t>Az önkormányzat több éves kihatással járó döntései</t>
  </si>
  <si>
    <t>ezer forintban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</si>
  <si>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</si>
  <si>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</si>
  <si>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</si>
  <si>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</si>
  <si>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</si>
  <si>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</si>
  <si>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</si>
  <si>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</si>
  <si>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 xml:space="preserve">2. </t>
  </si>
  <si>
    <t>Hiteltörlesztés (kamat)</t>
  </si>
  <si>
    <t>Pénzkészlet összesen 2018.január 01 -én</t>
  </si>
  <si>
    <t>Pénzkészlet összesen 2018. december 31-én</t>
  </si>
  <si>
    <t>ÖNKORMÁNYZAT LELTÁRA A 2018.ÉVI ZÁRSZÁMADÁSI RENDELETHEZ:</t>
  </si>
  <si>
    <t xml:space="preserve"> - Erzsébet utalvány gyermekv.ked.részesülőknek</t>
  </si>
  <si>
    <t xml:space="preserve"> - földalapú támogatások</t>
  </si>
  <si>
    <t xml:space="preserve"> - GINOP támogatás</t>
  </si>
  <si>
    <t xml:space="preserve"> - fel nem használt BURSA</t>
  </si>
  <si>
    <t xml:space="preserve"> - Makó Város önk. átvett pe. </t>
  </si>
  <si>
    <t xml:space="preserve"> - OGY választásra átvett pe. </t>
  </si>
  <si>
    <t>Működési  célú pénzeszköz átvétel és kölcsöntérülés</t>
  </si>
  <si>
    <t xml:space="preserve"> - Lelei Napokra átvett pe.</t>
  </si>
  <si>
    <t>Kölcsön térülések</t>
  </si>
  <si>
    <t>Felhalmozási célú pénzeszköz átvétel,kölcsön térülés</t>
  </si>
  <si>
    <t>Átvett pénzeszköz,támogatás</t>
  </si>
  <si>
    <t>Ebből :EFOP 3.9.2- Iskolarendszeren kívüli egyéb képzés</t>
  </si>
  <si>
    <t>Személyi jellegű kiadás (Baba-mama klub)</t>
  </si>
  <si>
    <t>Személyi jellegű kiadás  (workshop)</t>
  </si>
  <si>
    <t>Személyi jellegű kiadás  (szülő-gyerek családi nap)</t>
  </si>
  <si>
    <t xml:space="preserve"> -  kerékpárút </t>
  </si>
  <si>
    <t xml:space="preserve">  -  mederelem beszerzések</t>
  </si>
  <si>
    <t>Összesen:</t>
  </si>
  <si>
    <t xml:space="preserve">  -  Piac (tervek)</t>
  </si>
  <si>
    <t>teljesítés</t>
  </si>
  <si>
    <t>Banat-Triplex</t>
  </si>
  <si>
    <t>VÁSÁROLT TERMÉKEK(szoc.tüzifa)</t>
  </si>
  <si>
    <t>(0-ra leírt ingatlanok értéke : 2.884 eFt)</t>
  </si>
  <si>
    <t>(0-ra leírt gépek,berendezések,felszerelések,kisértékű eszközök  bruttó értéke:  106193eFt)</t>
  </si>
  <si>
    <t xml:space="preserve"> - Csm-i Településtisztasági Kft : 50 </t>
  </si>
  <si>
    <t xml:space="preserve">  - Alföldvíz Zrt részesedés 140</t>
  </si>
  <si>
    <t xml:space="preserve">LeleInnov Kft törzstőke 3000 </t>
  </si>
  <si>
    <t>Fejlesztési célú hitel</t>
  </si>
  <si>
    <t xml:space="preserve">  -  polgármester</t>
  </si>
  <si>
    <t xml:space="preserve">     munkatörvénykönyve alá tartozó</t>
  </si>
  <si>
    <t>Fejlesztési célú hitel törlesztés (tőke)</t>
  </si>
  <si>
    <t xml:space="preserve">Fejlesztések áfája </t>
  </si>
  <si>
    <t>Kimutatás Maroslele Község Önkormányzat tulajdonában álló gazdálkodó szervezetek</t>
  </si>
  <si>
    <t>Gazdálkodó szervezet megnevezése</t>
  </si>
  <si>
    <t>Részesedés értéke</t>
  </si>
  <si>
    <t>Részesedés könyv szerinti értéke</t>
  </si>
  <si>
    <t>működéséből származó kötelezettségek és részesedések alakulása 2018.évben</t>
  </si>
  <si>
    <t>LeleInnov Befektetési és Szolgáltató Nonprofit Kft.</t>
  </si>
  <si>
    <t xml:space="preserve"> 11.melléklet a 9/2019.(V.29.) önkormányzati rendelethez</t>
  </si>
  <si>
    <t>12.melléklet  9/2019.(V.29.)önkormányzati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</si>
</sst>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.0"/>
    <numFmt numFmtId="166" formatCode="_-* #,##0\ _F_t_-;\-* #,##0\ _F_t_-;_-* &quot;-&quot;??\ _F_t_-;_-@_-"/>
  </numFmts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Arial CE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</font>
    <font>
      <sz val="9"/>
      <name val="Times New Roman"/>
      <family val="1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</cellStyleXfs>
  <cellXfs count="763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3" fillId="0" borderId="6" xfId="0" applyFont="1" applyBorder="1" applyAlignment="1">
      <alignment horizontal="center"/>
    </xf>
    <xf numFmtId="3" fontId="4" fillId="0" borderId="0" xfId="0" applyNumberFormat="1" applyFont="1"/>
    <xf numFmtId="0" fontId="4" fillId="0" borderId="12" xfId="0" applyFont="1" applyBorder="1"/>
    <xf numFmtId="0" fontId="4" fillId="0" borderId="13" xfId="0" applyFont="1" applyBorder="1"/>
    <xf numFmtId="0" fontId="3" fillId="0" borderId="15" xfId="0" applyFont="1" applyBorder="1"/>
    <xf numFmtId="3" fontId="3" fillId="0" borderId="16" xfId="0" applyNumberFormat="1" applyFont="1" applyBorder="1"/>
    <xf numFmtId="3" fontId="3" fillId="0" borderId="17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17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14" fontId="3" fillId="0" borderId="15" xfId="0" applyNumberFormat="1" applyFont="1" applyBorder="1" applyAlignment="1">
      <alignment horizontal="center"/>
    </xf>
    <xf numFmtId="14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wrapText="1"/>
    </xf>
    <xf numFmtId="14" fontId="3" fillId="0" borderId="27" xfId="0" applyNumberFormat="1" applyFont="1" applyBorder="1" applyAlignment="1">
      <alignment horizontal="right"/>
    </xf>
    <xf numFmtId="14" fontId="4" fillId="0" borderId="28" xfId="0" applyNumberFormat="1" applyFont="1" applyBorder="1"/>
    <xf numFmtId="0" fontId="4" fillId="0" borderId="29" xfId="0" applyFont="1" applyBorder="1"/>
    <xf numFmtId="0" fontId="4" fillId="0" borderId="15" xfId="0" applyFont="1" applyBorder="1" applyAlignment="1">
      <alignment horizontal="left" wrapText="1"/>
    </xf>
    <xf numFmtId="3" fontId="4" fillId="0" borderId="15" xfId="0" applyNumberFormat="1" applyFont="1" applyBorder="1"/>
    <xf numFmtId="3" fontId="4" fillId="0" borderId="26" xfId="0" applyNumberFormat="1" applyFont="1" applyBorder="1"/>
    <xf numFmtId="0" fontId="4" fillId="0" borderId="30" xfId="0" applyFont="1" applyBorder="1"/>
    <xf numFmtId="0" fontId="4" fillId="0" borderId="31" xfId="0" applyFont="1" applyBorder="1" applyAlignment="1">
      <alignment horizontal="left" wrapText="1"/>
    </xf>
    <xf numFmtId="3" fontId="4" fillId="0" borderId="31" xfId="0" applyNumberFormat="1" applyFont="1" applyBorder="1"/>
    <xf numFmtId="0" fontId="3" fillId="0" borderId="33" xfId="0" applyFont="1" applyBorder="1" applyAlignment="1">
      <alignment horizontal="left" wrapText="1"/>
    </xf>
    <xf numFmtId="3" fontId="3" fillId="0" borderId="33" xfId="0" applyNumberFormat="1" applyFont="1" applyBorder="1"/>
    <xf numFmtId="0" fontId="4" fillId="0" borderId="35" xfId="0" applyFont="1" applyBorder="1"/>
    <xf numFmtId="0" fontId="4" fillId="0" borderId="12" xfId="0" applyFont="1" applyBorder="1" applyAlignment="1">
      <alignment horizontal="left" wrapText="1"/>
    </xf>
    <xf numFmtId="3" fontId="4" fillId="0" borderId="12" xfId="0" applyNumberFormat="1" applyFont="1" applyBorder="1"/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left" wrapText="1"/>
    </xf>
    <xf numFmtId="3" fontId="3" fillId="0" borderId="38" xfId="0" applyNumberFormat="1" applyFont="1" applyBorder="1" applyAlignment="1">
      <alignment horizontal="right"/>
    </xf>
    <xf numFmtId="3" fontId="5" fillId="0" borderId="38" xfId="0" applyNumberFormat="1" applyFont="1" applyBorder="1"/>
    <xf numFmtId="3" fontId="5" fillId="0" borderId="39" xfId="0" applyNumberFormat="1" applyFont="1" applyBorder="1"/>
    <xf numFmtId="0" fontId="4" fillId="0" borderId="35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right" wrapText="1"/>
    </xf>
    <xf numFmtId="3" fontId="4" fillId="0" borderId="15" xfId="0" applyNumberFormat="1" applyFont="1" applyBorder="1" applyAlignment="1">
      <alignment horizontal="right" wrapText="1"/>
    </xf>
    <xf numFmtId="0" fontId="4" fillId="0" borderId="40" xfId="0" applyFont="1" applyBorder="1"/>
    <xf numFmtId="0" fontId="3" fillId="0" borderId="13" xfId="0" applyFont="1" applyBorder="1" applyAlignment="1">
      <alignment horizontal="left" wrapText="1"/>
    </xf>
    <xf numFmtId="3" fontId="4" fillId="0" borderId="13" xfId="0" applyNumberFormat="1" applyFont="1" applyBorder="1"/>
    <xf numFmtId="3" fontId="5" fillId="0" borderId="13" xfId="0" applyNumberFormat="1" applyFont="1" applyBorder="1"/>
    <xf numFmtId="3" fontId="5" fillId="0" borderId="41" xfId="0" applyNumberFormat="1" applyFont="1" applyBorder="1"/>
    <xf numFmtId="0" fontId="3" fillId="0" borderId="42" xfId="0" applyFont="1" applyBorder="1" applyAlignment="1">
      <alignment horizontal="center"/>
    </xf>
    <xf numFmtId="0" fontId="5" fillId="0" borderId="0" xfId="0" applyFont="1"/>
    <xf numFmtId="3" fontId="3" fillId="0" borderId="0" xfId="0" applyNumberFormat="1" applyFont="1"/>
    <xf numFmtId="0" fontId="3" fillId="0" borderId="43" xfId="0" applyFont="1" applyBorder="1" applyAlignment="1">
      <alignment horizontal="center"/>
    </xf>
    <xf numFmtId="0" fontId="4" fillId="0" borderId="25" xfId="0" applyFont="1" applyBorder="1"/>
    <xf numFmtId="3" fontId="4" fillId="0" borderId="25" xfId="0" applyNumberFormat="1" applyFont="1" applyBorder="1"/>
    <xf numFmtId="0" fontId="4" fillId="0" borderId="46" xfId="0" applyFont="1" applyBorder="1"/>
    <xf numFmtId="0" fontId="6" fillId="0" borderId="37" xfId="0" applyFont="1" applyBorder="1"/>
    <xf numFmtId="3" fontId="6" fillId="0" borderId="34" xfId="0" applyNumberFormat="1" applyFont="1" applyBorder="1"/>
    <xf numFmtId="0" fontId="3" fillId="0" borderId="35" xfId="0" applyFont="1" applyBorder="1"/>
    <xf numFmtId="3" fontId="3" fillId="0" borderId="35" xfId="0" applyNumberFormat="1" applyFont="1" applyBorder="1"/>
    <xf numFmtId="3" fontId="4" fillId="0" borderId="29" xfId="0" applyNumberFormat="1" applyFont="1" applyBorder="1"/>
    <xf numFmtId="0" fontId="4" fillId="0" borderId="47" xfId="0" applyFont="1" applyBorder="1"/>
    <xf numFmtId="3" fontId="4" fillId="0" borderId="48" xfId="0" applyNumberFormat="1" applyFont="1" applyBorder="1"/>
    <xf numFmtId="0" fontId="6" fillId="0" borderId="42" xfId="0" applyFont="1" applyBorder="1"/>
    <xf numFmtId="0" fontId="3" fillId="0" borderId="50" xfId="0" applyFont="1" applyBorder="1"/>
    <xf numFmtId="3" fontId="3" fillId="0" borderId="34" xfId="0" applyNumberFormat="1" applyFont="1" applyBorder="1"/>
    <xf numFmtId="0" fontId="3" fillId="0" borderId="51" xfId="0" applyFont="1" applyBorder="1"/>
    <xf numFmtId="0" fontId="3" fillId="0" borderId="52" xfId="0" applyFont="1" applyBorder="1"/>
    <xf numFmtId="0" fontId="4" fillId="0" borderId="54" xfId="0" applyFont="1" applyBorder="1"/>
    <xf numFmtId="0" fontId="4" fillId="0" borderId="58" xfId="0" applyFont="1" applyBorder="1"/>
    <xf numFmtId="0" fontId="4" fillId="0" borderId="15" xfId="0" applyFont="1" applyBorder="1"/>
    <xf numFmtId="3" fontId="4" fillId="0" borderId="15" xfId="0" applyNumberFormat="1" applyFont="1" applyBorder="1" applyAlignment="1">
      <alignment horizontal="right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0" fontId="4" fillId="0" borderId="17" xfId="0" applyFont="1" applyBorder="1"/>
    <xf numFmtId="0" fontId="4" fillId="0" borderId="20" xfId="0" applyFont="1" applyBorder="1"/>
    <xf numFmtId="3" fontId="3" fillId="0" borderId="12" xfId="0" applyNumberFormat="1" applyFont="1" applyBorder="1" applyAlignment="1">
      <alignment horizontal="right"/>
    </xf>
    <xf numFmtId="0" fontId="4" fillId="0" borderId="31" xfId="0" applyFont="1" applyBorder="1"/>
    <xf numFmtId="3" fontId="4" fillId="0" borderId="31" xfId="0" applyNumberFormat="1" applyFont="1" applyBorder="1" applyAlignment="1">
      <alignment horizontal="right"/>
    </xf>
    <xf numFmtId="3" fontId="3" fillId="0" borderId="12" xfId="0" applyNumberFormat="1" applyFont="1" applyBorder="1"/>
    <xf numFmtId="0" fontId="4" fillId="0" borderId="21" xfId="0" applyFont="1" applyBorder="1"/>
    <xf numFmtId="0" fontId="3" fillId="0" borderId="29" xfId="0" applyFont="1" applyBorder="1"/>
    <xf numFmtId="3" fontId="4" fillId="0" borderId="26" xfId="0" applyNumberFormat="1" applyFont="1" applyBorder="1" applyAlignment="1">
      <alignment horizontal="right"/>
    </xf>
    <xf numFmtId="0" fontId="4" fillId="0" borderId="60" xfId="0" applyFont="1" applyBorder="1"/>
    <xf numFmtId="0" fontId="3" fillId="0" borderId="60" xfId="0" applyFont="1" applyBorder="1"/>
    <xf numFmtId="0" fontId="4" fillId="0" borderId="61" xfId="0" applyFont="1" applyBorder="1"/>
    <xf numFmtId="0" fontId="4" fillId="0" borderId="62" xfId="0" applyFont="1" applyBorder="1"/>
    <xf numFmtId="0" fontId="3" fillId="0" borderId="12" xfId="0" applyFont="1" applyBorder="1" applyAlignment="1">
      <alignment horizontal="left"/>
    </xf>
    <xf numFmtId="0" fontId="4" fillId="0" borderId="63" xfId="0" applyFont="1" applyBorder="1"/>
    <xf numFmtId="0" fontId="4" fillId="0" borderId="64" xfId="0" applyFont="1" applyBorder="1"/>
    <xf numFmtId="0" fontId="3" fillId="0" borderId="17" xfId="0" applyFont="1" applyBorder="1"/>
    <xf numFmtId="0" fontId="4" fillId="0" borderId="65" xfId="0" applyFont="1" applyBorder="1"/>
    <xf numFmtId="3" fontId="4" fillId="0" borderId="65" xfId="0" applyNumberFormat="1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1" xfId="0" applyFont="1" applyBorder="1"/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3" fontId="6" fillId="0" borderId="1" xfId="0" applyNumberFormat="1" applyFont="1" applyBorder="1"/>
    <xf numFmtId="3" fontId="4" fillId="0" borderId="6" xfId="0" applyNumberFormat="1" applyFont="1" applyBorder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3" fillId="0" borderId="1" xfId="0" applyNumberFormat="1" applyFont="1" applyBorder="1"/>
    <xf numFmtId="0" fontId="8" fillId="0" borderId="1" xfId="0" applyFont="1" applyBorder="1"/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55" xfId="0" applyFont="1" applyBorder="1"/>
    <xf numFmtId="0" fontId="4" fillId="0" borderId="50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right"/>
    </xf>
    <xf numFmtId="0" fontId="4" fillId="0" borderId="38" xfId="0" applyFont="1" applyBorder="1"/>
    <xf numFmtId="0" fontId="3" fillId="0" borderId="38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6" fillId="0" borderId="0" xfId="0" applyFont="1"/>
    <xf numFmtId="0" fontId="4" fillId="0" borderId="15" xfId="0" applyFont="1" applyBorder="1" applyAlignment="1">
      <alignment horizontal="center" vertical="top" wrapText="1"/>
    </xf>
    <xf numFmtId="0" fontId="4" fillId="0" borderId="27" xfId="0" applyFont="1" applyBorder="1" applyAlignment="1">
      <alignment vertical="top" wrapText="1"/>
    </xf>
    <xf numFmtId="0" fontId="3" fillId="0" borderId="15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justify" wrapText="1"/>
    </xf>
    <xf numFmtId="0" fontId="3" fillId="0" borderId="15" xfId="0" applyFont="1" applyBorder="1" applyAlignment="1">
      <alignment wrapText="1"/>
    </xf>
    <xf numFmtId="0" fontId="6" fillId="0" borderId="15" xfId="0" applyFont="1" applyBorder="1" applyAlignment="1">
      <alignment horizontal="left" wrapText="1" indent="4"/>
    </xf>
    <xf numFmtId="0" fontId="4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right" vertical="top" wrapText="1"/>
    </xf>
    <xf numFmtId="0" fontId="7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left" wrapText="1" indent="4"/>
    </xf>
    <xf numFmtId="0" fontId="4" fillId="0" borderId="15" xfId="0" applyFont="1" applyBorder="1" applyAlignment="1">
      <alignment horizontal="right" wrapText="1"/>
    </xf>
    <xf numFmtId="0" fontId="4" fillId="0" borderId="29" xfId="0" applyFont="1" applyBorder="1" applyAlignment="1">
      <alignment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center"/>
    </xf>
    <xf numFmtId="0" fontId="4" fillId="0" borderId="29" xfId="0" applyFont="1" applyBorder="1" applyAlignment="1">
      <alignment horizontal="right" wrapText="1"/>
    </xf>
    <xf numFmtId="0" fontId="4" fillId="0" borderId="30" xfId="0" applyFont="1" applyBorder="1" applyAlignment="1">
      <alignment horizontal="right" wrapText="1"/>
    </xf>
    <xf numFmtId="0" fontId="4" fillId="0" borderId="31" xfId="0" applyFont="1" applyBorder="1" applyAlignment="1">
      <alignment horizontal="right" wrapText="1"/>
    </xf>
    <xf numFmtId="0" fontId="3" fillId="0" borderId="31" xfId="0" applyFont="1" applyBorder="1" applyAlignment="1">
      <alignment horizontal="left" wrapText="1"/>
    </xf>
    <xf numFmtId="3" fontId="4" fillId="0" borderId="67" xfId="0" applyNumberFormat="1" applyFont="1" applyBorder="1"/>
    <xf numFmtId="0" fontId="7" fillId="0" borderId="1" xfId="0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3" fontId="3" fillId="0" borderId="52" xfId="0" applyNumberFormat="1" applyFont="1" applyBorder="1" applyAlignment="1">
      <alignment horizontal="center"/>
    </xf>
    <xf numFmtId="3" fontId="4" fillId="0" borderId="35" xfId="0" applyNumberFormat="1" applyFont="1" applyBorder="1"/>
    <xf numFmtId="3" fontId="3" fillId="0" borderId="50" xfId="0" applyNumberFormat="1" applyFont="1" applyBorder="1"/>
    <xf numFmtId="3" fontId="3" fillId="0" borderId="56" xfId="0" applyNumberFormat="1" applyFont="1" applyBorder="1"/>
    <xf numFmtId="3" fontId="4" fillId="0" borderId="31" xfId="0" applyNumberFormat="1" applyFont="1" applyBorder="1" applyAlignment="1">
      <alignment horizontal="right" wrapText="1"/>
    </xf>
    <xf numFmtId="3" fontId="3" fillId="0" borderId="51" xfId="0" applyNumberFormat="1" applyFont="1" applyBorder="1"/>
    <xf numFmtId="3" fontId="3" fillId="0" borderId="52" xfId="0" applyNumberFormat="1" applyFont="1" applyBorder="1"/>
    <xf numFmtId="3" fontId="3" fillId="0" borderId="53" xfId="0" applyNumberFormat="1" applyFont="1" applyBorder="1"/>
    <xf numFmtId="3" fontId="4" fillId="0" borderId="54" xfId="0" applyNumberFormat="1" applyFont="1" applyBorder="1"/>
    <xf numFmtId="3" fontId="3" fillId="0" borderId="55" xfId="0" applyNumberFormat="1" applyFont="1" applyBorder="1"/>
    <xf numFmtId="3" fontId="3" fillId="0" borderId="49" xfId="0" applyNumberFormat="1" applyFont="1" applyBorder="1"/>
    <xf numFmtId="3" fontId="3" fillId="0" borderId="56" xfId="0" applyNumberFormat="1" applyFont="1" applyBorder="1" applyAlignment="1">
      <alignment horizontal="center"/>
    </xf>
    <xf numFmtId="3" fontId="4" fillId="0" borderId="44" xfId="0" applyNumberFormat="1" applyFont="1" applyBorder="1"/>
    <xf numFmtId="3" fontId="4" fillId="0" borderId="55" xfId="0" applyNumberFormat="1" applyFont="1" applyBorder="1"/>
    <xf numFmtId="3" fontId="6" fillId="0" borderId="15" xfId="0" applyNumberFormat="1" applyFont="1" applyBorder="1" applyAlignment="1">
      <alignment horizontal="center"/>
    </xf>
    <xf numFmtId="3" fontId="3" fillId="0" borderId="29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6" fillId="0" borderId="15" xfId="0" applyNumberFormat="1" applyFont="1" applyBorder="1"/>
    <xf numFmtId="3" fontId="4" fillId="0" borderId="29" xfId="0" applyNumberFormat="1" applyFont="1" applyBorder="1" applyAlignment="1">
      <alignment horizontal="left" indent="15"/>
    </xf>
    <xf numFmtId="3" fontId="4" fillId="0" borderId="15" xfId="0" applyNumberFormat="1" applyFont="1" applyBorder="1" applyAlignment="1">
      <alignment horizontal="left" indent="15"/>
    </xf>
    <xf numFmtId="3" fontId="3" fillId="0" borderId="15" xfId="0" applyNumberFormat="1" applyFont="1" applyBorder="1" applyAlignment="1">
      <alignment horizontal="left" indent="15"/>
    </xf>
    <xf numFmtId="3" fontId="6" fillId="0" borderId="15" xfId="0" applyNumberFormat="1" applyFont="1" applyBorder="1" applyAlignment="1">
      <alignment horizontal="left" indent="15"/>
    </xf>
    <xf numFmtId="3" fontId="4" fillId="0" borderId="29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left"/>
    </xf>
    <xf numFmtId="3" fontId="4" fillId="0" borderId="17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6" fillId="0" borderId="15" xfId="0" applyNumberFormat="1" applyFont="1" applyBorder="1" applyAlignment="1">
      <alignment horizontal="left"/>
    </xf>
    <xf numFmtId="3" fontId="3" fillId="0" borderId="15" xfId="0" applyNumberFormat="1" applyFont="1" applyBorder="1" applyAlignment="1">
      <alignment horizontal="left"/>
    </xf>
    <xf numFmtId="3" fontId="4" fillId="0" borderId="31" xfId="0" applyNumberFormat="1" applyFont="1" applyBorder="1" applyAlignment="1">
      <alignment horizontal="left"/>
    </xf>
    <xf numFmtId="3" fontId="3" fillId="0" borderId="29" xfId="0" applyNumberFormat="1" applyFont="1" applyBorder="1" applyAlignment="1">
      <alignment horizontal="right"/>
    </xf>
    <xf numFmtId="3" fontId="3" fillId="0" borderId="47" xfId="0" applyNumberFormat="1" applyFont="1" applyBorder="1" applyAlignment="1">
      <alignment horizontal="right"/>
    </xf>
    <xf numFmtId="3" fontId="3" fillId="0" borderId="65" xfId="0" applyNumberFormat="1" applyFont="1" applyBorder="1" applyAlignment="1">
      <alignment horizontal="right"/>
    </xf>
    <xf numFmtId="3" fontId="3" fillId="0" borderId="70" xfId="0" applyNumberFormat="1" applyFont="1" applyBorder="1"/>
    <xf numFmtId="3" fontId="3" fillId="0" borderId="0" xfId="0" applyNumberFormat="1" applyFont="1" applyAlignment="1">
      <alignment horizontal="right"/>
    </xf>
    <xf numFmtId="0" fontId="4" fillId="0" borderId="3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69" xfId="0" applyNumberFormat="1" applyFont="1" applyBorder="1"/>
    <xf numFmtId="3" fontId="4" fillId="0" borderId="59" xfId="0" applyNumberFormat="1" applyFont="1" applyBorder="1"/>
    <xf numFmtId="3" fontId="3" fillId="0" borderId="59" xfId="0" applyNumberFormat="1" applyFont="1" applyBorder="1"/>
    <xf numFmtId="0" fontId="3" fillId="0" borderId="23" xfId="0" applyFont="1" applyBorder="1"/>
    <xf numFmtId="0" fontId="3" fillId="0" borderId="71" xfId="0" applyFont="1" applyBorder="1"/>
    <xf numFmtId="0" fontId="3" fillId="0" borderId="24" xfId="0" applyFont="1" applyBorder="1"/>
    <xf numFmtId="0" fontId="4" fillId="0" borderId="72" xfId="0" applyFont="1" applyBorder="1"/>
    <xf numFmtId="0" fontId="4" fillId="0" borderId="73" xfId="0" applyFont="1" applyBorder="1"/>
    <xf numFmtId="0" fontId="4" fillId="0" borderId="73" xfId="0" applyFont="1" applyBorder="1" applyAlignment="1">
      <alignment horizontal="right"/>
    </xf>
    <xf numFmtId="0" fontId="4" fillId="0" borderId="74" xfId="0" applyFont="1" applyBorder="1"/>
    <xf numFmtId="3" fontId="4" fillId="0" borderId="16" xfId="0" applyNumberFormat="1" applyFont="1" applyBorder="1"/>
    <xf numFmtId="0" fontId="3" fillId="0" borderId="16" xfId="0" applyFont="1" applyBorder="1"/>
    <xf numFmtId="0" fontId="3" fillId="0" borderId="59" xfId="0" applyFont="1" applyBorder="1"/>
    <xf numFmtId="3" fontId="4" fillId="0" borderId="30" xfId="0" applyNumberFormat="1" applyFont="1" applyBorder="1" applyAlignment="1">
      <alignment horizontal="right"/>
    </xf>
    <xf numFmtId="3" fontId="4" fillId="0" borderId="75" xfId="0" applyNumberFormat="1" applyFont="1" applyBorder="1"/>
    <xf numFmtId="0" fontId="3" fillId="0" borderId="27" xfId="0" applyFont="1" applyBorder="1"/>
    <xf numFmtId="3" fontId="3" fillId="0" borderId="31" xfId="0" applyNumberFormat="1" applyFont="1" applyBorder="1" applyAlignment="1">
      <alignment horizontal="left"/>
    </xf>
    <xf numFmtId="3" fontId="6" fillId="0" borderId="31" xfId="0" applyNumberFormat="1" applyFont="1" applyBorder="1"/>
    <xf numFmtId="3" fontId="6" fillId="0" borderId="67" xfId="0" applyNumberFormat="1" applyFont="1" applyBorder="1"/>
    <xf numFmtId="0" fontId="3" fillId="0" borderId="76" xfId="0" applyFont="1" applyBorder="1"/>
    <xf numFmtId="0" fontId="3" fillId="0" borderId="5" xfId="0" applyFont="1" applyBorder="1"/>
    <xf numFmtId="0" fontId="3" fillId="0" borderId="10" xfId="0" applyFont="1" applyBorder="1"/>
    <xf numFmtId="0" fontId="4" fillId="0" borderId="77" xfId="0" applyFont="1" applyBorder="1"/>
    <xf numFmtId="0" fontId="3" fillId="0" borderId="74" xfId="0" applyFont="1" applyBorder="1"/>
    <xf numFmtId="0" fontId="3" fillId="0" borderId="52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2" xfId="0" applyFont="1" applyBorder="1"/>
    <xf numFmtId="0" fontId="4" fillId="0" borderId="76" xfId="0" applyFont="1" applyBorder="1"/>
    <xf numFmtId="0" fontId="3" fillId="0" borderId="17" xfId="0" applyFont="1" applyBorder="1" applyAlignment="1">
      <alignment horizontal="center"/>
    </xf>
    <xf numFmtId="0" fontId="4" fillId="0" borderId="50" xfId="0" applyFont="1" applyBorder="1"/>
    <xf numFmtId="0" fontId="4" fillId="0" borderId="6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/>
    </xf>
    <xf numFmtId="3" fontId="4" fillId="0" borderId="41" xfId="0" applyNumberFormat="1" applyFont="1" applyBorder="1"/>
    <xf numFmtId="0" fontId="3" fillId="0" borderId="54" xfId="0" applyFont="1" applyBorder="1"/>
    <xf numFmtId="0" fontId="4" fillId="0" borderId="19" xfId="0" applyFont="1" applyBorder="1"/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 indent="7"/>
    </xf>
    <xf numFmtId="0" fontId="6" fillId="0" borderId="17" xfId="0" applyFont="1" applyBorder="1"/>
    <xf numFmtId="0" fontId="6" fillId="0" borderId="17" xfId="0" applyFont="1" applyBorder="1" applyAlignment="1">
      <alignment horizontal="left" indent="2"/>
    </xf>
    <xf numFmtId="0" fontId="6" fillId="0" borderId="17" xfId="0" applyFont="1" applyBorder="1" applyAlignment="1">
      <alignment horizontal="left"/>
    </xf>
    <xf numFmtId="0" fontId="4" fillId="0" borderId="80" xfId="0" applyFont="1" applyBorder="1"/>
    <xf numFmtId="0" fontId="4" fillId="0" borderId="82" xfId="0" applyFont="1" applyBorder="1"/>
    <xf numFmtId="0" fontId="3" fillId="0" borderId="64" xfId="0" applyFont="1" applyBorder="1" applyAlignment="1">
      <alignment horizontal="center"/>
    </xf>
    <xf numFmtId="0" fontId="4" fillId="0" borderId="84" xfId="0" applyFont="1" applyBorder="1"/>
    <xf numFmtId="0" fontId="3" fillId="0" borderId="85" xfId="0" applyFont="1" applyBorder="1" applyAlignment="1">
      <alignment horizontal="center"/>
    </xf>
    <xf numFmtId="0" fontId="6" fillId="0" borderId="81" xfId="0" applyFont="1" applyBorder="1"/>
    <xf numFmtId="0" fontId="4" fillId="0" borderId="17" xfId="0" applyFont="1" applyBorder="1" applyAlignment="1">
      <alignment horizontal="center"/>
    </xf>
    <xf numFmtId="0" fontId="4" fillId="0" borderId="27" xfId="0" applyFont="1" applyBorder="1"/>
    <xf numFmtId="0" fontId="4" fillId="0" borderId="86" xfId="0" applyFont="1" applyBorder="1"/>
    <xf numFmtId="0" fontId="4" fillId="0" borderId="87" xfId="0" applyFont="1" applyBorder="1"/>
    <xf numFmtId="3" fontId="3" fillId="0" borderId="1" xfId="0" applyNumberFormat="1" applyFont="1" applyBorder="1" applyAlignment="1">
      <alignment horizontal="right"/>
    </xf>
    <xf numFmtId="3" fontId="3" fillId="0" borderId="31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0" borderId="88" xfId="0" applyFont="1" applyBorder="1" applyAlignment="1">
      <alignment horizontal="right"/>
    </xf>
    <xf numFmtId="3" fontId="3" fillId="0" borderId="88" xfId="0" applyNumberFormat="1" applyFont="1" applyBorder="1" applyAlignment="1">
      <alignment horizontal="center"/>
    </xf>
    <xf numFmtId="3" fontId="4" fillId="0" borderId="88" xfId="0" applyNumberFormat="1" applyFont="1" applyBorder="1"/>
    <xf numFmtId="0" fontId="4" fillId="0" borderId="31" xfId="0" applyFont="1" applyBorder="1" applyAlignment="1">
      <alignment vertical="top" wrapText="1"/>
    </xf>
    <xf numFmtId="0" fontId="4" fillId="0" borderId="31" xfId="0" applyFont="1" applyBorder="1" applyAlignment="1">
      <alignment horizontal="right" vertical="top" wrapText="1"/>
    </xf>
    <xf numFmtId="0" fontId="3" fillId="0" borderId="31" xfId="0" applyFont="1" applyBorder="1" applyAlignment="1">
      <alignment wrapText="1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wrapText="1"/>
    </xf>
    <xf numFmtId="0" fontId="4" fillId="0" borderId="88" xfId="0" applyFont="1" applyBorder="1"/>
    <xf numFmtId="0" fontId="4" fillId="0" borderId="88" xfId="0" applyFont="1" applyBorder="1" applyAlignment="1">
      <alignment vertical="top" wrapText="1"/>
    </xf>
    <xf numFmtId="0" fontId="4" fillId="0" borderId="88" xfId="0" applyFont="1" applyBorder="1" applyAlignment="1">
      <alignment horizontal="right" vertical="top" wrapText="1"/>
    </xf>
    <xf numFmtId="0" fontId="3" fillId="0" borderId="88" xfId="0" applyFont="1" applyBorder="1" applyAlignment="1">
      <alignment wrapText="1"/>
    </xf>
    <xf numFmtId="0" fontId="4" fillId="0" borderId="87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right" wrapText="1"/>
    </xf>
    <xf numFmtId="0" fontId="3" fillId="0" borderId="31" xfId="0" applyFont="1" applyBorder="1" applyAlignment="1">
      <alignment horizontal="justify" wrapText="1"/>
    </xf>
    <xf numFmtId="0" fontId="4" fillId="0" borderId="31" xfId="0" applyFont="1" applyBorder="1" applyAlignment="1">
      <alignment horizontal="center" wrapText="1"/>
    </xf>
    <xf numFmtId="0" fontId="4" fillId="0" borderId="87" xfId="0" applyFont="1" applyBorder="1" applyAlignment="1">
      <alignment horizontal="center" wrapText="1"/>
    </xf>
    <xf numFmtId="0" fontId="4" fillId="0" borderId="27" xfId="0" applyFont="1" applyBorder="1" applyAlignment="1">
      <alignment wrapText="1"/>
    </xf>
    <xf numFmtId="0" fontId="3" fillId="0" borderId="67" xfId="0" applyFont="1" applyBorder="1" applyAlignment="1">
      <alignment horizontal="justify" wrapText="1"/>
    </xf>
    <xf numFmtId="3" fontId="3" fillId="0" borderId="60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0" borderId="35" xfId="0" applyFont="1" applyBorder="1" applyAlignment="1">
      <alignment horizontal="right" wrapText="1"/>
    </xf>
    <xf numFmtId="0" fontId="3" fillId="0" borderId="12" xfId="0" applyFont="1" applyBorder="1" applyAlignment="1">
      <alignment horizontal="left" wrapText="1" indent="4"/>
    </xf>
    <xf numFmtId="0" fontId="4" fillId="0" borderId="69" xfId="0" applyFont="1" applyBorder="1"/>
    <xf numFmtId="0" fontId="3" fillId="0" borderId="17" xfId="0" applyFont="1" applyBorder="1" applyAlignment="1">
      <alignment horizontal="justify" wrapText="1"/>
    </xf>
    <xf numFmtId="0" fontId="3" fillId="0" borderId="13" xfId="0" applyFont="1" applyBorder="1" applyAlignment="1">
      <alignment horizontal="center"/>
    </xf>
    <xf numFmtId="0" fontId="6" fillId="0" borderId="17" xfId="0" applyFont="1" applyBorder="1" applyAlignment="1">
      <alignment wrapText="1"/>
    </xf>
    <xf numFmtId="0" fontId="3" fillId="0" borderId="20" xfId="0" applyFont="1" applyBorder="1" applyAlignment="1">
      <alignment horizontal="left"/>
    </xf>
    <xf numFmtId="0" fontId="4" fillId="0" borderId="2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/>
    </xf>
    <xf numFmtId="0" fontId="4" fillId="0" borderId="89" xfId="0" applyFont="1" applyBorder="1"/>
    <xf numFmtId="0" fontId="4" fillId="0" borderId="89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8" xfId="0" applyFont="1" applyBorder="1" applyAlignment="1">
      <alignment horizontal="justify"/>
    </xf>
    <xf numFmtId="3" fontId="4" fillId="0" borderId="21" xfId="0" applyNumberFormat="1" applyFont="1" applyBorder="1" applyAlignment="1">
      <alignment horizontal="right"/>
    </xf>
    <xf numFmtId="3" fontId="4" fillId="0" borderId="19" xfId="0" applyNumberFormat="1" applyFont="1" applyBorder="1"/>
    <xf numFmtId="3" fontId="4" fillId="0" borderId="83" xfId="0" applyNumberFormat="1" applyFont="1" applyBorder="1"/>
    <xf numFmtId="0" fontId="4" fillId="0" borderId="87" xfId="0" applyFont="1" applyBorder="1" applyAlignment="1">
      <alignment horizontal="right" wrapText="1"/>
    </xf>
    <xf numFmtId="0" fontId="4" fillId="0" borderId="88" xfId="0" applyFont="1" applyBorder="1" applyAlignment="1">
      <alignment horizontal="right" wrapText="1"/>
    </xf>
    <xf numFmtId="0" fontId="3" fillId="0" borderId="88" xfId="0" applyFont="1" applyBorder="1" applyAlignment="1">
      <alignment horizontal="left"/>
    </xf>
    <xf numFmtId="3" fontId="3" fillId="0" borderId="88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75" xfId="0" applyFont="1" applyBorder="1"/>
    <xf numFmtId="0" fontId="6" fillId="0" borderId="17" xfId="0" applyFont="1" applyBorder="1" applyAlignment="1">
      <alignment vertical="top" wrapText="1"/>
    </xf>
    <xf numFmtId="0" fontId="3" fillId="0" borderId="25" xfId="0" applyFont="1" applyBorder="1"/>
    <xf numFmtId="0" fontId="11" fillId="0" borderId="17" xfId="0" applyFont="1" applyBorder="1"/>
    <xf numFmtId="3" fontId="6" fillId="0" borderId="37" xfId="0" applyNumberFormat="1" applyFont="1" applyBorder="1"/>
    <xf numFmtId="3" fontId="3" fillId="0" borderId="44" xfId="0" applyNumberFormat="1" applyFont="1" applyBorder="1"/>
    <xf numFmtId="3" fontId="4" fillId="0" borderId="45" xfId="0" applyNumberFormat="1" applyFont="1" applyBorder="1"/>
    <xf numFmtId="3" fontId="7" fillId="0" borderId="32" xfId="0" applyNumberFormat="1" applyFont="1" applyBorder="1" applyAlignment="1">
      <alignment horizontal="left"/>
    </xf>
    <xf numFmtId="3" fontId="6" fillId="0" borderId="43" xfId="0" applyNumberFormat="1" applyFont="1" applyBorder="1"/>
    <xf numFmtId="0" fontId="4" fillId="0" borderId="89" xfId="0" applyFont="1" applyBorder="1" applyAlignment="1">
      <alignment horizontal="justify"/>
    </xf>
    <xf numFmtId="0" fontId="4" fillId="0" borderId="89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justify"/>
    </xf>
    <xf numFmtId="0" fontId="3" fillId="0" borderId="4" xfId="0" applyFont="1" applyBorder="1"/>
    <xf numFmtId="0" fontId="8" fillId="0" borderId="4" xfId="0" applyFont="1" applyBorder="1"/>
    <xf numFmtId="3" fontId="8" fillId="0" borderId="4" xfId="0" applyNumberFormat="1" applyFont="1" applyBorder="1"/>
    <xf numFmtId="0" fontId="6" fillId="0" borderId="1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horizontal="right"/>
    </xf>
    <xf numFmtId="0" fontId="3" fillId="0" borderId="91" xfId="2" applyFont="1" applyBorder="1" applyAlignment="1">
      <alignment horizontal="center" vertical="center"/>
    </xf>
    <xf numFmtId="0" fontId="4" fillId="0" borderId="91" xfId="2" applyFont="1" applyBorder="1"/>
    <xf numFmtId="3" fontId="4" fillId="0" borderId="91" xfId="2" applyNumberFormat="1" applyFont="1" applyBorder="1"/>
    <xf numFmtId="0" fontId="4" fillId="0" borderId="91" xfId="2" applyFont="1" applyBorder="1" applyAlignment="1">
      <alignment vertical="center" wrapText="1"/>
    </xf>
    <xf numFmtId="0" fontId="3" fillId="0" borderId="91" xfId="2" applyFont="1" applyBorder="1"/>
    <xf numFmtId="3" fontId="3" fillId="0" borderId="91" xfId="2" applyNumberFormat="1" applyFont="1" applyBorder="1"/>
    <xf numFmtId="3" fontId="4" fillId="0" borderId="91" xfId="2" applyNumberFormat="1" applyFont="1" applyBorder="1" applyAlignment="1">
      <alignment horizontal="right"/>
    </xf>
    <xf numFmtId="0" fontId="3" fillId="0" borderId="91" xfId="2" applyFont="1" applyBorder="1" applyAlignment="1">
      <alignment vertical="center" wrapText="1"/>
    </xf>
    <xf numFmtId="3" fontId="3" fillId="0" borderId="91" xfId="2" applyNumberFormat="1" applyFont="1" applyBorder="1" applyAlignment="1">
      <alignment horizontal="right"/>
    </xf>
    <xf numFmtId="0" fontId="4" fillId="0" borderId="0" xfId="2" applyFont="1" applyAlignment="1">
      <alignment vertical="center" wrapText="1"/>
    </xf>
    <xf numFmtId="0" fontId="4" fillId="0" borderId="59" xfId="0" applyFont="1" applyBorder="1"/>
    <xf numFmtId="3" fontId="4" fillId="0" borderId="20" xfId="0" applyNumberFormat="1" applyFont="1" applyBorder="1"/>
    <xf numFmtId="3" fontId="3" fillId="0" borderId="31" xfId="0" applyNumberFormat="1" applyFont="1" applyBorder="1" applyAlignment="1">
      <alignment horizontal="right"/>
    </xf>
    <xf numFmtId="0" fontId="4" fillId="0" borderId="18" xfId="0" applyFont="1" applyBorder="1"/>
    <xf numFmtId="0" fontId="3" fillId="0" borderId="14" xfId="0" applyFont="1" applyBorder="1"/>
    <xf numFmtId="0" fontId="3" fillId="0" borderId="55" xfId="0" applyFont="1" applyBorder="1"/>
    <xf numFmtId="1" fontId="3" fillId="0" borderId="52" xfId="0" applyNumberFormat="1" applyFont="1" applyBorder="1"/>
    <xf numFmtId="1" fontId="3" fillId="0" borderId="13" xfId="0" applyNumberFormat="1" applyFont="1" applyBorder="1"/>
    <xf numFmtId="1" fontId="3" fillId="0" borderId="56" xfId="0" applyNumberFormat="1" applyFont="1" applyBorder="1"/>
    <xf numFmtId="165" fontId="4" fillId="0" borderId="7" xfId="0" applyNumberFormat="1" applyFont="1" applyBorder="1"/>
    <xf numFmtId="165" fontId="3" fillId="0" borderId="28" xfId="0" applyNumberFormat="1" applyFont="1" applyBorder="1"/>
    <xf numFmtId="3" fontId="3" fillId="0" borderId="74" xfId="0" applyNumberFormat="1" applyFont="1" applyBorder="1" applyAlignment="1">
      <alignment horizontal="right"/>
    </xf>
    <xf numFmtId="0" fontId="3" fillId="0" borderId="31" xfId="0" applyFont="1" applyBorder="1" applyAlignment="1">
      <alignment horizontal="left"/>
    </xf>
    <xf numFmtId="0" fontId="3" fillId="0" borderId="88" xfId="0" applyFont="1" applyBorder="1" applyAlignment="1">
      <alignment horizontal="center"/>
    </xf>
    <xf numFmtId="0" fontId="3" fillId="0" borderId="69" xfId="0" applyFont="1" applyBorder="1"/>
    <xf numFmtId="0" fontId="4" fillId="0" borderId="17" xfId="0" applyFont="1" applyBorder="1" applyAlignment="1">
      <alignment horizontal="justify" wrapText="1"/>
    </xf>
    <xf numFmtId="0" fontId="4" fillId="0" borderId="14" xfId="0" applyFont="1" applyBorder="1"/>
    <xf numFmtId="0" fontId="3" fillId="0" borderId="60" xfId="0" applyFont="1" applyBorder="1" applyAlignment="1">
      <alignment horizontal="left"/>
    </xf>
    <xf numFmtId="0" fontId="3" fillId="0" borderId="56" xfId="0" applyFont="1" applyBorder="1"/>
    <xf numFmtId="0" fontId="9" fillId="0" borderId="56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3" fontId="4" fillId="0" borderId="21" xfId="0" applyNumberFormat="1" applyFont="1" applyBorder="1"/>
    <xf numFmtId="3" fontId="6" fillId="0" borderId="90" xfId="0" applyNumberFormat="1" applyFont="1" applyBorder="1"/>
    <xf numFmtId="3" fontId="3" fillId="0" borderId="19" xfId="0" applyNumberFormat="1" applyFont="1" applyBorder="1"/>
    <xf numFmtId="3" fontId="4" fillId="0" borderId="18" xfId="0" applyNumberFormat="1" applyFont="1" applyBorder="1"/>
    <xf numFmtId="3" fontId="3" fillId="0" borderId="90" xfId="0" applyNumberFormat="1" applyFont="1" applyBorder="1"/>
    <xf numFmtId="3" fontId="6" fillId="0" borderId="10" xfId="0" applyNumberFormat="1" applyFont="1" applyBorder="1"/>
    <xf numFmtId="3" fontId="3" fillId="0" borderId="10" xfId="0" applyNumberFormat="1" applyFont="1" applyBorder="1"/>
    <xf numFmtId="3" fontId="4" fillId="0" borderId="14" xfId="0" applyNumberFormat="1" applyFont="1" applyBorder="1"/>
    <xf numFmtId="0" fontId="4" fillId="0" borderId="67" xfId="0" applyFont="1" applyBorder="1"/>
    <xf numFmtId="3" fontId="4" fillId="0" borderId="17" xfId="0" applyNumberFormat="1" applyFont="1" applyBorder="1"/>
    <xf numFmtId="0" fontId="4" fillId="0" borderId="3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3" fontId="4" fillId="0" borderId="27" xfId="0" applyNumberFormat="1" applyFont="1" applyBorder="1"/>
    <xf numFmtId="0" fontId="3" fillId="0" borderId="18" xfId="0" applyFont="1" applyBorder="1" applyAlignment="1">
      <alignment horizontal="left"/>
    </xf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15" xfId="0" applyFont="1" applyBorder="1" applyAlignment="1">
      <alignment wrapText="1"/>
    </xf>
    <xf numFmtId="0" fontId="3" fillId="0" borderId="28" xfId="0" applyFont="1" applyBorder="1"/>
    <xf numFmtId="3" fontId="4" fillId="0" borderId="88" xfId="0" applyNumberFormat="1" applyFont="1" applyBorder="1" applyAlignment="1">
      <alignment horizontal="right"/>
    </xf>
    <xf numFmtId="3" fontId="4" fillId="0" borderId="60" xfId="0" applyNumberFormat="1" applyFont="1" applyBorder="1" applyAlignment="1">
      <alignment horizontal="right"/>
    </xf>
    <xf numFmtId="3" fontId="4" fillId="0" borderId="59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4" fillId="0" borderId="82" xfId="0" applyNumberFormat="1" applyFont="1" applyBorder="1"/>
    <xf numFmtId="3" fontId="4" fillId="0" borderId="70" xfId="0" applyNumberFormat="1" applyFont="1" applyBorder="1" applyAlignment="1">
      <alignment horizontal="right"/>
    </xf>
    <xf numFmtId="0" fontId="4" fillId="0" borderId="21" xfId="0" applyFont="1" applyBorder="1" applyAlignment="1">
      <alignment horizontal="center" vertical="top" wrapText="1"/>
    </xf>
    <xf numFmtId="0" fontId="4" fillId="0" borderId="31" xfId="0" applyFont="1" applyBorder="1" applyAlignment="1">
      <alignment wrapText="1"/>
    </xf>
    <xf numFmtId="3" fontId="6" fillId="0" borderId="31" xfId="0" applyNumberFormat="1" applyFont="1" applyBorder="1" applyAlignment="1">
      <alignment horizontal="left"/>
    </xf>
    <xf numFmtId="3" fontId="4" fillId="0" borderId="93" xfId="0" applyNumberFormat="1" applyFont="1" applyBorder="1" applyAlignment="1">
      <alignment horizontal="right"/>
    </xf>
    <xf numFmtId="0" fontId="4" fillId="0" borderId="49" xfId="0" applyFont="1" applyBorder="1"/>
    <xf numFmtId="0" fontId="4" fillId="0" borderId="56" xfId="0" applyFont="1" applyBorder="1"/>
    <xf numFmtId="0" fontId="4" fillId="0" borderId="57" xfId="0" applyFont="1" applyBorder="1"/>
    <xf numFmtId="3" fontId="3" fillId="0" borderId="57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 vertical="top" wrapText="1"/>
    </xf>
    <xf numFmtId="3" fontId="11" fillId="0" borderId="15" xfId="0" applyNumberFormat="1" applyFont="1" applyBorder="1" applyAlignment="1">
      <alignment horizontal="right" vertical="top" wrapText="1"/>
    </xf>
    <xf numFmtId="3" fontId="12" fillId="0" borderId="13" xfId="0" applyNumberFormat="1" applyFont="1" applyBorder="1"/>
    <xf numFmtId="3" fontId="11" fillId="0" borderId="15" xfId="0" applyNumberFormat="1" applyFont="1" applyBorder="1" applyAlignment="1">
      <alignment horizontal="right" wrapText="1"/>
    </xf>
    <xf numFmtId="3" fontId="11" fillId="0" borderId="31" xfId="0" applyNumberFormat="1" applyFont="1" applyBorder="1" applyAlignment="1">
      <alignment horizontal="right" wrapText="1"/>
    </xf>
    <xf numFmtId="3" fontId="11" fillId="0" borderId="88" xfId="0" applyNumberFormat="1" applyFont="1" applyBorder="1" applyAlignment="1">
      <alignment horizontal="right" wrapText="1"/>
    </xf>
    <xf numFmtId="3" fontId="11" fillId="0" borderId="20" xfId="0" applyNumberFormat="1" applyFont="1" applyBorder="1" applyAlignment="1">
      <alignment horizontal="right" wrapText="1"/>
    </xf>
    <xf numFmtId="0" fontId="11" fillId="0" borderId="88" xfId="0" applyFont="1" applyBorder="1" applyAlignment="1">
      <alignment wrapText="1"/>
    </xf>
    <xf numFmtId="3" fontId="12" fillId="0" borderId="12" xfId="0" applyNumberFormat="1" applyFont="1" applyBorder="1" applyAlignment="1">
      <alignment horizontal="right" vertical="top" wrapText="1"/>
    </xf>
    <xf numFmtId="3" fontId="12" fillId="0" borderId="15" xfId="0" applyNumberFormat="1" applyFont="1" applyBorder="1" applyAlignment="1">
      <alignment horizontal="right" wrapText="1"/>
    </xf>
    <xf numFmtId="0" fontId="11" fillId="0" borderId="88" xfId="0" applyFont="1" applyBorder="1"/>
    <xf numFmtId="3" fontId="12" fillId="0" borderId="62" xfId="0" applyNumberFormat="1" applyFont="1" applyBorder="1"/>
    <xf numFmtId="3" fontId="12" fillId="0" borderId="15" xfId="0" applyNumberFormat="1" applyFont="1" applyBorder="1"/>
    <xf numFmtId="3" fontId="12" fillId="0" borderId="88" xfId="0" applyNumberFormat="1" applyFont="1" applyBorder="1" applyAlignment="1">
      <alignment horizontal="right" wrapText="1"/>
    </xf>
    <xf numFmtId="3" fontId="12" fillId="0" borderId="12" xfId="0" applyNumberFormat="1" applyFont="1" applyBorder="1" applyAlignment="1">
      <alignment horizontal="right" wrapText="1"/>
    </xf>
    <xf numFmtId="0" fontId="4" fillId="0" borderId="94" xfId="0" applyFont="1" applyBorder="1"/>
    <xf numFmtId="0" fontId="4" fillId="0" borderId="94" xfId="0" applyFont="1" applyBorder="1" applyAlignment="1">
      <alignment horizontal="justify"/>
    </xf>
    <xf numFmtId="0" fontId="4" fillId="0" borderId="3" xfId="0" applyFont="1" applyBorder="1" applyAlignment="1">
      <alignment horizontal="left" wrapText="1"/>
    </xf>
    <xf numFmtId="0" fontId="3" fillId="0" borderId="17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7" fillId="0" borderId="29" xfId="0" applyFont="1" applyBorder="1" applyAlignment="1">
      <alignment horizontal="center" vertical="top" wrapText="1"/>
    </xf>
    <xf numFmtId="3" fontId="6" fillId="0" borderId="27" xfId="0" applyNumberFormat="1" applyFont="1" applyBorder="1"/>
    <xf numFmtId="3" fontId="7" fillId="0" borderId="43" xfId="0" applyNumberFormat="1" applyFont="1" applyBorder="1" applyAlignment="1">
      <alignment horizontal="left"/>
    </xf>
    <xf numFmtId="3" fontId="7" fillId="0" borderId="26" xfId="0" applyNumberFormat="1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96" xfId="0" applyFont="1" applyBorder="1"/>
    <xf numFmtId="14" fontId="3" fillId="0" borderId="7" xfId="0" applyNumberFormat="1" applyFont="1" applyBorder="1"/>
    <xf numFmtId="3" fontId="4" fillId="0" borderId="7" xfId="0" applyNumberFormat="1" applyFont="1" applyBorder="1"/>
    <xf numFmtId="14" fontId="3" fillId="0" borderId="65" xfId="0" applyNumberFormat="1" applyFont="1" applyBorder="1"/>
    <xf numFmtId="3" fontId="4" fillId="0" borderId="71" xfId="0" applyNumberFormat="1" applyFont="1" applyBorder="1"/>
    <xf numFmtId="3" fontId="3" fillId="0" borderId="21" xfId="0" applyNumberFormat="1" applyFont="1" applyBorder="1" applyAlignment="1">
      <alignment horizontal="right"/>
    </xf>
    <xf numFmtId="3" fontId="3" fillId="0" borderId="9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3" fontId="4" fillId="0" borderId="32" xfId="0" applyNumberFormat="1" applyFont="1" applyBorder="1" applyAlignment="1">
      <alignment horizontal="right"/>
    </xf>
    <xf numFmtId="14" fontId="10" fillId="0" borderId="83" xfId="0" applyNumberFormat="1" applyFont="1" applyBorder="1"/>
    <xf numFmtId="3" fontId="4" fillId="0" borderId="21" xfId="0" applyNumberFormat="1" applyFont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3" fontId="4" fillId="0" borderId="88" xfId="0" applyNumberFormat="1" applyFont="1" applyBorder="1" applyAlignment="1">
      <alignment horizontal="right" vertical="top" wrapText="1"/>
    </xf>
    <xf numFmtId="3" fontId="4" fillId="0" borderId="19" xfId="0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horizontal="right" vertical="top" wrapText="1"/>
    </xf>
    <xf numFmtId="3" fontId="3" fillId="0" borderId="19" xfId="0" applyNumberFormat="1" applyFont="1" applyBorder="1" applyAlignment="1">
      <alignment horizontal="right" vertical="top" wrapText="1"/>
    </xf>
    <xf numFmtId="3" fontId="4" fillId="0" borderId="32" xfId="0" applyNumberFormat="1" applyFont="1" applyBorder="1"/>
    <xf numFmtId="0" fontId="4" fillId="0" borderId="96" xfId="0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4" fillId="0" borderId="74" xfId="0" applyNumberFormat="1" applyFont="1" applyBorder="1" applyAlignment="1">
      <alignment horizontal="right"/>
    </xf>
    <xf numFmtId="0" fontId="3" fillId="0" borderId="6" xfId="0" applyFont="1" applyBorder="1"/>
    <xf numFmtId="0" fontId="4" fillId="0" borderId="37" xfId="0" applyFont="1" applyBorder="1"/>
    <xf numFmtId="0" fontId="4" fillId="0" borderId="68" xfId="0" applyFont="1" applyBorder="1"/>
    <xf numFmtId="3" fontId="4" fillId="0" borderId="41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96" xfId="0" applyFont="1" applyBorder="1" applyAlignment="1">
      <alignment horizontal="center"/>
    </xf>
    <xf numFmtId="0" fontId="14" fillId="0" borderId="0" xfId="0" applyFont="1"/>
    <xf numFmtId="0" fontId="1" fillId="0" borderId="0" xfId="0" applyFont="1"/>
    <xf numFmtId="0" fontId="1" fillId="0" borderId="15" xfId="0" applyFont="1" applyBorder="1"/>
    <xf numFmtId="0" fontId="0" fillId="0" borderId="15" xfId="0" applyBorder="1"/>
    <xf numFmtId="0" fontId="16" fillId="0" borderId="15" xfId="0" applyFont="1" applyBorder="1" applyAlignment="1">
      <alignment wrapText="1"/>
    </xf>
    <xf numFmtId="0" fontId="16" fillId="0" borderId="15" xfId="0" applyFont="1" applyBorder="1"/>
    <xf numFmtId="0" fontId="1" fillId="0" borderId="15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left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102" xfId="0" applyFont="1" applyBorder="1" applyAlignment="1">
      <alignment horizontal="center" vertical="center" wrapText="1"/>
    </xf>
    <xf numFmtId="16" fontId="10" fillId="0" borderId="95" xfId="0" applyNumberFormat="1" applyFont="1" applyBorder="1" applyAlignment="1">
      <alignment horizontal="center" vertical="center" wrapText="1"/>
    </xf>
    <xf numFmtId="0" fontId="10" fillId="0" borderId="103" xfId="0" applyFont="1" applyBorder="1" applyAlignment="1">
      <alignment horizontal="center" vertical="center" wrapText="1"/>
    </xf>
    <xf numFmtId="0" fontId="10" fillId="0" borderId="103" xfId="0" applyFont="1" applyBorder="1" applyAlignment="1">
      <alignment horizontal="justify" vertical="center" wrapText="1"/>
    </xf>
    <xf numFmtId="0" fontId="10" fillId="0" borderId="10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5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66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96" xfId="0" applyFont="1" applyBorder="1"/>
    <xf numFmtId="0" fontId="10" fillId="0" borderId="95" xfId="0" applyFont="1" applyBorder="1"/>
    <xf numFmtId="17" fontId="10" fillId="0" borderId="9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01" xfId="0" quotePrefix="1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08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left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horizontal="left" vertical="center" indent="15"/>
    </xf>
    <xf numFmtId="0" fontId="22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wrapText="1"/>
    </xf>
    <xf numFmtId="0" fontId="25" fillId="0" borderId="0" xfId="0" applyFont="1"/>
    <xf numFmtId="0" fontId="3" fillId="0" borderId="2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1" xfId="0" applyBorder="1"/>
    <xf numFmtId="166" fontId="4" fillId="0" borderId="1" xfId="0" applyNumberFormat="1" applyFont="1" applyBorder="1"/>
    <xf numFmtId="166" fontId="4" fillId="0" borderId="4" xfId="0" applyNumberFormat="1" applyFont="1" applyBorder="1"/>
    <xf numFmtId="0" fontId="3" fillId="0" borderId="37" xfId="0" applyFont="1" applyBorder="1"/>
    <xf numFmtId="166" fontId="3" fillId="0" borderId="66" xfId="0" applyNumberFormat="1" applyFont="1" applyBorder="1"/>
    <xf numFmtId="166" fontId="10" fillId="0" borderId="6" xfId="0" applyNumberFormat="1" applyFont="1" applyBorder="1"/>
    <xf numFmtId="166" fontId="10" fillId="0" borderId="1" xfId="0" applyNumberFormat="1" applyFont="1" applyBorder="1"/>
    <xf numFmtId="166" fontId="4" fillId="0" borderId="1" xfId="3" applyNumberFormat="1" applyFont="1" applyBorder="1"/>
    <xf numFmtId="166" fontId="3" fillId="0" borderId="66" xfId="3" applyNumberFormat="1" applyFont="1" applyBorder="1"/>
    <xf numFmtId="166" fontId="27" fillId="0" borderId="0" xfId="3" applyNumberFormat="1" applyFont="1"/>
    <xf numFmtId="166" fontId="0" fillId="0" borderId="0" xfId="0" applyNumberFormat="1"/>
    <xf numFmtId="0" fontId="24" fillId="0" borderId="0" xfId="0" applyFont="1"/>
    <xf numFmtId="0" fontId="0" fillId="0" borderId="0" xfId="0" applyAlignment="1">
      <alignment horizontal="center"/>
    </xf>
    <xf numFmtId="0" fontId="22" fillId="0" borderId="59" xfId="0" applyFont="1" applyBorder="1"/>
    <xf numFmtId="3" fontId="4" fillId="0" borderId="15" xfId="0" applyNumberFormat="1" applyFont="1" applyBorder="1" applyAlignment="1">
      <alignment horizontal="right" vertical="top" wrapText="1"/>
    </xf>
    <xf numFmtId="3" fontId="3" fillId="0" borderId="15" xfId="0" applyNumberFormat="1" applyFont="1" applyBorder="1" applyAlignment="1">
      <alignment horizontal="right" vertical="top" wrapText="1"/>
    </xf>
    <xf numFmtId="3" fontId="4" fillId="0" borderId="10" xfId="0" applyNumberFormat="1" applyFont="1" applyBorder="1"/>
    <xf numFmtId="0" fontId="3" fillId="0" borderId="4" xfId="0" applyFont="1" applyBorder="1" applyAlignment="1">
      <alignment horizontal="center"/>
    </xf>
    <xf numFmtId="3" fontId="7" fillId="0" borderId="18" xfId="0" applyNumberFormat="1" applyFont="1" applyBorder="1" applyAlignment="1">
      <alignment horizontal="left"/>
    </xf>
    <xf numFmtId="3" fontId="7" fillId="0" borderId="21" xfId="0" applyNumberFormat="1" applyFont="1" applyBorder="1" applyAlignment="1">
      <alignment horizontal="left"/>
    </xf>
    <xf numFmtId="3" fontId="7" fillId="0" borderId="57" xfId="0" applyNumberFormat="1" applyFont="1" applyBorder="1" applyAlignment="1">
      <alignment horizontal="left"/>
    </xf>
    <xf numFmtId="3" fontId="6" fillId="0" borderId="57" xfId="0" applyNumberFormat="1" applyFont="1" applyBorder="1"/>
    <xf numFmtId="3" fontId="7" fillId="0" borderId="15" xfId="0" applyNumberFormat="1" applyFont="1" applyBorder="1" applyAlignment="1">
      <alignment horizontal="left"/>
    </xf>
    <xf numFmtId="3" fontId="4" fillId="0" borderId="15" xfId="0" applyNumberFormat="1" applyFont="1" applyBorder="1" applyAlignment="1">
      <alignment vertical="top" wrapText="1"/>
    </xf>
    <xf numFmtId="3" fontId="3" fillId="0" borderId="15" xfId="0" applyNumberFormat="1" applyFont="1" applyBorder="1" applyAlignment="1">
      <alignment horizontal="right" wrapText="1"/>
    </xf>
    <xf numFmtId="3" fontId="3" fillId="0" borderId="31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4" fillId="0" borderId="59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3" fillId="0" borderId="35" xfId="0" applyFont="1" applyBorder="1" applyAlignment="1">
      <alignment horizontal="center" wrapText="1"/>
    </xf>
    <xf numFmtId="0" fontId="3" fillId="0" borderId="56" xfId="0" applyFont="1" applyBorder="1" applyAlignment="1">
      <alignment horizontal="left" wrapText="1"/>
    </xf>
    <xf numFmtId="3" fontId="3" fillId="0" borderId="5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65" xfId="0" applyNumberFormat="1" applyFont="1" applyBorder="1" applyAlignment="1">
      <alignment horizontal="center"/>
    </xf>
    <xf numFmtId="3" fontId="3" fillId="0" borderId="43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3" fontId="3" fillId="0" borderId="45" xfId="0" applyNumberFormat="1" applyFont="1" applyBorder="1"/>
    <xf numFmtId="3" fontId="3" fillId="0" borderId="36" xfId="0" applyNumberFormat="1" applyFont="1" applyBorder="1"/>
    <xf numFmtId="3" fontId="4" fillId="0" borderId="40" xfId="0" applyNumberFormat="1" applyFont="1" applyBorder="1"/>
    <xf numFmtId="3" fontId="4" fillId="0" borderId="47" xfId="0" applyNumberFormat="1" applyFont="1" applyBorder="1"/>
    <xf numFmtId="3" fontId="3" fillId="0" borderId="65" xfId="0" applyNumberFormat="1" applyFont="1" applyBorder="1"/>
    <xf numFmtId="3" fontId="3" fillId="0" borderId="11" xfId="0" applyNumberFormat="1" applyFont="1" applyBorder="1" applyAlignment="1">
      <alignment horizontal="center"/>
    </xf>
    <xf numFmtId="0" fontId="17" fillId="0" borderId="0" xfId="0" applyFont="1"/>
    <xf numFmtId="0" fontId="6" fillId="0" borderId="7" xfId="0" applyFont="1" applyBorder="1"/>
    <xf numFmtId="3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left" vertical="center"/>
    </xf>
    <xf numFmtId="3" fontId="17" fillId="0" borderId="0" xfId="0" applyNumberFormat="1" applyFont="1"/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9" fillId="0" borderId="0" xfId="0" applyFont="1" applyFill="1"/>
    <xf numFmtId="3" fontId="6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/>
    </xf>
    <xf numFmtId="0" fontId="4" fillId="0" borderId="0" xfId="0" applyFont="1" applyBorder="1"/>
    <xf numFmtId="0" fontId="0" fillId="0" borderId="13" xfId="0" applyBorder="1"/>
    <xf numFmtId="3" fontId="4" fillId="0" borderId="24" xfId="0" applyNumberFormat="1" applyFont="1" applyBorder="1" applyAlignment="1">
      <alignment wrapText="1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4" fillId="0" borderId="30" xfId="0" applyFont="1" applyBorder="1" applyAlignment="1">
      <alignment horizontal="right" vertical="top" wrapText="1"/>
    </xf>
    <xf numFmtId="3" fontId="4" fillId="0" borderId="111" xfId="0" applyNumberFormat="1" applyFont="1" applyBorder="1" applyAlignment="1">
      <alignment horizontal="right"/>
    </xf>
    <xf numFmtId="3" fontId="3" fillId="0" borderId="111" xfId="0" applyNumberFormat="1" applyFont="1" applyBorder="1" applyAlignment="1">
      <alignment horizontal="right"/>
    </xf>
    <xf numFmtId="3" fontId="4" fillId="0" borderId="110" xfId="0" applyNumberFormat="1" applyFont="1" applyBorder="1"/>
    <xf numFmtId="0" fontId="4" fillId="0" borderId="112" xfId="0" applyFont="1" applyBorder="1"/>
    <xf numFmtId="0" fontId="4" fillId="0" borderId="113" xfId="0" applyFont="1" applyBorder="1"/>
    <xf numFmtId="0" fontId="4" fillId="0" borderId="114" xfId="0" applyFont="1" applyBorder="1"/>
    <xf numFmtId="0" fontId="4" fillId="0" borderId="115" xfId="0" applyFont="1" applyBorder="1"/>
    <xf numFmtId="3" fontId="4" fillId="0" borderId="113" xfId="0" applyNumberFormat="1" applyFont="1" applyBorder="1"/>
    <xf numFmtId="3" fontId="4" fillId="0" borderId="114" xfId="0" applyNumberFormat="1" applyFont="1" applyBorder="1"/>
    <xf numFmtId="3" fontId="4" fillId="0" borderId="116" xfId="0" applyNumberFormat="1" applyFont="1" applyBorder="1"/>
    <xf numFmtId="3" fontId="4" fillId="0" borderId="117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3" fontId="4" fillId="0" borderId="121" xfId="0" applyNumberFormat="1" applyFont="1" applyBorder="1" applyAlignment="1">
      <alignment horizontal="right"/>
    </xf>
    <xf numFmtId="3" fontId="4" fillId="0" borderId="122" xfId="0" applyNumberFormat="1" applyFont="1" applyBorder="1" applyAlignment="1">
      <alignment horizontal="right"/>
    </xf>
    <xf numFmtId="3" fontId="3" fillId="0" borderId="117" xfId="0" applyNumberFormat="1" applyFont="1" applyBorder="1" applyAlignment="1">
      <alignment horizontal="right"/>
    </xf>
    <xf numFmtId="0" fontId="4" fillId="0" borderId="123" xfId="0" applyFont="1" applyBorder="1"/>
    <xf numFmtId="0" fontId="4" fillId="0" borderId="124" xfId="0" applyFont="1" applyBorder="1"/>
    <xf numFmtId="3" fontId="4" fillId="0" borderId="21" xfId="0" applyNumberFormat="1" applyFont="1" applyFill="1" applyBorder="1" applyAlignment="1">
      <alignment horizontal="right"/>
    </xf>
    <xf numFmtId="3" fontId="4" fillId="0" borderId="111" xfId="0" applyNumberFormat="1" applyFont="1" applyFill="1" applyBorder="1" applyAlignment="1">
      <alignment horizontal="right"/>
    </xf>
    <xf numFmtId="14" fontId="9" fillId="0" borderId="18" xfId="1" applyNumberFormat="1" applyFont="1" applyBorder="1" applyAlignment="1">
      <alignment horizontal="center"/>
    </xf>
    <xf numFmtId="0" fontId="4" fillId="0" borderId="125" xfId="0" applyFont="1" applyBorder="1"/>
    <xf numFmtId="0" fontId="4" fillId="0" borderId="121" xfId="0" applyFont="1" applyBorder="1"/>
    <xf numFmtId="9" fontId="3" fillId="0" borderId="58" xfId="1" applyFont="1" applyBorder="1" applyAlignment="1">
      <alignment horizontal="center"/>
    </xf>
    <xf numFmtId="9" fontId="3" fillId="0" borderId="121" xfId="1" applyFont="1" applyBorder="1" applyAlignment="1">
      <alignment horizontal="center"/>
    </xf>
    <xf numFmtId="0" fontId="4" fillId="0" borderId="128" xfId="0" applyFont="1" applyBorder="1"/>
    <xf numFmtId="14" fontId="10" fillId="0" borderId="110" xfId="0" applyNumberFormat="1" applyFont="1" applyBorder="1"/>
    <xf numFmtId="0" fontId="4" fillId="0" borderId="129" xfId="0" applyFont="1" applyBorder="1"/>
    <xf numFmtId="3" fontId="4" fillId="0" borderId="120" xfId="0" applyNumberFormat="1" applyFont="1" applyBorder="1"/>
    <xf numFmtId="3" fontId="4" fillId="0" borderId="119" xfId="0" applyNumberFormat="1" applyFont="1" applyBorder="1"/>
    <xf numFmtId="3" fontId="4" fillId="0" borderId="111" xfId="0" applyNumberFormat="1" applyFont="1" applyBorder="1" applyAlignment="1">
      <alignment horizontal="right" vertical="top" wrapText="1"/>
    </xf>
    <xf numFmtId="3" fontId="3" fillId="0" borderId="111" xfId="0" applyNumberFormat="1" applyFont="1" applyBorder="1" applyAlignment="1">
      <alignment horizontal="right" vertical="top" wrapText="1"/>
    </xf>
    <xf numFmtId="3" fontId="4" fillId="0" borderId="120" xfId="0" applyNumberFormat="1" applyFont="1" applyBorder="1" applyAlignment="1">
      <alignment horizontal="right" vertical="top" wrapText="1"/>
    </xf>
    <xf numFmtId="3" fontId="4" fillId="0" borderId="119" xfId="0" applyNumberFormat="1" applyFont="1" applyBorder="1" applyAlignment="1">
      <alignment horizontal="right" vertical="top" wrapText="1"/>
    </xf>
    <xf numFmtId="3" fontId="4" fillId="0" borderId="117" xfId="0" applyNumberFormat="1" applyFont="1" applyBorder="1" applyAlignment="1">
      <alignment horizontal="right" vertical="top" wrapText="1"/>
    </xf>
    <xf numFmtId="3" fontId="3" fillId="0" borderId="119" xfId="0" applyNumberFormat="1" applyFont="1" applyBorder="1" applyAlignment="1">
      <alignment horizontal="right" vertical="top" wrapText="1"/>
    </xf>
    <xf numFmtId="3" fontId="12" fillId="0" borderId="12" xfId="0" applyNumberFormat="1" applyFont="1" applyBorder="1"/>
    <xf numFmtId="0" fontId="3" fillId="0" borderId="65" xfId="0" applyFont="1" applyBorder="1" applyAlignment="1">
      <alignment horizontal="left" wrapText="1" indent="4"/>
    </xf>
    <xf numFmtId="3" fontId="4" fillId="0" borderId="83" xfId="0" applyNumberFormat="1" applyFont="1" applyBorder="1" applyAlignment="1">
      <alignment horizontal="right" vertical="top" wrapText="1"/>
    </xf>
    <xf numFmtId="3" fontId="4" fillId="0" borderId="110" xfId="0" applyNumberFormat="1" applyFont="1" applyBorder="1" applyAlignment="1">
      <alignment horizontal="right" vertical="top" wrapText="1"/>
    </xf>
    <xf numFmtId="0" fontId="4" fillId="0" borderId="42" xfId="0" applyFont="1" applyBorder="1" applyAlignment="1">
      <alignment horizontal="right" vertical="top" wrapText="1"/>
    </xf>
    <xf numFmtId="0" fontId="4" fillId="0" borderId="33" xfId="0" applyFont="1" applyBorder="1" applyAlignment="1">
      <alignment horizontal="right" vertical="top" wrapText="1"/>
    </xf>
    <xf numFmtId="0" fontId="4" fillId="0" borderId="34" xfId="0" applyFont="1" applyBorder="1" applyAlignment="1">
      <alignment wrapText="1"/>
    </xf>
    <xf numFmtId="0" fontId="4" fillId="0" borderId="79" xfId="0" applyFont="1" applyBorder="1" applyAlignment="1">
      <alignment wrapText="1"/>
    </xf>
    <xf numFmtId="3" fontId="3" fillId="0" borderId="65" xfId="0" applyNumberFormat="1" applyFont="1" applyBorder="1" applyAlignment="1">
      <alignment horizontal="right" wrapText="1"/>
    </xf>
    <xf numFmtId="3" fontId="3" fillId="0" borderId="83" xfId="0" applyNumberFormat="1" applyFont="1" applyBorder="1" applyAlignment="1">
      <alignment horizontal="right" vertical="top" wrapText="1"/>
    </xf>
    <xf numFmtId="3" fontId="3" fillId="0" borderId="110" xfId="0" applyNumberFormat="1" applyFont="1" applyBorder="1" applyAlignment="1">
      <alignment horizontal="right" vertical="top" wrapText="1"/>
    </xf>
    <xf numFmtId="0" fontId="30" fillId="0" borderId="0" xfId="0" applyFont="1"/>
    <xf numFmtId="0" fontId="15" fillId="0" borderId="0" xfId="0" applyFont="1"/>
    <xf numFmtId="0" fontId="30" fillId="0" borderId="96" xfId="0" applyFont="1" applyBorder="1"/>
    <xf numFmtId="0" fontId="30" fillId="0" borderId="7" xfId="0" applyFont="1" applyBorder="1"/>
    <xf numFmtId="0" fontId="15" fillId="0" borderId="66" xfId="0" applyFont="1" applyBorder="1"/>
    <xf numFmtId="0" fontId="30" fillId="0" borderId="1" xfId="0" applyFont="1" applyBorder="1"/>
    <xf numFmtId="0" fontId="30" fillId="0" borderId="1" xfId="0" applyFont="1" applyBorder="1" applyAlignment="1">
      <alignment wrapText="1"/>
    </xf>
    <xf numFmtId="0" fontId="30" fillId="0" borderId="4" xfId="0" applyFont="1" applyBorder="1"/>
    <xf numFmtId="0" fontId="15" fillId="0" borderId="39" xfId="0" applyFont="1" applyBorder="1"/>
    <xf numFmtId="0" fontId="30" fillId="0" borderId="95" xfId="0" applyFont="1" applyBorder="1"/>
    <xf numFmtId="0" fontId="30" fillId="0" borderId="0" xfId="0" applyFont="1" applyBorder="1"/>
    <xf numFmtId="0" fontId="30" fillId="0" borderId="96" xfId="0" applyFont="1" applyBorder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6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88" xfId="0" applyFont="1" applyBorder="1" applyAlignment="1">
      <alignment horizontal="center" wrapText="1"/>
    </xf>
    <xf numFmtId="0" fontId="3" fillId="0" borderId="8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126" xfId="0" applyFont="1" applyBorder="1" applyAlignment="1">
      <alignment horizontal="center"/>
    </xf>
    <xf numFmtId="0" fontId="3" fillId="0" borderId="127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4" xfId="0" applyFont="1" applyBorder="1" applyAlignment="1">
      <alignment horizontal="center" wrapText="1"/>
    </xf>
    <xf numFmtId="0" fontId="4" fillId="0" borderId="55" xfId="0" applyFont="1" applyBorder="1"/>
    <xf numFmtId="0" fontId="4" fillId="0" borderId="9" xfId="0" applyFont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0" borderId="5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distributed"/>
    </xf>
    <xf numFmtId="0" fontId="4" fillId="0" borderId="0" xfId="2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0" fillId="0" borderId="0" xfId="0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05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3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5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166" fontId="3" fillId="0" borderId="37" xfId="0" applyNumberFormat="1" applyFont="1" applyBorder="1" applyAlignment="1">
      <alignment horizontal="center"/>
    </xf>
    <xf numFmtId="166" fontId="3" fillId="0" borderId="78" xfId="0" applyNumberFormat="1" applyFont="1" applyBorder="1" applyAlignment="1">
      <alignment horizontal="center"/>
    </xf>
    <xf numFmtId="166" fontId="3" fillId="0" borderId="37" xfId="0" applyNumberFormat="1" applyFont="1" applyBorder="1"/>
    <xf numFmtId="166" fontId="3" fillId="0" borderId="78" xfId="0" applyNumberFormat="1" applyFont="1" applyBorder="1"/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6" fontId="4" fillId="0" borderId="13" xfId="3" applyNumberFormat="1" applyFont="1" applyBorder="1" applyAlignment="1">
      <alignment wrapText="1"/>
    </xf>
    <xf numFmtId="166" fontId="4" fillId="0" borderId="13" xfId="3" applyNumberFormat="1" applyFont="1" applyBorder="1" applyAlignment="1">
      <alignment vertical="center" wrapText="1"/>
    </xf>
    <xf numFmtId="166" fontId="4" fillId="0" borderId="75" xfId="3" applyNumberFormat="1" applyFont="1" applyBorder="1" applyAlignment="1">
      <alignment vertical="center" wrapText="1"/>
    </xf>
    <xf numFmtId="166" fontId="4" fillId="0" borderId="56" xfId="3" applyNumberFormat="1" applyFont="1" applyBorder="1" applyAlignment="1">
      <alignment wrapText="1"/>
    </xf>
    <xf numFmtId="166" fontId="4" fillId="0" borderId="56" xfId="3" applyNumberFormat="1" applyFont="1" applyBorder="1" applyAlignment="1">
      <alignment vertical="center" wrapText="1"/>
    </xf>
    <xf numFmtId="166" fontId="4" fillId="0" borderId="57" xfId="3" applyNumberFormat="1" applyFont="1" applyBorder="1" applyAlignment="1">
      <alignment vertical="center" wrapText="1"/>
    </xf>
    <xf numFmtId="166" fontId="4" fillId="0" borderId="75" xfId="3" applyNumberFormat="1" applyFont="1" applyBorder="1" applyAlignment="1">
      <alignment horizontal="center"/>
    </xf>
    <xf numFmtId="166" fontId="4" fillId="0" borderId="16" xfId="3" applyNumberFormat="1" applyFont="1" applyBorder="1" applyAlignment="1">
      <alignment horizontal="center"/>
    </xf>
    <xf numFmtId="166" fontId="4" fillId="0" borderId="0" xfId="3" applyNumberFormat="1" applyFont="1" applyAlignment="1">
      <alignment horizontal="center"/>
    </xf>
    <xf numFmtId="166" fontId="3" fillId="0" borderId="37" xfId="3" applyNumberFormat="1" applyFont="1" applyBorder="1" applyAlignment="1">
      <alignment horizontal="center"/>
    </xf>
    <xf numFmtId="166" fontId="3" fillId="0" borderId="39" xfId="3" applyNumberFormat="1" applyFont="1" applyBorder="1" applyAlignment="1">
      <alignment horizontal="center"/>
    </xf>
    <xf numFmtId="166" fontId="3" fillId="0" borderId="37" xfId="3" applyNumberFormat="1" applyFont="1" applyBorder="1"/>
    <xf numFmtId="166" fontId="3" fillId="0" borderId="39" xfId="3" applyNumberFormat="1" applyFont="1" applyBorder="1"/>
    <xf numFmtId="166" fontId="25" fillId="0" borderId="11" xfId="0" applyNumberFormat="1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166" fontId="3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166" fontId="28" fillId="0" borderId="0" xfId="3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3" fontId="4" fillId="0" borderId="75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4">
    <cellStyle name="Ezres" xfId="3" builtinId="3"/>
    <cellStyle name="Normál" xfId="0" builtinId="0"/>
    <cellStyle name="Normál 2" xfId="2" xr:uid="{00000000-0005-0000-0000-000002000000}"/>
    <cellStyle name="Százalék" xfId="1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workbookViewId="0">
      <selection activeCell="J38" sqref="J38"/>
    </sheetView>
  </sheetViews>
  <sheetFormatPr defaultRowHeight="15.75" x14ac:dyDescent="0.25"/>
  <cols>
    <col min="1" max="1" width="8.140625" style="12" customWidth="1"/>
    <col min="2" max="2" width="28.5703125" style="12" customWidth="1"/>
    <col min="3" max="3" width="6.85546875" style="12" customWidth="1"/>
    <col min="4" max="4" width="69.140625" style="12" customWidth="1"/>
    <col min="5" max="16384" width="9.140625" style="12"/>
  </cols>
  <sheetData>
    <row r="1" spans="1:4" x14ac:dyDescent="0.25">
      <c r="A1" s="664" t="s">
        <v>0</v>
      </c>
      <c r="B1" s="664"/>
      <c r="C1" s="664"/>
      <c r="D1" s="664"/>
    </row>
    <row r="2" spans="1:4" ht="16.5" thickBot="1" x14ac:dyDescent="0.3"/>
    <row r="3" spans="1:4" x14ac:dyDescent="0.25">
      <c r="A3" s="7" t="s">
        <v>1</v>
      </c>
      <c r="B3" s="7" t="s">
        <v>2</v>
      </c>
      <c r="C3" s="7" t="s">
        <v>3</v>
      </c>
      <c r="D3" s="7" t="s">
        <v>4</v>
      </c>
    </row>
    <row r="4" spans="1:4" ht="16.5" thickBot="1" x14ac:dyDescent="0.3">
      <c r="A4" s="4" t="s">
        <v>5</v>
      </c>
      <c r="B4" s="4"/>
      <c r="C4" s="4" t="s">
        <v>6</v>
      </c>
      <c r="D4" s="4"/>
    </row>
    <row r="5" spans="1:4" ht="15.75" customHeight="1" x14ac:dyDescent="0.25">
      <c r="A5" s="13" t="s">
        <v>7</v>
      </c>
      <c r="B5" s="7" t="s">
        <v>241</v>
      </c>
      <c r="C5" s="299" t="s">
        <v>7</v>
      </c>
      <c r="D5" s="300" t="s">
        <v>273</v>
      </c>
    </row>
    <row r="6" spans="1:4" ht="15.75" customHeight="1" x14ac:dyDescent="0.25">
      <c r="A6" s="1"/>
      <c r="B6" s="1" t="s">
        <v>242</v>
      </c>
      <c r="C6" s="3" t="s">
        <v>10</v>
      </c>
      <c r="D6" s="296" t="s">
        <v>274</v>
      </c>
    </row>
    <row r="7" spans="1:4" ht="15.75" customHeight="1" x14ac:dyDescent="0.25">
      <c r="A7" s="1"/>
      <c r="B7" s="1"/>
      <c r="C7" s="3" t="s">
        <v>11</v>
      </c>
      <c r="D7" s="297" t="s">
        <v>275</v>
      </c>
    </row>
    <row r="8" spans="1:4" ht="15.75" customHeight="1" x14ac:dyDescent="0.25">
      <c r="A8" s="1"/>
      <c r="B8" s="1"/>
      <c r="C8" s="3" t="s">
        <v>12</v>
      </c>
      <c r="D8" s="297" t="s">
        <v>366</v>
      </c>
    </row>
    <row r="9" spans="1:4" ht="15.75" customHeight="1" x14ac:dyDescent="0.25">
      <c r="A9" s="1"/>
      <c r="B9" s="1"/>
      <c r="C9" s="3" t="s">
        <v>13</v>
      </c>
      <c r="D9" s="297" t="s">
        <v>367</v>
      </c>
    </row>
    <row r="10" spans="1:4" ht="15.75" customHeight="1" x14ac:dyDescent="0.25">
      <c r="A10" s="1"/>
      <c r="B10" s="1"/>
      <c r="C10" s="3" t="s">
        <v>14</v>
      </c>
      <c r="D10" s="297" t="s">
        <v>369</v>
      </c>
    </row>
    <row r="11" spans="1:4" ht="15.75" customHeight="1" x14ac:dyDescent="0.25">
      <c r="A11" s="1"/>
      <c r="B11" s="1"/>
      <c r="C11" s="3" t="s">
        <v>15</v>
      </c>
      <c r="D11" s="297" t="s">
        <v>276</v>
      </c>
    </row>
    <row r="12" spans="1:4" ht="15.75" customHeight="1" x14ac:dyDescent="0.25">
      <c r="A12" s="1"/>
      <c r="B12" s="1"/>
      <c r="C12" s="3" t="s">
        <v>16</v>
      </c>
      <c r="D12" s="297" t="s">
        <v>277</v>
      </c>
    </row>
    <row r="13" spans="1:4" ht="15.75" customHeight="1" x14ac:dyDescent="0.25">
      <c r="A13" s="1"/>
      <c r="B13" s="1"/>
      <c r="C13" s="3" t="s">
        <v>17</v>
      </c>
      <c r="D13" s="296" t="s">
        <v>279</v>
      </c>
    </row>
    <row r="14" spans="1:4" ht="15.75" customHeight="1" x14ac:dyDescent="0.25">
      <c r="A14" s="1"/>
      <c r="B14" s="1"/>
      <c r="C14" s="3" t="s">
        <v>18</v>
      </c>
      <c r="D14" s="296" t="s">
        <v>280</v>
      </c>
    </row>
    <row r="15" spans="1:4" ht="15.75" customHeight="1" x14ac:dyDescent="0.25">
      <c r="A15" s="1"/>
      <c r="B15" s="1"/>
      <c r="C15" s="3" t="s">
        <v>19</v>
      </c>
      <c r="D15" s="296" t="s">
        <v>298</v>
      </c>
    </row>
    <row r="16" spans="1:4" ht="15.75" customHeight="1" x14ac:dyDescent="0.25">
      <c r="A16" s="1"/>
      <c r="B16" s="1"/>
      <c r="C16" s="3" t="s">
        <v>20</v>
      </c>
      <c r="D16" s="296" t="s">
        <v>281</v>
      </c>
    </row>
    <row r="17" spans="1:4" ht="15.75" customHeight="1" x14ac:dyDescent="0.25">
      <c r="A17" s="1"/>
      <c r="B17" s="1"/>
      <c r="C17" s="3" t="s">
        <v>21</v>
      </c>
      <c r="D17" s="296" t="s">
        <v>282</v>
      </c>
    </row>
    <row r="18" spans="1:4" ht="15.75" customHeight="1" x14ac:dyDescent="0.25">
      <c r="A18" s="1"/>
      <c r="B18" s="1"/>
      <c r="C18" s="3" t="s">
        <v>22</v>
      </c>
      <c r="D18" s="296" t="s">
        <v>283</v>
      </c>
    </row>
    <row r="19" spans="1:4" ht="15.75" customHeight="1" x14ac:dyDescent="0.25">
      <c r="A19" s="1"/>
      <c r="B19" s="1"/>
      <c r="C19" s="3" t="s">
        <v>23</v>
      </c>
      <c r="D19" s="296" t="s">
        <v>243</v>
      </c>
    </row>
    <row r="20" spans="1:4" ht="15.75" customHeight="1" x14ac:dyDescent="0.25">
      <c r="A20" s="1"/>
      <c r="B20" s="1"/>
      <c r="C20" s="3" t="s">
        <v>24</v>
      </c>
      <c r="D20" s="296" t="s">
        <v>323</v>
      </c>
    </row>
    <row r="21" spans="1:4" ht="15.75" customHeight="1" x14ac:dyDescent="0.25">
      <c r="A21" s="1"/>
      <c r="B21" s="1"/>
      <c r="C21" s="3" t="s">
        <v>25</v>
      </c>
      <c r="D21" s="296" t="s">
        <v>244</v>
      </c>
    </row>
    <row r="22" spans="1:4" ht="15.75" customHeight="1" x14ac:dyDescent="0.25">
      <c r="A22" s="1"/>
      <c r="B22" s="1"/>
      <c r="C22" s="3" t="s">
        <v>26</v>
      </c>
      <c r="D22" s="296" t="s">
        <v>284</v>
      </c>
    </row>
    <row r="23" spans="1:4" ht="15.75" customHeight="1" x14ac:dyDescent="0.25">
      <c r="A23" s="1"/>
      <c r="B23" s="1"/>
      <c r="C23" s="3" t="s">
        <v>27</v>
      </c>
      <c r="D23" s="296" t="s">
        <v>285</v>
      </c>
    </row>
    <row r="24" spans="1:4" ht="15.75" customHeight="1" x14ac:dyDescent="0.25">
      <c r="A24" s="1"/>
      <c r="B24" s="1"/>
      <c r="C24" s="3" t="s">
        <v>28</v>
      </c>
      <c r="D24" s="296" t="s">
        <v>286</v>
      </c>
    </row>
    <row r="25" spans="1:4" ht="16.5" customHeight="1" x14ac:dyDescent="0.25">
      <c r="A25" s="1"/>
      <c r="B25" s="1"/>
      <c r="C25" s="3" t="s">
        <v>29</v>
      </c>
      <c r="D25" s="296" t="s">
        <v>287</v>
      </c>
    </row>
    <row r="26" spans="1:4" ht="16.5" customHeight="1" x14ac:dyDescent="0.25">
      <c r="A26" s="1"/>
      <c r="B26" s="1"/>
      <c r="C26" s="3" t="s">
        <v>30</v>
      </c>
      <c r="D26" s="296" t="s">
        <v>214</v>
      </c>
    </row>
    <row r="27" spans="1:4" ht="16.5" customHeight="1" x14ac:dyDescent="0.25">
      <c r="A27" s="1"/>
      <c r="B27" s="1"/>
      <c r="C27" s="3" t="s">
        <v>31</v>
      </c>
      <c r="D27" s="296" t="s">
        <v>213</v>
      </c>
    </row>
    <row r="28" spans="1:4" ht="16.5" customHeight="1" x14ac:dyDescent="0.25">
      <c r="A28" s="1"/>
      <c r="B28" s="1"/>
      <c r="C28" s="3" t="s">
        <v>32</v>
      </c>
      <c r="D28" s="296" t="s">
        <v>365</v>
      </c>
    </row>
    <row r="29" spans="1:4" ht="16.5" customHeight="1" x14ac:dyDescent="0.25">
      <c r="A29" s="1"/>
      <c r="B29" s="1"/>
      <c r="C29" s="3" t="s">
        <v>33</v>
      </c>
      <c r="D29" s="296" t="s">
        <v>368</v>
      </c>
    </row>
    <row r="30" spans="1:4" ht="16.5" customHeight="1" x14ac:dyDescent="0.25">
      <c r="A30" s="1"/>
      <c r="B30" s="1"/>
      <c r="C30" s="3" t="s">
        <v>34</v>
      </c>
      <c r="D30" s="297" t="s">
        <v>397</v>
      </c>
    </row>
    <row r="31" spans="1:4" ht="16.5" customHeight="1" x14ac:dyDescent="0.25">
      <c r="A31" s="1"/>
      <c r="B31" s="1"/>
      <c r="C31" s="3" t="s">
        <v>36</v>
      </c>
      <c r="D31" s="297" t="s">
        <v>396</v>
      </c>
    </row>
    <row r="32" spans="1:4" ht="16.5" customHeight="1" x14ac:dyDescent="0.25">
      <c r="A32" s="1"/>
      <c r="B32" s="1"/>
      <c r="C32" s="3" t="s">
        <v>38</v>
      </c>
      <c r="D32" s="297" t="s">
        <v>224</v>
      </c>
    </row>
    <row r="33" spans="1:6" ht="16.5" customHeight="1" x14ac:dyDescent="0.25">
      <c r="A33" s="1"/>
      <c r="B33" s="1"/>
      <c r="C33" s="3" t="s">
        <v>41</v>
      </c>
      <c r="D33" s="297" t="s">
        <v>304</v>
      </c>
    </row>
    <row r="34" spans="1:6" ht="30.75" customHeight="1" x14ac:dyDescent="0.25">
      <c r="A34" s="1"/>
      <c r="B34" s="1"/>
      <c r="C34" s="3" t="s">
        <v>43</v>
      </c>
      <c r="D34" s="321" t="s">
        <v>288</v>
      </c>
    </row>
    <row r="35" spans="1:6" ht="17.25" customHeight="1" x14ac:dyDescent="0.25">
      <c r="A35" s="1"/>
      <c r="B35" s="1"/>
      <c r="C35" s="3" t="s">
        <v>186</v>
      </c>
      <c r="D35" s="413" t="s">
        <v>307</v>
      </c>
    </row>
    <row r="36" spans="1:6" ht="18.75" customHeight="1" x14ac:dyDescent="0.25">
      <c r="A36" s="1"/>
      <c r="B36" s="1"/>
      <c r="C36" s="3" t="s">
        <v>216</v>
      </c>
      <c r="D36" s="413" t="s">
        <v>42</v>
      </c>
    </row>
    <row r="37" spans="1:6" ht="19.5" customHeight="1" x14ac:dyDescent="0.25">
      <c r="A37" s="1"/>
      <c r="B37" s="1"/>
      <c r="C37" s="3" t="s">
        <v>505</v>
      </c>
      <c r="D37" s="413" t="s">
        <v>508</v>
      </c>
    </row>
    <row r="38" spans="1:6" ht="16.5" customHeight="1" thickBot="1" x14ac:dyDescent="0.3">
      <c r="A38" s="4"/>
      <c r="B38" s="4"/>
      <c r="C38" s="3" t="s">
        <v>507</v>
      </c>
      <c r="D38" s="4" t="s">
        <v>509</v>
      </c>
    </row>
    <row r="39" spans="1:6" ht="33.75" customHeight="1" x14ac:dyDescent="0.25">
      <c r="A39" s="112" t="s">
        <v>10</v>
      </c>
      <c r="B39" s="1" t="s">
        <v>8</v>
      </c>
      <c r="C39" s="2" t="s">
        <v>43</v>
      </c>
      <c r="D39" s="320" t="s">
        <v>288</v>
      </c>
    </row>
    <row r="40" spans="1:6" ht="18.75" customHeight="1" x14ac:dyDescent="0.25">
      <c r="A40" s="112"/>
      <c r="B40" s="1" t="s">
        <v>9</v>
      </c>
      <c r="C40" s="3" t="s">
        <v>403</v>
      </c>
      <c r="D40" s="298" t="s">
        <v>404</v>
      </c>
    </row>
    <row r="41" spans="1:6" ht="32.25" customHeight="1" x14ac:dyDescent="0.25">
      <c r="A41" s="112"/>
      <c r="B41" s="1"/>
      <c r="C41" s="1" t="s">
        <v>187</v>
      </c>
      <c r="D41" s="298" t="s">
        <v>289</v>
      </c>
    </row>
    <row r="42" spans="1:6" ht="18.75" customHeight="1" thickBot="1" x14ac:dyDescent="0.3">
      <c r="A42" s="4"/>
      <c r="B42" s="4"/>
      <c r="C42" s="9" t="s">
        <v>505</v>
      </c>
      <c r="D42" s="322" t="s">
        <v>508</v>
      </c>
    </row>
    <row r="43" spans="1:6" ht="15.75" customHeight="1" x14ac:dyDescent="0.25">
      <c r="A43" s="13" t="s">
        <v>11</v>
      </c>
      <c r="B43" s="7" t="s">
        <v>35</v>
      </c>
      <c r="C43" s="2" t="s">
        <v>188</v>
      </c>
      <c r="D43" s="7" t="s">
        <v>293</v>
      </c>
    </row>
    <row r="44" spans="1:6" ht="15.75" customHeight="1" x14ac:dyDescent="0.25">
      <c r="A44" s="1"/>
      <c r="B44" s="1" t="s">
        <v>37</v>
      </c>
      <c r="C44" s="3" t="s">
        <v>215</v>
      </c>
      <c r="D44" s="3" t="s">
        <v>39</v>
      </c>
      <c r="F44" s="12" t="s">
        <v>211</v>
      </c>
    </row>
    <row r="45" spans="1:6" ht="15.75" customHeight="1" x14ac:dyDescent="0.25">
      <c r="A45" s="1"/>
      <c r="B45" s="1" t="s">
        <v>40</v>
      </c>
      <c r="C45" s="3" t="s">
        <v>216</v>
      </c>
      <c r="D45" s="3" t="s">
        <v>42</v>
      </c>
    </row>
    <row r="46" spans="1:6" ht="15.75" customHeight="1" x14ac:dyDescent="0.25">
      <c r="A46" s="1"/>
      <c r="B46" s="1"/>
      <c r="C46" s="3" t="s">
        <v>217</v>
      </c>
      <c r="D46" s="3" t="s">
        <v>370</v>
      </c>
    </row>
    <row r="47" spans="1:6" x14ac:dyDescent="0.25">
      <c r="A47" s="1"/>
      <c r="B47" s="1"/>
      <c r="C47" s="3" t="s">
        <v>218</v>
      </c>
      <c r="D47" s="3" t="s">
        <v>371</v>
      </c>
    </row>
    <row r="48" spans="1:6" x14ac:dyDescent="0.25">
      <c r="A48" s="1"/>
      <c r="B48" s="1"/>
      <c r="C48" s="3" t="s">
        <v>219</v>
      </c>
      <c r="D48" s="3" t="s">
        <v>278</v>
      </c>
    </row>
    <row r="49" spans="1:4" x14ac:dyDescent="0.25">
      <c r="A49" s="1"/>
      <c r="B49" s="1"/>
      <c r="C49" s="3" t="s">
        <v>25</v>
      </c>
      <c r="D49" s="3" t="s">
        <v>244</v>
      </c>
    </row>
    <row r="50" spans="1:4" ht="18.75" customHeight="1" thickBot="1" x14ac:dyDescent="0.3">
      <c r="A50" s="1"/>
      <c r="B50" s="1"/>
      <c r="C50" s="4" t="s">
        <v>505</v>
      </c>
      <c r="D50" s="296" t="s">
        <v>508</v>
      </c>
    </row>
    <row r="51" spans="1:4" x14ac:dyDescent="0.25">
      <c r="A51" s="13" t="s">
        <v>12</v>
      </c>
      <c r="B51" s="301" t="s">
        <v>511</v>
      </c>
      <c r="C51" s="2" t="s">
        <v>220</v>
      </c>
      <c r="D51" s="323" t="s">
        <v>290</v>
      </c>
    </row>
    <row r="52" spans="1:4" x14ac:dyDescent="0.25">
      <c r="A52" s="1"/>
      <c r="B52" s="1" t="s">
        <v>512</v>
      </c>
      <c r="C52" s="3" t="s">
        <v>221</v>
      </c>
      <c r="D52" s="298" t="s">
        <v>291</v>
      </c>
    </row>
    <row r="53" spans="1:4" ht="31.5" x14ac:dyDescent="0.25">
      <c r="A53" s="1"/>
      <c r="B53" s="1"/>
      <c r="C53" s="411" t="s">
        <v>222</v>
      </c>
      <c r="D53" s="412" t="s">
        <v>292</v>
      </c>
    </row>
    <row r="54" spans="1:4" ht="18.75" customHeight="1" thickBot="1" x14ac:dyDescent="0.3">
      <c r="A54" s="4"/>
      <c r="B54" s="4"/>
      <c r="C54" s="9" t="s">
        <v>505</v>
      </c>
      <c r="D54" s="302" t="s">
        <v>508</v>
      </c>
    </row>
  </sheetData>
  <mergeCells count="1">
    <mergeCell ref="A1:D1"/>
  </mergeCells>
  <phoneticPr fontId="2" type="noConversion"/>
  <printOptions horizontalCentered="1"/>
  <pageMargins left="0.39370078740157483" right="0.39370078740157483" top="0.59055118110236227" bottom="0.19685039370078741" header="0.31496062992125984" footer="0.31496062992125984"/>
  <pageSetup paperSize="9" scale="80" orientation="portrait" horizontalDpi="300" verticalDpi="300" r:id="rId1"/>
  <headerFooter alignWithMargins="0">
    <oddHeader xml:space="preserve">&amp;R1. melléklet a 9/2019.(V.29.)önkormányzati rendelethez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D29"/>
  <sheetViews>
    <sheetView workbookViewId="0">
      <selection activeCell="D26" sqref="D26"/>
    </sheetView>
  </sheetViews>
  <sheetFormatPr defaultRowHeight="12.75" x14ac:dyDescent="0.2"/>
  <cols>
    <col min="2" max="2" width="40.85546875" customWidth="1"/>
    <col min="3" max="3" width="13.5703125" customWidth="1"/>
    <col min="4" max="4" width="12.85546875" customWidth="1"/>
  </cols>
  <sheetData>
    <row r="3" spans="1:4" ht="15.75" x14ac:dyDescent="0.25">
      <c r="A3" s="669" t="s">
        <v>324</v>
      </c>
      <c r="B3" s="669"/>
      <c r="C3" s="669"/>
      <c r="D3" s="669"/>
    </row>
    <row r="4" spans="1:4" ht="13.5" thickBot="1" x14ac:dyDescent="0.25">
      <c r="D4" s="328" t="s">
        <v>210</v>
      </c>
    </row>
    <row r="5" spans="1:4" ht="15.75" x14ac:dyDescent="0.25">
      <c r="A5" s="7"/>
      <c r="B5" s="238"/>
      <c r="C5" s="13" t="s">
        <v>328</v>
      </c>
      <c r="D5" s="13" t="s">
        <v>329</v>
      </c>
    </row>
    <row r="6" spans="1:4" ht="15.75" x14ac:dyDescent="0.25">
      <c r="A6" s="112" t="s">
        <v>45</v>
      </c>
      <c r="B6" s="5" t="s">
        <v>46</v>
      </c>
      <c r="C6" s="112" t="s">
        <v>1055</v>
      </c>
      <c r="D6" s="112" t="s">
        <v>1055</v>
      </c>
    </row>
    <row r="7" spans="1:4" ht="16.5" thickBot="1" x14ac:dyDescent="0.3">
      <c r="A7" s="4"/>
      <c r="B7" s="10"/>
      <c r="C7" s="4"/>
      <c r="D7" s="4"/>
    </row>
    <row r="8" spans="1:4" ht="16.5" thickBot="1" x14ac:dyDescent="0.3">
      <c r="A8" s="114">
        <v>1</v>
      </c>
      <c r="B8" s="114">
        <v>2</v>
      </c>
      <c r="C8" s="114">
        <v>3</v>
      </c>
      <c r="D8" s="114">
        <v>4</v>
      </c>
    </row>
    <row r="9" spans="1:4" ht="15.75" x14ac:dyDescent="0.25">
      <c r="A9" s="113"/>
      <c r="B9" s="1"/>
      <c r="C9" s="1"/>
      <c r="D9" s="1"/>
    </row>
    <row r="10" spans="1:4" ht="15.75" x14ac:dyDescent="0.25">
      <c r="A10" s="112" t="s">
        <v>7</v>
      </c>
      <c r="B10" s="120" t="s">
        <v>93</v>
      </c>
      <c r="C10" s="126">
        <v>680</v>
      </c>
      <c r="D10" s="126">
        <v>0</v>
      </c>
    </row>
    <row r="11" spans="1:4" ht="15.75" x14ac:dyDescent="0.25">
      <c r="A11" s="118"/>
      <c r="B11" s="119"/>
      <c r="C11" s="116"/>
      <c r="D11" s="116"/>
    </row>
    <row r="12" spans="1:4" ht="15.75" x14ac:dyDescent="0.25">
      <c r="A12" s="112"/>
      <c r="B12" s="119"/>
      <c r="C12" s="261"/>
      <c r="D12" s="261"/>
    </row>
    <row r="13" spans="1:4" ht="15.75" x14ac:dyDescent="0.25">
      <c r="A13" s="112" t="s">
        <v>10</v>
      </c>
      <c r="B13" s="119" t="s">
        <v>294</v>
      </c>
      <c r="C13" s="261">
        <v>2777</v>
      </c>
      <c r="D13" s="261">
        <v>0</v>
      </c>
    </row>
    <row r="14" spans="1:4" ht="15.75" x14ac:dyDescent="0.25">
      <c r="A14" s="112"/>
      <c r="B14" s="119"/>
      <c r="C14" s="261"/>
      <c r="D14" s="261"/>
    </row>
    <row r="15" spans="1:4" ht="31.5" x14ac:dyDescent="0.25">
      <c r="A15" s="112" t="s">
        <v>11</v>
      </c>
      <c r="B15" s="327" t="s">
        <v>325</v>
      </c>
      <c r="C15" s="261">
        <v>180</v>
      </c>
      <c r="D15" s="261">
        <v>0</v>
      </c>
    </row>
    <row r="16" spans="1:4" ht="15.75" x14ac:dyDescent="0.25">
      <c r="A16" s="112"/>
      <c r="B16" s="119"/>
      <c r="C16" s="261"/>
      <c r="D16" s="261"/>
    </row>
    <row r="17" spans="1:4" ht="15.75" x14ac:dyDescent="0.25">
      <c r="A17" s="112" t="s">
        <v>12</v>
      </c>
      <c r="B17" s="119" t="s">
        <v>378</v>
      </c>
      <c r="C17" s="261">
        <v>2200</v>
      </c>
      <c r="D17" s="261">
        <v>0</v>
      </c>
    </row>
    <row r="18" spans="1:4" ht="15.75" x14ac:dyDescent="0.25">
      <c r="A18" s="112"/>
      <c r="B18" s="119"/>
      <c r="C18" s="261"/>
      <c r="D18" s="261"/>
    </row>
    <row r="19" spans="1:4" ht="15.75" x14ac:dyDescent="0.25">
      <c r="A19" s="112" t="s">
        <v>13</v>
      </c>
      <c r="B19" s="119" t="s">
        <v>370</v>
      </c>
      <c r="C19" s="261">
        <v>7931</v>
      </c>
      <c r="D19" s="261">
        <v>2180</v>
      </c>
    </row>
    <row r="20" spans="1:4" ht="15.75" x14ac:dyDescent="0.25">
      <c r="A20" s="112"/>
      <c r="B20" s="119"/>
      <c r="C20" s="261"/>
      <c r="D20" s="261"/>
    </row>
    <row r="21" spans="1:4" ht="15.75" x14ac:dyDescent="0.25">
      <c r="A21" s="112" t="s">
        <v>14</v>
      </c>
      <c r="B21" s="119" t="s">
        <v>326</v>
      </c>
      <c r="C21" s="261">
        <v>11577</v>
      </c>
      <c r="D21" s="261">
        <v>7243</v>
      </c>
    </row>
    <row r="22" spans="1:4" ht="15.75" x14ac:dyDescent="0.25">
      <c r="A22" s="112"/>
      <c r="B22" s="119"/>
      <c r="C22" s="261"/>
      <c r="D22" s="261"/>
    </row>
    <row r="23" spans="1:4" ht="15.75" x14ac:dyDescent="0.25">
      <c r="A23" s="112" t="s">
        <v>15</v>
      </c>
      <c r="B23" s="119" t="s">
        <v>327</v>
      </c>
      <c r="C23" s="261">
        <v>5751</v>
      </c>
      <c r="D23" s="261">
        <v>9378</v>
      </c>
    </row>
    <row r="24" spans="1:4" ht="15.75" x14ac:dyDescent="0.25">
      <c r="A24" s="112"/>
      <c r="B24" s="119"/>
      <c r="C24" s="261"/>
      <c r="D24" s="261"/>
    </row>
    <row r="25" spans="1:4" ht="15.75" x14ac:dyDescent="0.25">
      <c r="A25" s="112" t="s">
        <v>16</v>
      </c>
      <c r="B25" s="119" t="s">
        <v>407</v>
      </c>
      <c r="C25" s="261">
        <v>53</v>
      </c>
      <c r="D25" s="261">
        <v>1233</v>
      </c>
    </row>
    <row r="26" spans="1:4" ht="16.5" thickBot="1" x14ac:dyDescent="0.3">
      <c r="A26" s="209"/>
      <c r="B26" s="1"/>
      <c r="C26" s="117"/>
      <c r="D26" s="117"/>
    </row>
    <row r="27" spans="1:4" ht="15.75" x14ac:dyDescent="0.25">
      <c r="A27" s="7"/>
      <c r="B27" s="7"/>
      <c r="C27" s="123"/>
      <c r="D27" s="123"/>
    </row>
    <row r="28" spans="1:4" ht="15.75" x14ac:dyDescent="0.25">
      <c r="A28" s="115"/>
      <c r="B28" s="124" t="s">
        <v>48</v>
      </c>
      <c r="C28" s="125">
        <f>SUM(C10:C25)</f>
        <v>31149</v>
      </c>
      <c r="D28" s="125">
        <f>SUM(D10:D25)</f>
        <v>20034</v>
      </c>
    </row>
    <row r="29" spans="1:4" ht="16.5" thickBot="1" x14ac:dyDescent="0.3">
      <c r="A29" s="324"/>
      <c r="B29" s="325"/>
      <c r="C29" s="326"/>
      <c r="D29" s="326"/>
    </row>
  </sheetData>
  <mergeCells count="1"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&amp;R4/c. melléklet  a 9/2019. (V.29.)
 önkormányzati rendelethez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0"/>
  <sheetViews>
    <sheetView workbookViewId="0">
      <selection activeCell="E32" sqref="E32"/>
    </sheetView>
  </sheetViews>
  <sheetFormatPr defaultRowHeight="12.75" x14ac:dyDescent="0.2"/>
  <cols>
    <col min="2" max="2" width="41.85546875" customWidth="1"/>
    <col min="3" max="3" width="13.28515625" customWidth="1"/>
    <col min="4" max="4" width="13.85546875" customWidth="1"/>
  </cols>
  <sheetData>
    <row r="1" spans="1:4" ht="16.5" customHeight="1" x14ac:dyDescent="0.2"/>
    <row r="2" spans="1:4" ht="16.5" customHeight="1" x14ac:dyDescent="0.2"/>
    <row r="3" spans="1:4" ht="15.75" x14ac:dyDescent="0.25">
      <c r="A3" s="669" t="s">
        <v>330</v>
      </c>
      <c r="B3" s="669"/>
      <c r="C3" s="669"/>
      <c r="D3" s="669"/>
    </row>
    <row r="4" spans="1:4" ht="23.25" customHeight="1" thickBot="1" x14ac:dyDescent="0.25">
      <c r="D4" s="328" t="s">
        <v>210</v>
      </c>
    </row>
    <row r="5" spans="1:4" ht="15.75" x14ac:dyDescent="0.25">
      <c r="A5" s="7"/>
      <c r="B5" s="238"/>
      <c r="C5" s="13" t="s">
        <v>328</v>
      </c>
      <c r="D5" s="13" t="s">
        <v>329</v>
      </c>
    </row>
    <row r="6" spans="1:4" ht="15.75" x14ac:dyDescent="0.25">
      <c r="A6" s="112" t="s">
        <v>45</v>
      </c>
      <c r="B6" s="5" t="s">
        <v>46</v>
      </c>
      <c r="C6" s="112" t="s">
        <v>1055</v>
      </c>
      <c r="D6" s="112" t="s">
        <v>1055</v>
      </c>
    </row>
    <row r="7" spans="1:4" ht="16.5" thickBot="1" x14ac:dyDescent="0.3">
      <c r="A7" s="4"/>
      <c r="B7" s="10"/>
      <c r="C7" s="4"/>
      <c r="D7" s="4"/>
    </row>
    <row r="8" spans="1:4" ht="16.5" thickBot="1" x14ac:dyDescent="0.3">
      <c r="A8" s="114">
        <v>1</v>
      </c>
      <c r="B8" s="114">
        <v>2</v>
      </c>
      <c r="C8" s="114">
        <v>3</v>
      </c>
      <c r="D8" s="114">
        <v>4</v>
      </c>
    </row>
    <row r="9" spans="1:4" ht="15.75" x14ac:dyDescent="0.25">
      <c r="A9" s="112" t="s">
        <v>7</v>
      </c>
      <c r="B9" s="120" t="s">
        <v>335</v>
      </c>
      <c r="C9" s="1"/>
      <c r="D9" s="1"/>
    </row>
    <row r="10" spans="1:4" ht="15.75" x14ac:dyDescent="0.25">
      <c r="A10" s="112"/>
      <c r="B10" s="117" t="s">
        <v>331</v>
      </c>
      <c r="C10" s="126">
        <v>0</v>
      </c>
      <c r="D10" s="126">
        <v>36329</v>
      </c>
    </row>
    <row r="11" spans="1:4" ht="15.75" x14ac:dyDescent="0.25">
      <c r="A11" s="118"/>
      <c r="B11" s="117" t="s">
        <v>332</v>
      </c>
      <c r="C11" s="261">
        <v>0</v>
      </c>
      <c r="D11" s="261">
        <v>4699</v>
      </c>
    </row>
    <row r="12" spans="1:4" ht="15.75" x14ac:dyDescent="0.25">
      <c r="A12" s="112"/>
      <c r="B12" s="117" t="s">
        <v>333</v>
      </c>
      <c r="C12" s="261">
        <v>0</v>
      </c>
      <c r="D12" s="261">
        <v>1198</v>
      </c>
    </row>
    <row r="13" spans="1:4" ht="15.75" x14ac:dyDescent="0.25">
      <c r="A13" s="112"/>
      <c r="B13" s="119"/>
      <c r="C13" s="261"/>
      <c r="D13" s="261"/>
    </row>
    <row r="14" spans="1:4" ht="15.75" x14ac:dyDescent="0.25">
      <c r="A14" s="112" t="s">
        <v>10</v>
      </c>
      <c r="B14" s="119" t="s">
        <v>334</v>
      </c>
      <c r="C14" s="261">
        <v>45129</v>
      </c>
      <c r="D14" s="261">
        <v>44650</v>
      </c>
    </row>
    <row r="15" spans="1:4" ht="15.75" x14ac:dyDescent="0.25">
      <c r="A15" s="112"/>
      <c r="B15" s="119"/>
      <c r="C15" s="261"/>
      <c r="D15" s="261"/>
    </row>
    <row r="16" spans="1:4" ht="18.75" customHeight="1" x14ac:dyDescent="0.25">
      <c r="A16" s="112" t="s">
        <v>11</v>
      </c>
      <c r="B16" s="120" t="s">
        <v>223</v>
      </c>
      <c r="C16" s="261">
        <v>4610</v>
      </c>
      <c r="D16" s="261">
        <v>4405</v>
      </c>
    </row>
    <row r="17" spans="1:4" ht="16.5" thickBot="1" x14ac:dyDescent="0.3">
      <c r="A17" s="112"/>
      <c r="B17" s="119"/>
      <c r="C17" s="261"/>
      <c r="D17" s="261"/>
    </row>
    <row r="18" spans="1:4" ht="15.75" x14ac:dyDescent="0.25">
      <c r="A18" s="7"/>
      <c r="B18" s="7"/>
      <c r="C18" s="123"/>
      <c r="D18" s="123"/>
    </row>
    <row r="19" spans="1:4" ht="15.75" x14ac:dyDescent="0.25">
      <c r="A19" s="115"/>
      <c r="B19" s="124" t="s">
        <v>48</v>
      </c>
      <c r="C19" s="125">
        <f>SUM(C10:C17)</f>
        <v>49739</v>
      </c>
      <c r="D19" s="125">
        <f>SUM(D10:D17)</f>
        <v>91281</v>
      </c>
    </row>
    <row r="20" spans="1:4" ht="16.5" thickBot="1" x14ac:dyDescent="0.3">
      <c r="A20" s="324"/>
      <c r="B20" s="325"/>
      <c r="C20" s="326"/>
      <c r="D20" s="326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&amp;R4/d. sz. melléklet a 9/2019. (V.29.) önkormányzati rendelethez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9"/>
  <sheetViews>
    <sheetView topLeftCell="A19" workbookViewId="0">
      <selection activeCell="C38" sqref="C38"/>
    </sheetView>
  </sheetViews>
  <sheetFormatPr defaultRowHeight="15.75" x14ac:dyDescent="0.25"/>
  <cols>
    <col min="1" max="1" width="43.5703125" style="12" customWidth="1"/>
    <col min="2" max="3" width="12.28515625" style="12" customWidth="1"/>
    <col min="4" max="4" width="49.140625" style="12" customWidth="1"/>
    <col min="5" max="6" width="11.42578125" style="12" customWidth="1"/>
    <col min="7" max="16384" width="9.140625" style="12"/>
  </cols>
  <sheetData>
    <row r="1" spans="1:6" x14ac:dyDescent="0.25">
      <c r="A1" s="669" t="s">
        <v>431</v>
      </c>
      <c r="B1" s="669"/>
      <c r="C1" s="669"/>
      <c r="D1" s="669"/>
    </row>
    <row r="2" spans="1:6" x14ac:dyDescent="0.25">
      <c r="A2" s="669" t="s">
        <v>169</v>
      </c>
      <c r="B2" s="669"/>
      <c r="C2" s="669"/>
      <c r="D2" s="669"/>
    </row>
    <row r="3" spans="1:6" ht="16.5" thickBot="1" x14ac:dyDescent="0.3">
      <c r="D3" s="27" t="s">
        <v>494</v>
      </c>
    </row>
    <row r="4" spans="1:6" ht="21" customHeight="1" x14ac:dyDescent="0.25">
      <c r="A4" s="683" t="s">
        <v>113</v>
      </c>
      <c r="B4" s="361" t="s">
        <v>432</v>
      </c>
      <c r="C4" s="451" t="s">
        <v>522</v>
      </c>
      <c r="D4" s="683" t="s">
        <v>113</v>
      </c>
      <c r="E4" s="28" t="s">
        <v>432</v>
      </c>
      <c r="F4" s="13" t="s">
        <v>522</v>
      </c>
    </row>
    <row r="5" spans="1:6" ht="21" customHeight="1" thickBot="1" x14ac:dyDescent="0.3">
      <c r="A5" s="684"/>
      <c r="B5" s="362" t="s">
        <v>1010</v>
      </c>
      <c r="C5" s="452"/>
      <c r="D5" s="684"/>
      <c r="E5" s="68" t="s">
        <v>1010</v>
      </c>
      <c r="F5" s="554"/>
    </row>
    <row r="6" spans="1:6" ht="21" customHeight="1" x14ac:dyDescent="0.25">
      <c r="A6" s="355" t="s">
        <v>115</v>
      </c>
      <c r="B6" s="222"/>
      <c r="C6" s="222"/>
      <c r="D6" s="355" t="s">
        <v>116</v>
      </c>
      <c r="F6" s="449"/>
    </row>
    <row r="7" spans="1:6" ht="21" customHeight="1" x14ac:dyDescent="0.25">
      <c r="A7" s="69" t="s">
        <v>117</v>
      </c>
      <c r="B7" s="363">
        <f>+'3. sz. m. (mód) '!G86</f>
        <v>42162</v>
      </c>
      <c r="C7" s="363">
        <f>+'3. sz. m. (mód) '!H86</f>
        <v>47104</v>
      </c>
      <c r="D7" s="290" t="s">
        <v>255</v>
      </c>
      <c r="E7" s="363">
        <f>+'4 sz. m.(mód) '!H312-'4 sz. m.(mód) '!H305-'4 sz. m.(mód) '!H308</f>
        <v>547665</v>
      </c>
      <c r="F7" s="43">
        <f>+'4 sz. m.(mód) '!I312-'4 sz. m.(mód) '!I305-'4 sz. m.(mód) '!I308</f>
        <v>435194</v>
      </c>
    </row>
    <row r="8" spans="1:6" ht="21" customHeight="1" x14ac:dyDescent="0.25">
      <c r="A8" s="69" t="s">
        <v>118</v>
      </c>
      <c r="B8" s="363">
        <f>+'3. sz. m. (mód) '!G87</f>
        <v>26018</v>
      </c>
      <c r="C8" s="363">
        <f>+'3. sz. m. (mód) '!H87</f>
        <v>42226</v>
      </c>
      <c r="D8" s="70" t="s">
        <v>119</v>
      </c>
      <c r="E8" s="363">
        <f>+'4 sz. m.(mód) '!H486</f>
        <v>52962</v>
      </c>
      <c r="F8" s="43">
        <f>+'4 sz. m.(mód) '!I486</f>
        <v>48885</v>
      </c>
    </row>
    <row r="9" spans="1:6" ht="21" customHeight="1" x14ac:dyDescent="0.25">
      <c r="A9" s="69" t="s">
        <v>272</v>
      </c>
      <c r="B9" s="363">
        <f>+'3. sz. m. (mód) '!G88</f>
        <v>147062</v>
      </c>
      <c r="C9" s="363">
        <f>+'3. sz. m. (mód) '!H88</f>
        <v>147081</v>
      </c>
      <c r="D9" s="70" t="s">
        <v>120</v>
      </c>
      <c r="E9" s="363">
        <f>+'4 sz. m.(mód) '!H393</f>
        <v>51546</v>
      </c>
      <c r="F9" s="43">
        <f>+'4 sz. m.(mód) '!I393</f>
        <v>39827</v>
      </c>
    </row>
    <row r="10" spans="1:6" ht="21" customHeight="1" x14ac:dyDescent="0.25">
      <c r="A10" s="69" t="s">
        <v>122</v>
      </c>
      <c r="B10" s="363">
        <f>+'3. sz. m. (mód) '!G90</f>
        <v>388300</v>
      </c>
      <c r="C10" s="363">
        <f>+'3. sz. m. (mód) '!H90</f>
        <v>373435</v>
      </c>
      <c r="D10" s="69" t="s">
        <v>312</v>
      </c>
      <c r="E10" s="224">
        <f>+'4 sz. m.(mód) '!H533</f>
        <v>46924</v>
      </c>
      <c r="F10" s="243">
        <f>+'4 sz. m.(mód) '!I533</f>
        <v>44334</v>
      </c>
    </row>
    <row r="11" spans="1:6" ht="21" customHeight="1" x14ac:dyDescent="0.25">
      <c r="A11" s="69" t="s">
        <v>124</v>
      </c>
      <c r="B11" s="363">
        <v>0</v>
      </c>
      <c r="C11" s="363">
        <v>0</v>
      </c>
      <c r="D11" s="70" t="s">
        <v>121</v>
      </c>
      <c r="E11" s="363">
        <f>+'4 sz. m.(mód) '!H549</f>
        <v>4870</v>
      </c>
      <c r="F11" s="43">
        <f>+'4 sz. m.(mód) '!I549</f>
        <v>3557</v>
      </c>
    </row>
    <row r="12" spans="1:6" ht="33" customHeight="1" x14ac:dyDescent="0.25">
      <c r="A12" s="295" t="s">
        <v>1019</v>
      </c>
      <c r="B12" s="363">
        <f>+'3. sz. m. (mód) '!G89</f>
        <v>16</v>
      </c>
      <c r="C12" s="363">
        <f>+'3. sz. m. (mód) '!H89</f>
        <v>7737</v>
      </c>
      <c r="D12" s="70" t="s">
        <v>123</v>
      </c>
      <c r="E12" s="363">
        <f>+'4 sz. m.(mód) '!Q306</f>
        <v>0</v>
      </c>
      <c r="F12" s="43"/>
    </row>
    <row r="13" spans="1:6" ht="21" customHeight="1" x14ac:dyDescent="0.25">
      <c r="A13" s="71" t="s">
        <v>126</v>
      </c>
      <c r="B13" s="42">
        <f>+'3. sz. m. (mód) '!G91</f>
        <v>70409</v>
      </c>
      <c r="C13" s="363">
        <f>+'3. sz. m. (mód) '!H91</f>
        <v>70410</v>
      </c>
      <c r="D13" s="70" t="s">
        <v>125</v>
      </c>
      <c r="E13" s="363">
        <f>+'4 sz. m.(mód) '!Q307</f>
        <v>0</v>
      </c>
      <c r="F13" s="43"/>
    </row>
    <row r="14" spans="1:6" ht="21" customHeight="1" x14ac:dyDescent="0.25">
      <c r="A14" s="71" t="s">
        <v>502</v>
      </c>
      <c r="B14" s="366">
        <f>+'3. sz. m. (mód) '!G93</f>
        <v>30000</v>
      </c>
      <c r="C14" s="43">
        <f>+'3. sz. m. (mód) '!H93</f>
        <v>30000</v>
      </c>
      <c r="D14" s="76"/>
      <c r="E14" s="366"/>
      <c r="F14" s="43"/>
    </row>
    <row r="15" spans="1:6" ht="21" customHeight="1" thickBot="1" x14ac:dyDescent="0.3">
      <c r="A15" s="77" t="s">
        <v>1009</v>
      </c>
      <c r="B15" s="110">
        <f>+'3. sz. m. (mód) '!G24</f>
        <v>0</v>
      </c>
      <c r="C15" s="224">
        <f>+'3. sz. m. (mód) '!H24</f>
        <v>5539</v>
      </c>
      <c r="D15" s="553"/>
      <c r="E15" s="305"/>
      <c r="F15" s="78"/>
    </row>
    <row r="16" spans="1:6" ht="21" customHeight="1" thickBot="1" x14ac:dyDescent="0.3">
      <c r="A16" s="72" t="s">
        <v>127</v>
      </c>
      <c r="B16" s="364">
        <f>SUM(B7:B14)</f>
        <v>703967</v>
      </c>
      <c r="C16" s="364">
        <f>SUM(C7:C15)</f>
        <v>723532</v>
      </c>
      <c r="D16" s="315" t="s">
        <v>63</v>
      </c>
      <c r="E16" s="73">
        <f>SUM(E7:E14)</f>
        <v>703967</v>
      </c>
      <c r="F16" s="73">
        <f>SUM(F7:F14)</f>
        <v>571797</v>
      </c>
    </row>
    <row r="17" spans="1:6" ht="21" customHeight="1" x14ac:dyDescent="0.25">
      <c r="A17" s="74" t="s">
        <v>128</v>
      </c>
      <c r="B17" s="365"/>
      <c r="C17" s="212"/>
      <c r="D17" s="316" t="s">
        <v>129</v>
      </c>
      <c r="E17" s="180"/>
      <c r="F17" s="43"/>
    </row>
    <row r="18" spans="1:6" ht="21" customHeight="1" x14ac:dyDescent="0.25">
      <c r="A18" s="40" t="s">
        <v>130</v>
      </c>
      <c r="B18" s="363">
        <f>+'3. sz. m. (mód) '!G98+'3. sz. m. (mód) '!G99</f>
        <v>9636</v>
      </c>
      <c r="C18" s="363">
        <f>+'3. sz. m. (mód) '!H98+'3. sz. m. (mód) '!H99</f>
        <v>7819</v>
      </c>
      <c r="D18" s="40" t="s">
        <v>474</v>
      </c>
      <c r="E18" s="555">
        <f>+'4 sz. m.(mód) '!H559</f>
        <v>360387</v>
      </c>
      <c r="F18" s="419">
        <f>+'4 sz. m.(mód) '!I559</f>
        <v>321590</v>
      </c>
    </row>
    <row r="19" spans="1:6" ht="21" customHeight="1" x14ac:dyDescent="0.25">
      <c r="A19" s="40" t="s">
        <v>131</v>
      </c>
      <c r="B19" s="363">
        <f>+'3. sz. m. (mód) '!G102</f>
        <v>6368</v>
      </c>
      <c r="C19" s="363">
        <f>+'3. sz. m. (mód) '!H102</f>
        <v>110</v>
      </c>
      <c r="D19" s="40" t="s">
        <v>295</v>
      </c>
      <c r="E19" s="555">
        <f>+'4 sz. m.(mód) '!H560+'4 sz. m.(mód) '!H575</f>
        <v>190684</v>
      </c>
      <c r="F19" s="318">
        <f>+'4 sz. m.(mód) '!I560+'4 sz. m.(mód) '!I575</f>
        <v>23503</v>
      </c>
    </row>
    <row r="20" spans="1:6" ht="21" customHeight="1" x14ac:dyDescent="0.25">
      <c r="A20" s="40" t="s">
        <v>132</v>
      </c>
      <c r="B20" s="363">
        <f>+'3. sz. m. (mód) '!G103</f>
        <v>735647</v>
      </c>
      <c r="C20" s="363">
        <f>+'3. sz. m. (mód) '!H103</f>
        <v>735647</v>
      </c>
      <c r="D20" s="40" t="s">
        <v>1013</v>
      </c>
      <c r="E20" s="555">
        <f>+'4 sz. m.(mód) '!H561</f>
        <v>1851</v>
      </c>
      <c r="F20" s="318">
        <f>+'4 sz. m.(mód) '!I561</f>
        <v>327</v>
      </c>
    </row>
    <row r="21" spans="1:6" ht="21" customHeight="1" x14ac:dyDescent="0.25">
      <c r="A21" s="40" t="s">
        <v>133</v>
      </c>
      <c r="B21" s="363">
        <f>+'3. sz. m. (mód) '!G106</f>
        <v>80000</v>
      </c>
      <c r="C21" s="363">
        <f>+'3. sz. m. (mód) '!H106</f>
        <v>80000</v>
      </c>
      <c r="D21" s="40" t="s">
        <v>1014</v>
      </c>
      <c r="E21" s="555">
        <f>+'4 sz. m.(mód) '!H562</f>
        <v>1077</v>
      </c>
      <c r="F21" s="318">
        <f>+'4 sz. m.(mód) '!I562</f>
        <v>818</v>
      </c>
    </row>
    <row r="22" spans="1:6" ht="21" customHeight="1" x14ac:dyDescent="0.25">
      <c r="A22" s="40" t="s">
        <v>184</v>
      </c>
      <c r="B22" s="363">
        <f>+'3. sz. m. (mód) '!G100</f>
        <v>53611</v>
      </c>
      <c r="C22" s="363">
        <f>+'3. sz. m. (mód) '!H100</f>
        <v>41076</v>
      </c>
      <c r="D22" s="40" t="s">
        <v>466</v>
      </c>
      <c r="E22" s="555">
        <f>+'4 sz. m.(mód) '!H563</f>
        <v>447</v>
      </c>
      <c r="F22" s="318">
        <f>+'4 sz. m.(mód) '!I563</f>
        <v>402</v>
      </c>
    </row>
    <row r="23" spans="1:6" ht="21" customHeight="1" x14ac:dyDescent="0.25">
      <c r="A23" s="40"/>
      <c r="B23" s="42"/>
      <c r="C23" s="375"/>
      <c r="D23" s="40" t="s">
        <v>467</v>
      </c>
      <c r="E23" s="555">
        <f>+'4 sz. m.(mód) '!H564</f>
        <v>101028</v>
      </c>
      <c r="F23" s="318">
        <f>+'4 sz. m.(mód) '!I564</f>
        <v>101028</v>
      </c>
    </row>
    <row r="24" spans="1:6" ht="21" customHeight="1" x14ac:dyDescent="0.25">
      <c r="A24" s="40"/>
      <c r="B24" s="42"/>
      <c r="C24" s="375"/>
      <c r="D24" s="40" t="s">
        <v>472</v>
      </c>
      <c r="E24" s="555">
        <f>+'4 sz. m.(mód) '!H565</f>
        <v>85128</v>
      </c>
      <c r="F24" s="318">
        <f>+'4 sz. m.(mód) '!I565</f>
        <v>0</v>
      </c>
    </row>
    <row r="25" spans="1:6" ht="21" customHeight="1" x14ac:dyDescent="0.25">
      <c r="A25" s="40"/>
      <c r="B25" s="42"/>
      <c r="C25" s="375"/>
      <c r="D25" s="40" t="s">
        <v>476</v>
      </c>
      <c r="E25" s="555">
        <f>+'4 sz. m.(mód) '!H566</f>
        <v>1690</v>
      </c>
      <c r="F25" s="318">
        <f>+'4 sz. m.(mód) '!I566</f>
        <v>1600</v>
      </c>
    </row>
    <row r="26" spans="1:6" ht="21" customHeight="1" x14ac:dyDescent="0.25">
      <c r="A26" s="40"/>
      <c r="B26" s="42"/>
      <c r="C26" s="375"/>
      <c r="D26" s="40" t="s">
        <v>477</v>
      </c>
      <c r="E26" s="555">
        <f>+'4 sz. m.(mód) '!H567</f>
        <v>500</v>
      </c>
      <c r="F26" s="318">
        <f>+'4 sz. m.(mód) '!I567</f>
        <v>500</v>
      </c>
    </row>
    <row r="27" spans="1:6" ht="21" customHeight="1" x14ac:dyDescent="0.25">
      <c r="A27" s="40"/>
      <c r="B27" s="42"/>
      <c r="C27" s="375"/>
      <c r="D27" s="40" t="s">
        <v>478</v>
      </c>
      <c r="E27" s="555">
        <f>+'4 sz. m.(mód) '!H568</f>
        <v>240</v>
      </c>
      <c r="F27" s="318">
        <f>+'4 sz. m.(mód) '!I568</f>
        <v>240</v>
      </c>
    </row>
    <row r="28" spans="1:6" ht="21" customHeight="1" x14ac:dyDescent="0.25">
      <c r="A28" s="40"/>
      <c r="B28" s="42"/>
      <c r="C28" s="375"/>
      <c r="D28" s="40" t="s">
        <v>462</v>
      </c>
      <c r="E28" s="555">
        <f>+'4 sz. m.(mód) '!H576</f>
        <v>13900</v>
      </c>
      <c r="F28" s="318">
        <f>+'4 sz. m.(mód) '!I576</f>
        <v>15300</v>
      </c>
    </row>
    <row r="29" spans="1:6" ht="21" customHeight="1" x14ac:dyDescent="0.25">
      <c r="A29" s="40"/>
      <c r="B29" s="42"/>
      <c r="C29" s="375"/>
      <c r="D29" s="40" t="s">
        <v>473</v>
      </c>
      <c r="E29" s="555">
        <f>+'4 sz. m.(mód) '!H577</f>
        <v>52532</v>
      </c>
      <c r="F29" s="318">
        <f>+'4 sz. m.(mód) '!I577</f>
        <v>53562</v>
      </c>
    </row>
    <row r="30" spans="1:6" ht="21" customHeight="1" x14ac:dyDescent="0.25">
      <c r="A30" s="40"/>
      <c r="B30" s="42"/>
      <c r="C30" s="375"/>
      <c r="D30" s="40" t="s">
        <v>469</v>
      </c>
      <c r="E30" s="555">
        <f>+'4 sz. m.(mód) '!H578</f>
        <v>14694</v>
      </c>
      <c r="F30" s="318">
        <f>+'4 sz. m.(mód) '!I578</f>
        <v>14694</v>
      </c>
    </row>
    <row r="31" spans="1:6" ht="21" customHeight="1" x14ac:dyDescent="0.25">
      <c r="A31" s="40"/>
      <c r="B31" s="42"/>
      <c r="C31" s="375"/>
      <c r="D31" s="40" t="s">
        <v>475</v>
      </c>
      <c r="E31" s="555">
        <f>+'4 sz. m.(mód) '!H579</f>
        <v>14455</v>
      </c>
      <c r="F31" s="318">
        <f>+'4 sz. m.(mód) '!I579</f>
        <v>14305</v>
      </c>
    </row>
    <row r="32" spans="1:6" ht="21" customHeight="1" x14ac:dyDescent="0.25">
      <c r="A32" s="40"/>
      <c r="B32" s="42"/>
      <c r="C32" s="375"/>
      <c r="D32" s="40" t="s">
        <v>479</v>
      </c>
      <c r="E32" s="555">
        <f>+'4 sz. m.(mód) '!H580</f>
        <v>26302</v>
      </c>
      <c r="F32" s="318">
        <f>+'4 sz. m.(mód) '!I580</f>
        <v>0</v>
      </c>
    </row>
    <row r="33" spans="1:6" ht="21" customHeight="1" x14ac:dyDescent="0.25">
      <c r="A33" s="40"/>
      <c r="B33" s="42"/>
      <c r="C33" s="375"/>
      <c r="D33" s="40" t="s">
        <v>376</v>
      </c>
      <c r="E33" s="555">
        <f>+'4 sz. m.(mód) '!H581</f>
        <v>1233</v>
      </c>
      <c r="F33" s="318">
        <f>+'4 sz. m.(mód) '!I581</f>
        <v>1205</v>
      </c>
    </row>
    <row r="34" spans="1:6" ht="21" customHeight="1" x14ac:dyDescent="0.25">
      <c r="A34" s="40"/>
      <c r="B34" s="46"/>
      <c r="C34" s="168"/>
      <c r="D34" s="40" t="s">
        <v>493</v>
      </c>
      <c r="E34" s="556">
        <f>+'4 sz. m.(mód) '!H582+'4 sz. m.(mód) '!H570</f>
        <v>5014</v>
      </c>
      <c r="F34" s="419">
        <f>+'4 sz. m.(mód) '!I582+'4 sz. m.(mód) '!I570</f>
        <v>4961</v>
      </c>
    </row>
    <row r="35" spans="1:6" ht="21" customHeight="1" x14ac:dyDescent="0.25">
      <c r="A35" s="60"/>
      <c r="B35" s="46"/>
      <c r="C35" s="42"/>
      <c r="D35" s="86" t="s">
        <v>517</v>
      </c>
      <c r="E35" s="559">
        <f>+'4 sz. m.(mód) '!H583</f>
        <v>12000</v>
      </c>
      <c r="F35" s="419">
        <f>+'4 sz. m.(mód) '!I583</f>
        <v>0</v>
      </c>
    </row>
    <row r="36" spans="1:6" ht="21" customHeight="1" thickBot="1" x14ac:dyDescent="0.3">
      <c r="A36" s="77"/>
      <c r="B36" s="110"/>
      <c r="C36" s="14"/>
      <c r="D36" s="10" t="s">
        <v>516</v>
      </c>
      <c r="E36" s="557">
        <f>+'4 sz. m.(mód) '!H571</f>
        <v>2100</v>
      </c>
      <c r="F36" s="418">
        <f>+'4 sz. m.(mód) '!I571</f>
        <v>2055</v>
      </c>
    </row>
    <row r="37" spans="1:6" ht="21" customHeight="1" thickBot="1" x14ac:dyDescent="0.3">
      <c r="A37" s="79" t="s">
        <v>63</v>
      </c>
      <c r="B37" s="364">
        <f>SUM(B18:B34)</f>
        <v>885262</v>
      </c>
      <c r="C37" s="364">
        <f>SUM(C18:C34)</f>
        <v>864652</v>
      </c>
      <c r="D37" s="368" t="s">
        <v>63</v>
      </c>
      <c r="E37" s="558">
        <f>SUM(E18:E36)</f>
        <v>885262</v>
      </c>
      <c r="F37" s="319">
        <f>SUM(F18:F36)</f>
        <v>556090</v>
      </c>
    </row>
    <row r="38" spans="1:6" ht="21" customHeight="1" thickBot="1" x14ac:dyDescent="0.3">
      <c r="A38" s="237" t="s">
        <v>134</v>
      </c>
      <c r="B38" s="367">
        <f>SUM(B16+B37)</f>
        <v>1589229</v>
      </c>
      <c r="C38" s="367">
        <f>SUM(C16+C37)</f>
        <v>1588184</v>
      </c>
      <c r="D38" s="369" t="s">
        <v>135</v>
      </c>
      <c r="E38" s="367">
        <f>SUM(E16+E37)</f>
        <v>1589229</v>
      </c>
      <c r="F38" s="81">
        <f>SUM(F16+F37)</f>
        <v>1127887</v>
      </c>
    </row>
    <row r="39" spans="1:6" x14ac:dyDescent="0.25">
      <c r="A39" s="26"/>
      <c r="B39" s="67"/>
      <c r="C39" s="67"/>
      <c r="D39" s="14"/>
    </row>
  </sheetData>
  <mergeCells count="4">
    <mergeCell ref="A4:A5"/>
    <mergeCell ref="D4:D5"/>
    <mergeCell ref="A1:D1"/>
    <mergeCell ref="A2:D2"/>
  </mergeCells>
  <phoneticPr fontId="2" type="noConversion"/>
  <printOptions horizontalCentered="1"/>
  <pageMargins left="0.19685039370078741" right="0.19685039370078741" top="0.35433070866141736" bottom="0.35433070866141736" header="0.11811023622047245" footer="0.11811023622047245"/>
  <pageSetup paperSize="9" scale="70" orientation="portrait" horizontalDpi="300" verticalDpi="300" r:id="rId1"/>
  <headerFooter alignWithMargins="0">
    <oddHeader>&amp;R5.melléklet a 5/2019.(V.29.)
önkormányzati rendelethez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2"/>
  <sheetViews>
    <sheetView workbookViewId="0">
      <selection activeCell="D22" sqref="D22:E22"/>
    </sheetView>
  </sheetViews>
  <sheetFormatPr defaultRowHeight="15.75" x14ac:dyDescent="0.25"/>
  <cols>
    <col min="1" max="1" width="6.42578125" style="12" customWidth="1"/>
    <col min="2" max="2" width="42.7109375" style="12" customWidth="1"/>
    <col min="3" max="3" width="11.140625" style="12" customWidth="1"/>
    <col min="4" max="5" width="10.7109375" style="12" customWidth="1"/>
    <col min="6" max="16384" width="9.140625" style="12"/>
  </cols>
  <sheetData>
    <row r="1" spans="1:5" ht="18" customHeight="1" x14ac:dyDescent="0.25">
      <c r="A1" s="669" t="s">
        <v>160</v>
      </c>
      <c r="B1" s="669"/>
      <c r="C1" s="669"/>
      <c r="D1" s="669"/>
      <c r="E1" s="669"/>
    </row>
    <row r="2" spans="1:5" ht="18" customHeight="1" x14ac:dyDescent="0.25">
      <c r="A2" s="669" t="s">
        <v>428</v>
      </c>
      <c r="B2" s="669"/>
      <c r="C2" s="669"/>
      <c r="D2" s="669"/>
      <c r="E2" s="669"/>
    </row>
    <row r="3" spans="1:5" ht="18" customHeight="1" thickBot="1" x14ac:dyDescent="0.3">
      <c r="B3" s="29"/>
      <c r="E3" s="27" t="s">
        <v>159</v>
      </c>
    </row>
    <row r="4" spans="1:5" ht="18" customHeight="1" x14ac:dyDescent="0.25">
      <c r="A4" s="30" t="s">
        <v>136</v>
      </c>
      <c r="B4" s="31" t="s">
        <v>46</v>
      </c>
      <c r="C4" s="685" t="s">
        <v>429</v>
      </c>
      <c r="D4" s="686"/>
      <c r="E4" s="687"/>
    </row>
    <row r="5" spans="1:5" ht="18" customHeight="1" x14ac:dyDescent="0.25">
      <c r="A5" s="32"/>
      <c r="B5" s="33"/>
      <c r="C5" s="34" t="s">
        <v>91</v>
      </c>
      <c r="D5" s="35"/>
      <c r="E5" s="36"/>
    </row>
    <row r="6" spans="1:5" ht="18" customHeight="1" x14ac:dyDescent="0.25">
      <c r="A6" s="32"/>
      <c r="B6" s="37"/>
      <c r="C6" s="38" t="s">
        <v>137</v>
      </c>
      <c r="E6" s="39"/>
    </row>
    <row r="7" spans="1:5" ht="18" customHeight="1" x14ac:dyDescent="0.25">
      <c r="A7" s="141" t="s">
        <v>7</v>
      </c>
      <c r="B7" s="41" t="s">
        <v>138</v>
      </c>
      <c r="C7" s="42">
        <f>+'3. sz. m. (mód) '!F86</f>
        <v>34562</v>
      </c>
      <c r="D7" s="42">
        <f>+'3. sz. m. (mód) '!G86</f>
        <v>42162</v>
      </c>
      <c r="E7" s="42">
        <f>+'3. sz. m. (mód) '!H86</f>
        <v>47104</v>
      </c>
    </row>
    <row r="8" spans="1:5" ht="18" customHeight="1" x14ac:dyDescent="0.25">
      <c r="A8" s="141" t="s">
        <v>10</v>
      </c>
      <c r="B8" s="41" t="s">
        <v>139</v>
      </c>
      <c r="C8" s="42">
        <f>+'3. sz. m. (mód) '!F87</f>
        <v>25118</v>
      </c>
      <c r="D8" s="42">
        <f>+'3. sz. m. (mód) '!G87</f>
        <v>26018</v>
      </c>
      <c r="E8" s="42">
        <f>+'3. sz. m. (mód) '!H87</f>
        <v>42226</v>
      </c>
    </row>
    <row r="9" spans="1:5" ht="18" customHeight="1" x14ac:dyDescent="0.25">
      <c r="A9" s="141" t="s">
        <v>11</v>
      </c>
      <c r="B9" s="41" t="s">
        <v>189</v>
      </c>
      <c r="C9" s="42">
        <f>+'3. sz. m. (mód) '!F88</f>
        <v>145686</v>
      </c>
      <c r="D9" s="42">
        <f>+'3. sz. m. (mód) '!G88</f>
        <v>147062</v>
      </c>
      <c r="E9" s="42">
        <f>+'3. sz. m. (mód) '!H88</f>
        <v>147081</v>
      </c>
    </row>
    <row r="10" spans="1:5" ht="18" customHeight="1" x14ac:dyDescent="0.25">
      <c r="A10" s="141" t="s">
        <v>13</v>
      </c>
      <c r="B10" s="41" t="s">
        <v>67</v>
      </c>
      <c r="C10" s="42">
        <f>+'3. sz. m. (mód) '!F90+'3. sz. m. (mód) '!F89</f>
        <v>345576</v>
      </c>
      <c r="D10" s="42">
        <f>+'3. sz. m. (mód) '!G90+'3. sz. m. (mód) '!G89</f>
        <v>388316</v>
      </c>
      <c r="E10" s="42">
        <f>+'3. sz. m. (mód) '!H90+'3. sz. m. (mód) '!H89</f>
        <v>381172</v>
      </c>
    </row>
    <row r="11" spans="1:5" ht="18" customHeight="1" x14ac:dyDescent="0.25">
      <c r="A11" s="141" t="s">
        <v>14</v>
      </c>
      <c r="B11" s="41" t="s">
        <v>82</v>
      </c>
      <c r="C11" s="42">
        <v>0</v>
      </c>
      <c r="D11" s="42">
        <v>0</v>
      </c>
      <c r="E11" s="42">
        <v>0</v>
      </c>
    </row>
    <row r="12" spans="1:5" ht="18" customHeight="1" x14ac:dyDescent="0.25">
      <c r="A12" s="206" t="s">
        <v>15</v>
      </c>
      <c r="B12" s="41" t="s">
        <v>140</v>
      </c>
      <c r="C12" s="42">
        <f>+'3. sz. m. (mód) '!F91</f>
        <v>71739</v>
      </c>
      <c r="D12" s="42">
        <f>+'3. sz. m. (mód) '!G91</f>
        <v>70409</v>
      </c>
      <c r="E12" s="42">
        <f>+'3. sz. m. (mód) '!H91</f>
        <v>70410</v>
      </c>
    </row>
    <row r="13" spans="1:5" ht="18" customHeight="1" x14ac:dyDescent="0.25">
      <c r="A13" s="206" t="s">
        <v>16</v>
      </c>
      <c r="B13" s="41" t="s">
        <v>501</v>
      </c>
      <c r="C13" s="42"/>
      <c r="D13" s="42">
        <f>'3. sz. m. (mód) '!G93</f>
        <v>30000</v>
      </c>
      <c r="E13" s="42">
        <f>'3. sz. m. (mód) '!H93</f>
        <v>30000</v>
      </c>
    </row>
    <row r="14" spans="1:5" ht="18" customHeight="1" thickBot="1" x14ac:dyDescent="0.3">
      <c r="A14" s="206" t="s">
        <v>17</v>
      </c>
      <c r="B14" s="41" t="s">
        <v>1008</v>
      </c>
      <c r="C14" s="42"/>
      <c r="D14" s="42"/>
      <c r="E14" s="42">
        <f>'3. sz. m. (mód) '!H94</f>
        <v>5539</v>
      </c>
    </row>
    <row r="15" spans="1:5" ht="18" customHeight="1" thickBot="1" x14ac:dyDescent="0.3">
      <c r="A15" s="207"/>
      <c r="B15" s="567" t="s">
        <v>141</v>
      </c>
      <c r="C15" s="175">
        <f>SUM(C7:C12)</f>
        <v>622681</v>
      </c>
      <c r="D15" s="175">
        <f>SUM(D7:D13)</f>
        <v>703967</v>
      </c>
      <c r="E15" s="175">
        <f>SUM(E7:E14)</f>
        <v>723532</v>
      </c>
    </row>
    <row r="16" spans="1:5" ht="18" customHeight="1" x14ac:dyDescent="0.25">
      <c r="A16" s="163" t="s">
        <v>18</v>
      </c>
      <c r="B16" s="50" t="s">
        <v>108</v>
      </c>
      <c r="C16" s="51">
        <f>+'4 sz. m.(mód) '!G545</f>
        <v>212398</v>
      </c>
      <c r="D16" s="51">
        <f>+'4 sz. m.(mód) '!H545</f>
        <v>226391</v>
      </c>
      <c r="E16" s="51">
        <f>+'4 sz. m.(mód) '!I545</f>
        <v>162807</v>
      </c>
    </row>
    <row r="17" spans="1:5" ht="18" customHeight="1" x14ac:dyDescent="0.25">
      <c r="A17" s="163" t="s">
        <v>19</v>
      </c>
      <c r="B17" s="41" t="s">
        <v>142</v>
      </c>
      <c r="C17" s="42">
        <f>+'4 sz. m.(mód) '!G546</f>
        <v>42119</v>
      </c>
      <c r="D17" s="42">
        <f>+'4 sz. m.(mód) '!H546</f>
        <v>41623</v>
      </c>
      <c r="E17" s="42">
        <f>+'4 sz. m.(mód) '!I546</f>
        <v>28976</v>
      </c>
    </row>
    <row r="18" spans="1:5" ht="18" customHeight="1" x14ac:dyDescent="0.25">
      <c r="A18" s="163" t="s">
        <v>20</v>
      </c>
      <c r="B18" s="41" t="s">
        <v>98</v>
      </c>
      <c r="C18" s="42">
        <f>+'4 sz. m.(mód) '!G547</f>
        <v>347111</v>
      </c>
      <c r="D18" s="42">
        <f>+'4 sz. m.(mód) '!H547</f>
        <v>382141</v>
      </c>
      <c r="E18" s="42">
        <f>+'4 sz. m.(mód) '!I547</f>
        <v>329433</v>
      </c>
    </row>
    <row r="19" spans="1:5" ht="18" customHeight="1" x14ac:dyDescent="0.25">
      <c r="A19" s="163" t="s">
        <v>21</v>
      </c>
      <c r="B19" s="41" t="s">
        <v>100</v>
      </c>
      <c r="C19" s="42">
        <f>+'4 sz. m.(mód) '!G548</f>
        <v>8330</v>
      </c>
      <c r="D19" s="42">
        <f>+'4 sz. m.(mód) '!H548</f>
        <v>10485</v>
      </c>
      <c r="E19" s="42">
        <f>+'4 sz. m.(mód) '!I548</f>
        <v>8667</v>
      </c>
    </row>
    <row r="20" spans="1:5" ht="18" customHeight="1" x14ac:dyDescent="0.25">
      <c r="A20" s="163" t="s">
        <v>22</v>
      </c>
      <c r="B20" s="41" t="s">
        <v>143</v>
      </c>
      <c r="C20" s="42">
        <f>+'4 sz. m.(mód) '!G549</f>
        <v>4570</v>
      </c>
      <c r="D20" s="42">
        <f>+'4 sz. m.(mód) '!H549</f>
        <v>4870</v>
      </c>
      <c r="E20" s="42">
        <f>+'4 sz. m.(mód) '!I549</f>
        <v>3557</v>
      </c>
    </row>
    <row r="21" spans="1:5" ht="18" customHeight="1" x14ac:dyDescent="0.25">
      <c r="A21" s="163" t="s">
        <v>23</v>
      </c>
      <c r="B21" s="41" t="s">
        <v>384</v>
      </c>
      <c r="C21" s="42">
        <f>+'4 sz. m.(mód) '!G553</f>
        <v>2000</v>
      </c>
      <c r="D21" s="42">
        <f>+'4 sz. m.(mód) '!H553</f>
        <v>2300</v>
      </c>
      <c r="E21" s="42">
        <f>+'4 sz. m.(mód) '!I553</f>
        <v>2200</v>
      </c>
    </row>
    <row r="22" spans="1:5" ht="18" customHeight="1" x14ac:dyDescent="0.25">
      <c r="A22" s="163" t="s">
        <v>24</v>
      </c>
      <c r="B22" s="41" t="s">
        <v>500</v>
      </c>
      <c r="C22" s="42">
        <f>+'4 sz. m.(mód) '!G551</f>
        <v>0</v>
      </c>
      <c r="D22" s="42">
        <f>+'4 sz. m.(mód) '!H555</f>
        <v>30000</v>
      </c>
      <c r="E22" s="42">
        <f>+'4 sz. m.(mód) '!I555</f>
        <v>30000</v>
      </c>
    </row>
    <row r="23" spans="1:5" ht="18" customHeight="1" thickBot="1" x14ac:dyDescent="0.3">
      <c r="A23" s="163" t="s">
        <v>25</v>
      </c>
      <c r="B23" s="92" t="s">
        <v>480</v>
      </c>
      <c r="C23" s="46">
        <f>+'4 sz. m.(mód) '!G554</f>
        <v>6153</v>
      </c>
      <c r="D23" s="46">
        <f>+'4 sz. m.(mód) '!H554</f>
        <v>6157</v>
      </c>
      <c r="E23" s="46">
        <f>+'4 sz. m.(mód) '!I554</f>
        <v>6157</v>
      </c>
    </row>
    <row r="24" spans="1:5" ht="18" customHeight="1" thickBot="1" x14ac:dyDescent="0.3">
      <c r="A24" s="163" t="s">
        <v>26</v>
      </c>
      <c r="B24" s="47" t="s">
        <v>144</v>
      </c>
      <c r="C24" s="48">
        <f>SUM(C16:C23)</f>
        <v>622681</v>
      </c>
      <c r="D24" s="48">
        <f t="shared" ref="D24:E24" si="0">SUM(D16:D23)</f>
        <v>703967</v>
      </c>
      <c r="E24" s="48">
        <f t="shared" si="0"/>
        <v>571797</v>
      </c>
    </row>
    <row r="25" spans="1:5" ht="18" customHeight="1" thickBot="1" x14ac:dyDescent="0.3">
      <c r="A25" s="52"/>
      <c r="B25" s="53"/>
      <c r="C25" s="54" t="s">
        <v>145</v>
      </c>
      <c r="D25" s="55"/>
      <c r="E25" s="56"/>
    </row>
    <row r="26" spans="1:5" ht="18" customHeight="1" x14ac:dyDescent="0.25">
      <c r="A26" s="57" t="s">
        <v>27</v>
      </c>
      <c r="B26" s="50" t="s">
        <v>83</v>
      </c>
      <c r="C26" s="58">
        <f>+'2. sz. m. (mód)'!F26</f>
        <v>9566</v>
      </c>
      <c r="D26" s="58">
        <f>+'2. sz. m. (mód)'!G26</f>
        <v>9636</v>
      </c>
      <c r="E26" s="58">
        <f>+'2. sz. m. (mód)'!H26</f>
        <v>7819</v>
      </c>
    </row>
    <row r="27" spans="1:5" ht="18" customHeight="1" x14ac:dyDescent="0.25">
      <c r="A27" s="57" t="s">
        <v>28</v>
      </c>
      <c r="B27" s="41" t="s">
        <v>146</v>
      </c>
      <c r="C27" s="59">
        <f>+'2. sz. m. (mód)'!F31</f>
        <v>0</v>
      </c>
      <c r="D27" s="59">
        <f>+'2. sz. m. (mód)'!G31</f>
        <v>6368</v>
      </c>
      <c r="E27" s="59">
        <f>+'2. sz. m. (mód)'!H31</f>
        <v>110</v>
      </c>
    </row>
    <row r="28" spans="1:5" ht="18" customHeight="1" x14ac:dyDescent="0.25">
      <c r="A28" s="57" t="s">
        <v>29</v>
      </c>
      <c r="B28" s="41" t="s">
        <v>147</v>
      </c>
      <c r="C28" s="59">
        <f>+'2. sz. m. (mód)'!F37</f>
        <v>735467</v>
      </c>
      <c r="D28" s="59">
        <f>+'2. sz. m. (mód)'!G37</f>
        <v>735647</v>
      </c>
      <c r="E28" s="59">
        <f>+'2. sz. m. (mód)'!H37</f>
        <v>735647</v>
      </c>
    </row>
    <row r="29" spans="1:5" ht="18" customHeight="1" x14ac:dyDescent="0.25">
      <c r="A29" s="57" t="s">
        <v>30</v>
      </c>
      <c r="B29" s="45" t="s">
        <v>174</v>
      </c>
      <c r="C29" s="176">
        <f>+'2. sz. m. (mód)'!F16</f>
        <v>117796</v>
      </c>
      <c r="D29" s="176">
        <f>+'2. sz. m. (mód)'!G16</f>
        <v>53611</v>
      </c>
      <c r="E29" s="176">
        <f>+'2. sz. m. (mód)'!H16</f>
        <v>41076</v>
      </c>
    </row>
    <row r="30" spans="1:5" ht="18" customHeight="1" thickBot="1" x14ac:dyDescent="0.3">
      <c r="A30" s="57" t="s">
        <v>31</v>
      </c>
      <c r="B30" s="45" t="s">
        <v>148</v>
      </c>
      <c r="C30" s="46">
        <v>0</v>
      </c>
      <c r="D30" s="46">
        <f>'3. sz. m. (mód) '!G106</f>
        <v>80000</v>
      </c>
      <c r="E30" s="46">
        <f>'3. sz. m. (mód) '!H106</f>
        <v>80000</v>
      </c>
    </row>
    <row r="31" spans="1:5" ht="18" customHeight="1" thickBot="1" x14ac:dyDescent="0.3">
      <c r="A31" s="566" t="s">
        <v>32</v>
      </c>
      <c r="B31" s="47" t="s">
        <v>149</v>
      </c>
      <c r="C31" s="48">
        <f>SUM(C26:C30)</f>
        <v>862829</v>
      </c>
      <c r="D31" s="48">
        <f t="shared" ref="D31:E31" si="1">SUM(D26:D30)</f>
        <v>885262</v>
      </c>
      <c r="E31" s="48">
        <f t="shared" si="1"/>
        <v>864652</v>
      </c>
    </row>
    <row r="32" spans="1:5" ht="18" customHeight="1" x14ac:dyDescent="0.25">
      <c r="A32" s="566" t="s">
        <v>33</v>
      </c>
      <c r="B32" s="50" t="s">
        <v>150</v>
      </c>
      <c r="C32" s="51">
        <v>699516</v>
      </c>
      <c r="D32" s="51">
        <f>+'5.sz.m.(mód)'!E18+'5.sz.m.(mód)'!E19+'5.sz.m.(mód)'!E20+'5.sz.m.(mód)'!E21+'5.sz.m.(mód)'!E22+'5.sz.m.(mód)'!E23+'5.sz.m.(mód)'!E24+'5.sz.m.(mód)'!E25+'5.sz.m.(mód)'!E26+'5.sz.m.(mód)'!E27</f>
        <v>743032</v>
      </c>
      <c r="E32" s="51">
        <f>+'5.sz.m.(mód)'!F18+'5.sz.m.(mód)'!F19+'5.sz.m.(mód)'!F20+'5.sz.m.(mód)'!F21+'5.sz.m.(mód)'!F22+'5.sz.m.(mód)'!F23+'5.sz.m.(mód)'!F24+'5.sz.m.(mód)'!F25+'5.sz.m.(mód)'!F26+'5.sz.m.(mód)'!F27</f>
        <v>450008</v>
      </c>
    </row>
    <row r="33" spans="1:5" ht="18" customHeight="1" x14ac:dyDescent="0.25">
      <c r="A33" s="566" t="s">
        <v>34</v>
      </c>
      <c r="B33" s="41" t="s">
        <v>151</v>
      </c>
      <c r="C33" s="42">
        <v>163313</v>
      </c>
      <c r="D33" s="42">
        <f>+'5.sz.m.(mód)'!E28+'5.sz.m.(mód)'!E29+'5.sz.m.(mód)'!E30+'5.sz.m.(mód)'!E31+'5.sz.m.(mód)'!E32+'5.sz.m.(mód)'!E33+'5.sz.m.(mód)'!E34+'5.sz.m.(mód)'!E35</f>
        <v>140130</v>
      </c>
      <c r="E33" s="42">
        <f>+'5.sz.m.(mód)'!F28+'5.sz.m.(mód)'!F29+'5.sz.m.(mód)'!F30+'5.sz.m.(mód)'!F31+'5.sz.m.(mód)'!F32+'5.sz.m.(mód)'!F33+'5.sz.m.(mód)'!F34+'5.sz.m.(mód)'!F35</f>
        <v>104027</v>
      </c>
    </row>
    <row r="34" spans="1:5" ht="18" customHeight="1" x14ac:dyDescent="0.25">
      <c r="A34" s="566" t="s">
        <v>36</v>
      </c>
      <c r="B34" s="41" t="s">
        <v>152</v>
      </c>
      <c r="C34" s="42"/>
      <c r="D34" s="42"/>
      <c r="E34" s="43"/>
    </row>
    <row r="35" spans="1:5" ht="18" customHeight="1" x14ac:dyDescent="0.25">
      <c r="A35" s="566" t="s">
        <v>38</v>
      </c>
      <c r="B35" s="41" t="s">
        <v>153</v>
      </c>
      <c r="C35" s="42"/>
      <c r="D35" s="42">
        <f>+'5.sz.m.(mód)'!E36</f>
        <v>2100</v>
      </c>
      <c r="E35" s="42">
        <f>+'5.sz.m.(mód)'!F36</f>
        <v>2055</v>
      </c>
    </row>
    <row r="36" spans="1:5" ht="18" customHeight="1" x14ac:dyDescent="0.25">
      <c r="A36" s="566" t="s">
        <v>41</v>
      </c>
      <c r="B36" s="41" t="s">
        <v>235</v>
      </c>
      <c r="C36" s="42"/>
      <c r="D36" s="42"/>
      <c r="E36" s="43"/>
    </row>
    <row r="37" spans="1:5" ht="18" customHeight="1" thickBot="1" x14ac:dyDescent="0.3">
      <c r="A37" s="566" t="s">
        <v>43</v>
      </c>
      <c r="B37" s="45" t="s">
        <v>154</v>
      </c>
      <c r="C37" s="46"/>
      <c r="D37" s="46"/>
      <c r="E37" s="443"/>
    </row>
    <row r="38" spans="1:5" ht="18" customHeight="1" thickBot="1" x14ac:dyDescent="0.3">
      <c r="A38" s="566" t="s">
        <v>186</v>
      </c>
      <c r="B38" s="47" t="s">
        <v>155</v>
      </c>
      <c r="C38" s="48">
        <f>SUM(C32:C37)</f>
        <v>862829</v>
      </c>
      <c r="D38" s="48">
        <f>SUM(D32:D37)</f>
        <v>885262</v>
      </c>
      <c r="E38" s="81">
        <f>SUM(E32:E37)</f>
        <v>556090</v>
      </c>
    </row>
    <row r="39" spans="1:5" ht="18" customHeight="1" thickBot="1" x14ac:dyDescent="0.3">
      <c r="A39" s="60"/>
      <c r="B39" s="61"/>
      <c r="C39" s="62"/>
      <c r="D39" s="63"/>
      <c r="E39" s="64"/>
    </row>
    <row r="40" spans="1:5" ht="18" customHeight="1" thickBot="1" x14ac:dyDescent="0.3">
      <c r="A40" s="65" t="s">
        <v>187</v>
      </c>
      <c r="B40" s="47" t="s">
        <v>156</v>
      </c>
      <c r="C40" s="48">
        <f>SUM(C15+C31)</f>
        <v>1485510</v>
      </c>
      <c r="D40" s="48">
        <f t="shared" ref="D40:E40" si="2">SUM(D15+D31)</f>
        <v>1589229</v>
      </c>
      <c r="E40" s="48">
        <f t="shared" si="2"/>
        <v>1588184</v>
      </c>
    </row>
    <row r="41" spans="1:5" ht="18" customHeight="1" thickBot="1" x14ac:dyDescent="0.3">
      <c r="A41" s="65" t="s">
        <v>188</v>
      </c>
      <c r="B41" s="47" t="s">
        <v>157</v>
      </c>
      <c r="C41" s="48">
        <f>SUM(C24+C38)</f>
        <v>1485510</v>
      </c>
      <c r="D41" s="48">
        <f t="shared" ref="D41:E41" si="3">SUM(D24+D38)</f>
        <v>1589229</v>
      </c>
      <c r="E41" s="48">
        <f t="shared" si="3"/>
        <v>1127887</v>
      </c>
    </row>
    <row r="42" spans="1:5" x14ac:dyDescent="0.25">
      <c r="B42" s="29"/>
      <c r="D42" s="66"/>
      <c r="E42" s="66"/>
    </row>
  </sheetData>
  <mergeCells count="3">
    <mergeCell ref="C4:E4"/>
    <mergeCell ref="A1:E1"/>
    <mergeCell ref="A2:E2"/>
  </mergeCells>
  <phoneticPr fontId="2" type="noConversion"/>
  <printOptions horizontalCentered="1"/>
  <pageMargins left="0.39370078740157483" right="0.39370078740157483" top="0.78740157480314965" bottom="0.78740157480314965" header="0.31496062992125984" footer="0.51181102362204722"/>
  <pageSetup paperSize="9" orientation="portrait" horizontalDpi="300" verticalDpi="300" r:id="rId1"/>
  <headerFooter alignWithMargins="0">
    <oddHeader>&amp;R6. melléklet a 9/2019. (V.29.)
önkormányzati rendelethez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2"/>
  <sheetViews>
    <sheetView topLeftCell="A103" workbookViewId="0">
      <selection activeCell="H50" sqref="H50"/>
    </sheetView>
  </sheetViews>
  <sheetFormatPr defaultRowHeight="12.75" x14ac:dyDescent="0.2"/>
  <cols>
    <col min="1" max="1" width="38.28515625" customWidth="1"/>
    <col min="2" max="2" width="16.5703125" customWidth="1"/>
    <col min="3" max="3" width="15.140625" customWidth="1"/>
    <col min="4" max="5" width="17.28515625" customWidth="1"/>
    <col min="6" max="6" width="14.140625" customWidth="1"/>
  </cols>
  <sheetData>
    <row r="1" spans="1:6" ht="15.75" x14ac:dyDescent="0.25">
      <c r="A1" s="12"/>
      <c r="B1" s="12"/>
      <c r="C1" s="12"/>
      <c r="D1" s="27"/>
      <c r="E1" s="27"/>
    </row>
    <row r="2" spans="1:6" ht="15.75" x14ac:dyDescent="0.25">
      <c r="A2" s="669" t="s">
        <v>448</v>
      </c>
      <c r="B2" s="669"/>
      <c r="C2" s="669"/>
      <c r="D2" s="669"/>
      <c r="E2" s="669"/>
      <c r="F2" s="669"/>
    </row>
    <row r="3" spans="1:6" ht="15.75" x14ac:dyDescent="0.25">
      <c r="A3" s="664" t="s">
        <v>449</v>
      </c>
      <c r="B3" s="664"/>
      <c r="C3" s="664"/>
      <c r="D3" s="664"/>
      <c r="E3" s="140"/>
    </row>
    <row r="4" spans="1:6" ht="15.75" x14ac:dyDescent="0.25">
      <c r="A4" s="26" t="s">
        <v>408</v>
      </c>
      <c r="B4" s="67"/>
      <c r="C4" s="67"/>
      <c r="D4" s="67"/>
      <c r="E4" s="67"/>
    </row>
    <row r="5" spans="1:6" ht="15.75" x14ac:dyDescent="0.25">
      <c r="A5" s="12" t="s">
        <v>450</v>
      </c>
      <c r="B5" s="12"/>
      <c r="C5" s="12"/>
      <c r="D5" s="12"/>
      <c r="E5" s="12"/>
    </row>
    <row r="6" spans="1:6" ht="15.75" x14ac:dyDescent="0.25">
      <c r="A6" s="12"/>
      <c r="B6" s="12"/>
      <c r="C6" s="12"/>
      <c r="D6" s="12"/>
      <c r="E6" s="12"/>
    </row>
    <row r="7" spans="1:6" ht="15.75" x14ac:dyDescent="0.25">
      <c r="A7" s="17" t="s">
        <v>409</v>
      </c>
      <c r="B7" s="90" t="s">
        <v>318</v>
      </c>
      <c r="C7" s="90" t="s">
        <v>374</v>
      </c>
      <c r="D7" s="90" t="s">
        <v>406</v>
      </c>
      <c r="E7" s="90" t="s">
        <v>430</v>
      </c>
      <c r="F7" s="90" t="s">
        <v>168</v>
      </c>
    </row>
    <row r="8" spans="1:6" ht="15" customHeight="1" x14ac:dyDescent="0.25">
      <c r="A8" s="86" t="s">
        <v>410</v>
      </c>
      <c r="B8" s="42">
        <v>0</v>
      </c>
      <c r="C8" s="42">
        <v>0</v>
      </c>
      <c r="D8" s="42">
        <v>0</v>
      </c>
      <c r="E8" s="42"/>
      <c r="F8" s="88">
        <f>SUM(B8:C8)</f>
        <v>0</v>
      </c>
    </row>
    <row r="9" spans="1:6" ht="15.75" x14ac:dyDescent="0.25">
      <c r="A9" s="86" t="s">
        <v>411</v>
      </c>
      <c r="B9" s="42">
        <v>6000</v>
      </c>
      <c r="C9" s="42">
        <v>0</v>
      </c>
      <c r="D9" s="42">
        <v>0</v>
      </c>
      <c r="E9" s="42"/>
      <c r="F9" s="88">
        <f>SUM(B9:C9)</f>
        <v>6000</v>
      </c>
    </row>
    <row r="10" spans="1:6" ht="15.75" x14ac:dyDescent="0.25">
      <c r="A10" s="86" t="s">
        <v>412</v>
      </c>
      <c r="B10" s="42">
        <v>0</v>
      </c>
      <c r="C10" s="42">
        <v>0</v>
      </c>
      <c r="D10" s="42">
        <v>0</v>
      </c>
      <c r="E10" s="42"/>
      <c r="F10" s="88">
        <f>SUM(B10:C10)</f>
        <v>0</v>
      </c>
    </row>
    <row r="11" spans="1:6" ht="15.75" x14ac:dyDescent="0.25">
      <c r="A11" s="17" t="s">
        <v>167</v>
      </c>
      <c r="B11" s="88">
        <f>SUM(B8:B10)</f>
        <v>6000</v>
      </c>
      <c r="C11" s="88">
        <f>SUM(C8:C10)</f>
        <v>0</v>
      </c>
      <c r="D11" s="88">
        <f>SUM(D8:D10)</f>
        <v>0</v>
      </c>
      <c r="E11" s="88"/>
      <c r="F11" s="88">
        <f>SUM(F8:F10)</f>
        <v>6000</v>
      </c>
    </row>
    <row r="12" spans="1:6" ht="15.75" x14ac:dyDescent="0.25">
      <c r="A12" s="12"/>
      <c r="B12" s="12"/>
      <c r="C12" s="12"/>
      <c r="D12" s="12"/>
      <c r="E12" s="12"/>
      <c r="F12" s="12"/>
    </row>
    <row r="13" spans="1:6" ht="15.75" x14ac:dyDescent="0.25">
      <c r="A13" s="17" t="s">
        <v>413</v>
      </c>
      <c r="B13" s="90" t="s">
        <v>318</v>
      </c>
      <c r="C13" s="90" t="s">
        <v>374</v>
      </c>
      <c r="D13" s="90">
        <v>2018</v>
      </c>
      <c r="E13" s="90" t="s">
        <v>430</v>
      </c>
      <c r="F13" s="90" t="s">
        <v>168</v>
      </c>
    </row>
    <row r="14" spans="1:6" ht="15.75" x14ac:dyDescent="0.25">
      <c r="A14" s="86" t="s">
        <v>414</v>
      </c>
      <c r="B14" s="42">
        <v>0</v>
      </c>
      <c r="C14" s="42">
        <v>1186</v>
      </c>
      <c r="D14" s="42">
        <v>855</v>
      </c>
      <c r="E14" s="42"/>
      <c r="F14" s="88">
        <f>SUM(B14:D14)</f>
        <v>2041</v>
      </c>
    </row>
    <row r="15" spans="1:6" ht="15.75" x14ac:dyDescent="0.25">
      <c r="A15" s="86" t="s">
        <v>415</v>
      </c>
      <c r="B15" s="42">
        <v>0</v>
      </c>
      <c r="C15" s="42">
        <v>261</v>
      </c>
      <c r="D15" s="42">
        <v>188</v>
      </c>
      <c r="E15" s="42"/>
      <c r="F15" s="88">
        <f t="shared" ref="F15:F17" si="0">SUM(B15:D15)</f>
        <v>449</v>
      </c>
    </row>
    <row r="16" spans="1:6" ht="15.75" x14ac:dyDescent="0.25">
      <c r="A16" s="86" t="s">
        <v>98</v>
      </c>
      <c r="B16" s="42">
        <v>0</v>
      </c>
      <c r="C16" s="42">
        <f>30+39</f>
        <v>69</v>
      </c>
      <c r="D16" s="42">
        <v>141</v>
      </c>
      <c r="E16" s="42"/>
      <c r="F16" s="88">
        <f t="shared" si="0"/>
        <v>210</v>
      </c>
    </row>
    <row r="17" spans="1:6" ht="15.75" x14ac:dyDescent="0.25">
      <c r="A17" s="86" t="s">
        <v>416</v>
      </c>
      <c r="B17" s="42">
        <v>3300</v>
      </c>
      <c r="C17" s="42">
        <v>0</v>
      </c>
      <c r="D17" s="42">
        <v>0</v>
      </c>
      <c r="E17" s="42"/>
      <c r="F17" s="88">
        <f t="shared" si="0"/>
        <v>3300</v>
      </c>
    </row>
    <row r="18" spans="1:6" ht="15.75" x14ac:dyDescent="0.25">
      <c r="A18" s="17" t="s">
        <v>167</v>
      </c>
      <c r="B18" s="88">
        <f>SUM(B14:B17)</f>
        <v>3300</v>
      </c>
      <c r="C18" s="88">
        <f>SUM(C14:C17)</f>
        <v>1516</v>
      </c>
      <c r="D18" s="88">
        <f>SUM(D14:D17)</f>
        <v>1184</v>
      </c>
      <c r="E18" s="88"/>
      <c r="F18" s="88">
        <f>SUM(F14:F17)</f>
        <v>6000</v>
      </c>
    </row>
    <row r="19" spans="1:6" ht="18.75" customHeight="1" x14ac:dyDescent="0.2"/>
    <row r="20" spans="1:6" ht="15.75" x14ac:dyDescent="0.25">
      <c r="A20" s="26" t="s">
        <v>408</v>
      </c>
      <c r="B20" s="67"/>
      <c r="C20" s="67"/>
      <c r="D20" s="67"/>
      <c r="E20" s="67"/>
    </row>
    <row r="21" spans="1:6" x14ac:dyDescent="0.2">
      <c r="A21" s="688" t="s">
        <v>451</v>
      </c>
      <c r="B21" s="689"/>
      <c r="C21" s="689"/>
      <c r="D21" s="689"/>
      <c r="E21" s="565"/>
    </row>
    <row r="22" spans="1:6" ht="15.75" x14ac:dyDescent="0.25">
      <c r="A22" s="12"/>
      <c r="B22" s="12"/>
      <c r="C22" s="12"/>
      <c r="D22" s="12"/>
      <c r="E22" s="12"/>
    </row>
    <row r="23" spans="1:6" ht="15.75" x14ac:dyDescent="0.25">
      <c r="A23" s="17" t="s">
        <v>409</v>
      </c>
      <c r="B23" s="90" t="s">
        <v>318</v>
      </c>
      <c r="C23" s="90" t="s">
        <v>374</v>
      </c>
      <c r="D23" s="90" t="s">
        <v>406</v>
      </c>
      <c r="E23" s="90" t="s">
        <v>430</v>
      </c>
      <c r="F23" s="90" t="s">
        <v>168</v>
      </c>
    </row>
    <row r="24" spans="1:6" ht="15.75" x14ac:dyDescent="0.25">
      <c r="A24" s="86" t="s">
        <v>410</v>
      </c>
      <c r="B24" s="42">
        <v>0</v>
      </c>
      <c r="C24" s="42">
        <v>0</v>
      </c>
      <c r="D24" s="42">
        <v>0</v>
      </c>
      <c r="E24" s="42"/>
      <c r="F24" s="88">
        <f>SUM(B24:C24)</f>
        <v>0</v>
      </c>
    </row>
    <row r="25" spans="1:6" ht="15.75" x14ac:dyDescent="0.25">
      <c r="A25" s="86" t="s">
        <v>411</v>
      </c>
      <c r="B25" s="42">
        <v>0</v>
      </c>
      <c r="C25" s="42">
        <v>40000</v>
      </c>
      <c r="D25" s="42">
        <v>0</v>
      </c>
      <c r="E25" s="42"/>
      <c r="F25" s="88">
        <f>SUM(B25:C25)</f>
        <v>40000</v>
      </c>
    </row>
    <row r="26" spans="1:6" ht="15.75" x14ac:dyDescent="0.25">
      <c r="A26" s="86" t="s">
        <v>412</v>
      </c>
      <c r="B26" s="42">
        <v>0</v>
      </c>
      <c r="C26" s="42">
        <v>0</v>
      </c>
      <c r="D26" s="42">
        <v>0</v>
      </c>
      <c r="E26" s="42"/>
      <c r="F26" s="88">
        <f>SUM(B26:C26)</f>
        <v>0</v>
      </c>
    </row>
    <row r="27" spans="1:6" ht="15.75" x14ac:dyDescent="0.25">
      <c r="A27" s="17" t="s">
        <v>167</v>
      </c>
      <c r="B27" s="88">
        <f>SUM(B24:B26)</f>
        <v>0</v>
      </c>
      <c r="C27" s="88">
        <f>SUM(C24:C26)</f>
        <v>40000</v>
      </c>
      <c r="D27" s="88">
        <v>0</v>
      </c>
      <c r="E27" s="88"/>
      <c r="F27" s="88">
        <f>SUM(F24:F26)</f>
        <v>40000</v>
      </c>
    </row>
    <row r="28" spans="1:6" ht="15.75" x14ac:dyDescent="0.25">
      <c r="A28" s="12"/>
      <c r="B28" s="12"/>
      <c r="C28" s="12"/>
      <c r="D28" s="12"/>
      <c r="E28" s="12"/>
      <c r="F28" s="12"/>
    </row>
    <row r="29" spans="1:6" ht="15.75" x14ac:dyDescent="0.25">
      <c r="A29" s="17" t="s">
        <v>413</v>
      </c>
      <c r="B29" s="90" t="s">
        <v>318</v>
      </c>
      <c r="C29" s="90" t="s">
        <v>374</v>
      </c>
      <c r="D29" s="90" t="s">
        <v>406</v>
      </c>
      <c r="E29" s="90" t="s">
        <v>430</v>
      </c>
      <c r="F29" s="90" t="s">
        <v>168</v>
      </c>
    </row>
    <row r="30" spans="1:6" ht="15.75" x14ac:dyDescent="0.25">
      <c r="A30" s="86" t="s">
        <v>414</v>
      </c>
      <c r="B30" s="42">
        <v>0</v>
      </c>
      <c r="C30" s="42">
        <v>0</v>
      </c>
      <c r="D30" s="42">
        <v>0</v>
      </c>
      <c r="E30" s="42"/>
      <c r="F30" s="88">
        <f t="shared" ref="F30:F32" si="1">SUM(B30:D30)</f>
        <v>0</v>
      </c>
    </row>
    <row r="31" spans="1:6" ht="15.75" x14ac:dyDescent="0.25">
      <c r="A31" s="86" t="s">
        <v>415</v>
      </c>
      <c r="B31" s="42">
        <v>0</v>
      </c>
      <c r="C31" s="42">
        <v>0</v>
      </c>
      <c r="D31" s="42">
        <v>0</v>
      </c>
      <c r="E31" s="42"/>
      <c r="F31" s="88">
        <f t="shared" si="1"/>
        <v>0</v>
      </c>
    </row>
    <row r="32" spans="1:6" ht="15.75" x14ac:dyDescent="0.25">
      <c r="A32" s="86" t="s">
        <v>98</v>
      </c>
      <c r="B32" s="42">
        <v>635</v>
      </c>
      <c r="C32" s="42">
        <v>700</v>
      </c>
      <c r="D32" s="42">
        <v>1300</v>
      </c>
      <c r="E32" s="42"/>
      <c r="F32" s="88">
        <f t="shared" si="1"/>
        <v>2635</v>
      </c>
    </row>
    <row r="33" spans="1:6" ht="15.75" x14ac:dyDescent="0.25">
      <c r="A33" s="86" t="s">
        <v>416</v>
      </c>
      <c r="B33" s="42">
        <v>0</v>
      </c>
      <c r="C33" s="42">
        <v>15355</v>
      </c>
      <c r="D33" s="42">
        <v>22010</v>
      </c>
      <c r="E33" s="42"/>
      <c r="F33" s="88">
        <f>SUM(B33:D33)</f>
        <v>37365</v>
      </c>
    </row>
    <row r="34" spans="1:6" ht="15.75" x14ac:dyDescent="0.25">
      <c r="A34" s="17" t="s">
        <v>167</v>
      </c>
      <c r="B34" s="88">
        <f>SUM(B30:B33)</f>
        <v>635</v>
      </c>
      <c r="C34" s="88">
        <f>SUM(C30:C33)</f>
        <v>16055</v>
      </c>
      <c r="D34" s="88">
        <f>SUM(D30:D33)</f>
        <v>23310</v>
      </c>
      <c r="E34" s="88"/>
      <c r="F34" s="88">
        <f>SUM(F30:F33)</f>
        <v>40000</v>
      </c>
    </row>
    <row r="35" spans="1:6" ht="19.5" customHeight="1" x14ac:dyDescent="0.2"/>
    <row r="36" spans="1:6" ht="15.75" x14ac:dyDescent="0.25">
      <c r="A36" s="26" t="s">
        <v>408</v>
      </c>
      <c r="B36" s="67"/>
      <c r="C36" s="67"/>
      <c r="D36" s="67"/>
      <c r="E36" s="67"/>
      <c r="F36" s="67"/>
    </row>
    <row r="37" spans="1:6" x14ac:dyDescent="0.2">
      <c r="A37" s="688" t="s">
        <v>452</v>
      </c>
      <c r="B37" s="689"/>
      <c r="C37" s="689"/>
      <c r="D37" s="689"/>
      <c r="E37" s="689"/>
      <c r="F37" s="689"/>
    </row>
    <row r="38" spans="1:6" ht="15.75" x14ac:dyDescent="0.25">
      <c r="A38" s="26"/>
    </row>
    <row r="39" spans="1:6" ht="15.75" x14ac:dyDescent="0.25">
      <c r="A39" s="17" t="s">
        <v>409</v>
      </c>
      <c r="B39" s="90" t="s">
        <v>318</v>
      </c>
      <c r="C39" s="90" t="s">
        <v>374</v>
      </c>
      <c r="D39" s="90" t="s">
        <v>406</v>
      </c>
      <c r="E39" s="90" t="s">
        <v>430</v>
      </c>
      <c r="F39" s="90" t="s">
        <v>168</v>
      </c>
    </row>
    <row r="40" spans="1:6" ht="15.75" x14ac:dyDescent="0.25">
      <c r="A40" s="86" t="s">
        <v>410</v>
      </c>
      <c r="B40" s="42">
        <v>0</v>
      </c>
      <c r="C40" s="42">
        <v>0</v>
      </c>
      <c r="D40" s="42">
        <v>0</v>
      </c>
      <c r="E40" s="42"/>
      <c r="F40" s="88">
        <f>SUM(B40:C40)</f>
        <v>0</v>
      </c>
    </row>
    <row r="41" spans="1:6" ht="15.75" x14ac:dyDescent="0.25">
      <c r="A41" s="86" t="s">
        <v>411</v>
      </c>
      <c r="B41" s="42">
        <v>0</v>
      </c>
      <c r="C41" s="42">
        <f>25621+477351</f>
        <v>502972</v>
      </c>
      <c r="D41" s="42">
        <v>0</v>
      </c>
      <c r="E41" s="42"/>
      <c r="F41" s="88">
        <f>SUM(B41:C41)</f>
        <v>502972</v>
      </c>
    </row>
    <row r="42" spans="1:6" ht="15.75" x14ac:dyDescent="0.25">
      <c r="A42" s="86" t="s">
        <v>412</v>
      </c>
      <c r="B42" s="42">
        <v>0</v>
      </c>
      <c r="C42" s="42">
        <v>0</v>
      </c>
      <c r="D42" s="42">
        <v>0</v>
      </c>
      <c r="E42" s="42"/>
      <c r="F42" s="88">
        <f>SUM(B42:C42)</f>
        <v>0</v>
      </c>
    </row>
    <row r="43" spans="1:6" ht="15.75" x14ac:dyDescent="0.25">
      <c r="A43" s="17" t="s">
        <v>167</v>
      </c>
      <c r="B43" s="88">
        <f>SUM(B40:B42)</f>
        <v>0</v>
      </c>
      <c r="C43" s="88">
        <f>SUM(C40:C42)</f>
        <v>502972</v>
      </c>
      <c r="D43" s="88">
        <v>0</v>
      </c>
      <c r="E43" s="88"/>
      <c r="F43" s="88">
        <f>SUM(F40:F42)</f>
        <v>502972</v>
      </c>
    </row>
    <row r="44" spans="1:6" ht="15.75" x14ac:dyDescent="0.25">
      <c r="A44" s="12"/>
      <c r="B44" s="12"/>
      <c r="C44" s="12"/>
      <c r="D44" s="12"/>
      <c r="E44" s="12"/>
      <c r="F44" s="12"/>
    </row>
    <row r="45" spans="1:6" ht="15.75" x14ac:dyDescent="0.25">
      <c r="A45" s="17" t="s">
        <v>413</v>
      </c>
      <c r="B45" s="90" t="s">
        <v>318</v>
      </c>
      <c r="C45" s="90" t="s">
        <v>374</v>
      </c>
      <c r="D45" s="90" t="s">
        <v>406</v>
      </c>
      <c r="E45" s="90" t="s">
        <v>430</v>
      </c>
      <c r="F45" s="90" t="s">
        <v>168</v>
      </c>
    </row>
    <row r="46" spans="1:6" ht="15.75" x14ac:dyDescent="0.25">
      <c r="A46" s="86" t="s">
        <v>414</v>
      </c>
      <c r="B46" s="42">
        <v>0</v>
      </c>
      <c r="C46" s="42">
        <v>0</v>
      </c>
      <c r="D46" s="42">
        <v>0</v>
      </c>
      <c r="E46" s="42"/>
      <c r="F46" s="88">
        <f>SUM(B46:D46)</f>
        <v>0</v>
      </c>
    </row>
    <row r="47" spans="1:6" ht="15.75" x14ac:dyDescent="0.25">
      <c r="A47" s="86" t="s">
        <v>415</v>
      </c>
      <c r="B47" s="42">
        <v>0</v>
      </c>
      <c r="C47" s="42">
        <v>0</v>
      </c>
      <c r="D47" s="42">
        <v>0</v>
      </c>
      <c r="E47" s="42"/>
      <c r="F47" s="88">
        <f t="shared" ref="F47:F49" si="2">SUM(B47:D47)</f>
        <v>0</v>
      </c>
    </row>
    <row r="48" spans="1:6" ht="15.75" x14ac:dyDescent="0.25">
      <c r="A48" s="86" t="s">
        <v>98</v>
      </c>
      <c r="B48" s="42">
        <v>0</v>
      </c>
      <c r="C48" s="42">
        <f>200+286+508+1705+1592+610</f>
        <v>4901</v>
      </c>
      <c r="D48" s="42">
        <v>20720</v>
      </c>
      <c r="E48" s="42"/>
      <c r="F48" s="88">
        <f t="shared" si="2"/>
        <v>25621</v>
      </c>
    </row>
    <row r="49" spans="1:6" ht="15.75" x14ac:dyDescent="0.25">
      <c r="A49" s="86" t="s">
        <v>416</v>
      </c>
      <c r="B49" s="42">
        <v>8288</v>
      </c>
      <c r="C49" s="42">
        <v>11600</v>
      </c>
      <c r="D49" s="42">
        <v>457463</v>
      </c>
      <c r="E49" s="42"/>
      <c r="F49" s="88">
        <f t="shared" si="2"/>
        <v>477351</v>
      </c>
    </row>
    <row r="50" spans="1:6" ht="15.75" x14ac:dyDescent="0.25">
      <c r="A50" s="17" t="s">
        <v>167</v>
      </c>
      <c r="B50" s="88">
        <f>SUM(B46:B49)</f>
        <v>8288</v>
      </c>
      <c r="C50" s="88">
        <f>SUM(C46:C49)</f>
        <v>16501</v>
      </c>
      <c r="D50" s="88">
        <f>SUM(D46:D49)</f>
        <v>478183</v>
      </c>
      <c r="E50" s="88"/>
      <c r="F50" s="88">
        <f>SUM(F46:F49)</f>
        <v>502972</v>
      </c>
    </row>
    <row r="51" spans="1:6" ht="18" customHeight="1" x14ac:dyDescent="0.2"/>
    <row r="52" spans="1:6" ht="15.75" x14ac:dyDescent="0.25">
      <c r="A52" s="26" t="s">
        <v>408</v>
      </c>
      <c r="B52" s="67"/>
      <c r="C52" s="67"/>
      <c r="D52" s="67"/>
      <c r="E52" s="67"/>
      <c r="F52" s="67"/>
    </row>
    <row r="53" spans="1:6" x14ac:dyDescent="0.2">
      <c r="A53" s="688" t="s">
        <v>453</v>
      </c>
      <c r="B53" s="689"/>
      <c r="C53" s="689"/>
      <c r="D53" s="689"/>
      <c r="E53" s="689"/>
      <c r="F53" s="689"/>
    </row>
    <row r="54" spans="1:6" ht="20.25" customHeight="1" x14ac:dyDescent="0.25">
      <c r="A54" s="26"/>
    </row>
    <row r="55" spans="1:6" ht="15.75" x14ac:dyDescent="0.25">
      <c r="A55" s="17" t="s">
        <v>409</v>
      </c>
      <c r="B55" s="90" t="s">
        <v>318</v>
      </c>
      <c r="C55" s="90" t="s">
        <v>374</v>
      </c>
      <c r="D55" s="90" t="s">
        <v>406</v>
      </c>
      <c r="E55" s="90" t="s">
        <v>430</v>
      </c>
      <c r="F55" s="90" t="s">
        <v>168</v>
      </c>
    </row>
    <row r="56" spans="1:6" ht="15.75" x14ac:dyDescent="0.25">
      <c r="A56" s="86" t="s">
        <v>410</v>
      </c>
      <c r="B56" s="42">
        <v>0</v>
      </c>
      <c r="C56" s="42">
        <v>0</v>
      </c>
      <c r="D56" s="42">
        <v>0</v>
      </c>
      <c r="E56" s="42"/>
      <c r="F56" s="88">
        <f>SUM(B56:C56)</f>
        <v>0</v>
      </c>
    </row>
    <row r="57" spans="1:6" ht="15.75" x14ac:dyDescent="0.25">
      <c r="A57" s="86" t="s">
        <v>411</v>
      </c>
      <c r="B57" s="42">
        <v>0</v>
      </c>
      <c r="C57" s="42">
        <f>6271+62008</f>
        <v>68279</v>
      </c>
      <c r="D57" s="42">
        <v>0</v>
      </c>
      <c r="E57" s="42"/>
      <c r="F57" s="88">
        <f>SUM(B57:C57)</f>
        <v>68279</v>
      </c>
    </row>
    <row r="58" spans="1:6" ht="15.75" x14ac:dyDescent="0.25">
      <c r="A58" s="86" t="s">
        <v>412</v>
      </c>
      <c r="B58" s="42">
        <v>0</v>
      </c>
      <c r="C58" s="42">
        <v>0</v>
      </c>
      <c r="D58" s="42">
        <v>0</v>
      </c>
      <c r="E58" s="42"/>
      <c r="F58" s="88">
        <f>SUM(B58:C58)</f>
        <v>0</v>
      </c>
    </row>
    <row r="59" spans="1:6" ht="15.75" x14ac:dyDescent="0.25">
      <c r="A59" s="17" t="s">
        <v>167</v>
      </c>
      <c r="B59" s="88">
        <f>SUM(B56:B58)</f>
        <v>0</v>
      </c>
      <c r="C59" s="88">
        <f>SUM(C56:C58)</f>
        <v>68279</v>
      </c>
      <c r="D59" s="88">
        <f>SUM(D56:D58)</f>
        <v>0</v>
      </c>
      <c r="E59" s="88"/>
      <c r="F59" s="88">
        <f>SUM(F56:F58)</f>
        <v>68279</v>
      </c>
    </row>
    <row r="60" spans="1:6" ht="15.75" x14ac:dyDescent="0.25">
      <c r="A60" s="12"/>
      <c r="B60" s="12"/>
      <c r="C60" s="12"/>
      <c r="D60" s="12"/>
      <c r="E60" s="12"/>
      <c r="F60" s="12"/>
    </row>
    <row r="61" spans="1:6" ht="15.75" x14ac:dyDescent="0.25">
      <c r="A61" s="17" t="s">
        <v>413</v>
      </c>
      <c r="B61" s="90" t="s">
        <v>318</v>
      </c>
      <c r="C61" s="90" t="s">
        <v>374</v>
      </c>
      <c r="D61" s="90" t="s">
        <v>406</v>
      </c>
      <c r="E61" s="90" t="s">
        <v>430</v>
      </c>
      <c r="F61" s="90" t="s">
        <v>168</v>
      </c>
    </row>
    <row r="62" spans="1:6" ht="15.75" x14ac:dyDescent="0.25">
      <c r="A62" s="86" t="s">
        <v>414</v>
      </c>
      <c r="B62" s="42">
        <v>0</v>
      </c>
      <c r="C62" s="42">
        <v>0</v>
      </c>
      <c r="D62" s="42">
        <v>0</v>
      </c>
      <c r="E62" s="42"/>
      <c r="F62" s="88">
        <f>SUM(B62:D62)</f>
        <v>0</v>
      </c>
    </row>
    <row r="63" spans="1:6" ht="15.75" x14ac:dyDescent="0.25">
      <c r="A63" s="86" t="s">
        <v>415</v>
      </c>
      <c r="B63" s="42">
        <v>0</v>
      </c>
      <c r="C63" s="42">
        <v>0</v>
      </c>
      <c r="D63" s="42">
        <v>0</v>
      </c>
      <c r="E63" s="42"/>
      <c r="F63" s="88">
        <f t="shared" ref="F63:F65" si="3">SUM(B63:D63)</f>
        <v>0</v>
      </c>
    </row>
    <row r="64" spans="1:6" ht="15.75" x14ac:dyDescent="0.25">
      <c r="A64" s="86" t="s">
        <v>98</v>
      </c>
      <c r="B64" s="42">
        <v>1702</v>
      </c>
      <c r="C64" s="42">
        <f>432+673+1702</f>
        <v>2807</v>
      </c>
      <c r="D64" s="42">
        <v>1762</v>
      </c>
      <c r="E64" s="42"/>
      <c r="F64" s="88">
        <f t="shared" si="3"/>
        <v>6271</v>
      </c>
    </row>
    <row r="65" spans="1:6" ht="15.75" x14ac:dyDescent="0.25">
      <c r="A65" s="86" t="s">
        <v>416</v>
      </c>
      <c r="B65" s="42">
        <v>0</v>
      </c>
      <c r="C65" s="42"/>
      <c r="D65" s="42">
        <v>62008</v>
      </c>
      <c r="E65" s="42"/>
      <c r="F65" s="88">
        <f t="shared" si="3"/>
        <v>62008</v>
      </c>
    </row>
    <row r="66" spans="1:6" ht="15.75" x14ac:dyDescent="0.25">
      <c r="A66" s="17" t="s">
        <v>167</v>
      </c>
      <c r="B66" s="88">
        <f>SUM(B62:B65)</f>
        <v>1702</v>
      </c>
      <c r="C66" s="88">
        <f>SUM(C62:C65)</f>
        <v>2807</v>
      </c>
      <c r="D66" s="88">
        <f>SUM(D62:D65)</f>
        <v>63770</v>
      </c>
      <c r="E66" s="88"/>
      <c r="F66" s="88">
        <f>SUM(F62:F65)</f>
        <v>68279</v>
      </c>
    </row>
    <row r="67" spans="1:6" ht="20.25" customHeight="1" x14ac:dyDescent="0.2"/>
    <row r="68" spans="1:6" ht="15.75" x14ac:dyDescent="0.25">
      <c r="A68" s="26" t="s">
        <v>408</v>
      </c>
      <c r="B68" s="67"/>
      <c r="C68" s="67"/>
      <c r="D68" s="67"/>
      <c r="E68" s="67"/>
      <c r="F68" s="67"/>
    </row>
    <row r="69" spans="1:6" x14ac:dyDescent="0.2">
      <c r="A69" s="688" t="s">
        <v>454</v>
      </c>
      <c r="B69" s="689"/>
      <c r="C69" s="689"/>
      <c r="D69" s="689"/>
      <c r="E69" s="689"/>
      <c r="F69" s="689"/>
    </row>
    <row r="70" spans="1:6" ht="18.75" customHeight="1" x14ac:dyDescent="0.25">
      <c r="A70" s="26"/>
    </row>
    <row r="71" spans="1:6" ht="15.75" x14ac:dyDescent="0.25">
      <c r="A71" s="17" t="s">
        <v>409</v>
      </c>
      <c r="B71" s="90" t="s">
        <v>318</v>
      </c>
      <c r="C71" s="90" t="s">
        <v>374</v>
      </c>
      <c r="D71" s="90" t="s">
        <v>406</v>
      </c>
      <c r="E71" s="90" t="s">
        <v>430</v>
      </c>
      <c r="F71" s="90" t="s">
        <v>168</v>
      </c>
    </row>
    <row r="72" spans="1:6" ht="15.75" x14ac:dyDescent="0.25">
      <c r="A72" s="86" t="s">
        <v>410</v>
      </c>
      <c r="B72" s="42">
        <v>0</v>
      </c>
      <c r="C72" s="42">
        <v>0</v>
      </c>
      <c r="D72" s="42">
        <v>0</v>
      </c>
      <c r="E72" s="42"/>
      <c r="F72" s="88">
        <f>SUM(B72:C72)</f>
        <v>0</v>
      </c>
    </row>
    <row r="73" spans="1:6" ht="15.75" x14ac:dyDescent="0.25">
      <c r="A73" s="86" t="s">
        <v>411</v>
      </c>
      <c r="B73" s="42">
        <v>0</v>
      </c>
      <c r="C73" s="42">
        <v>119419</v>
      </c>
      <c r="D73" s="42">
        <v>0</v>
      </c>
      <c r="E73" s="42"/>
      <c r="F73" s="88">
        <f>SUM(B73:C73)</f>
        <v>119419</v>
      </c>
    </row>
    <row r="74" spans="1:6" ht="15.75" x14ac:dyDescent="0.25">
      <c r="A74" s="86" t="s">
        <v>412</v>
      </c>
      <c r="B74" s="42">
        <v>0</v>
      </c>
      <c r="C74" s="42">
        <v>0</v>
      </c>
      <c r="D74" s="42"/>
      <c r="E74" s="42"/>
      <c r="F74" s="88">
        <f>SUM(B74:C74)</f>
        <v>0</v>
      </c>
    </row>
    <row r="75" spans="1:6" ht="15.75" x14ac:dyDescent="0.25">
      <c r="A75" s="17" t="s">
        <v>167</v>
      </c>
      <c r="B75" s="88">
        <f>SUM(B72:B74)</f>
        <v>0</v>
      </c>
      <c r="C75" s="88">
        <f>SUM(C72:C74)</f>
        <v>119419</v>
      </c>
      <c r="D75" s="88"/>
      <c r="E75" s="88"/>
      <c r="F75" s="88">
        <f>SUM(F72:F74)</f>
        <v>119419</v>
      </c>
    </row>
    <row r="76" spans="1:6" ht="15.75" x14ac:dyDescent="0.25">
      <c r="A76" s="12"/>
      <c r="B76" s="12"/>
      <c r="C76" s="12"/>
      <c r="D76" s="12"/>
      <c r="E76" s="12"/>
      <c r="F76" s="12"/>
    </row>
    <row r="77" spans="1:6" ht="15.75" x14ac:dyDescent="0.25">
      <c r="A77" s="17" t="s">
        <v>413</v>
      </c>
      <c r="B77" s="90" t="s">
        <v>318</v>
      </c>
      <c r="C77" s="90" t="s">
        <v>374</v>
      </c>
      <c r="D77" s="90" t="s">
        <v>406</v>
      </c>
      <c r="E77" s="90" t="s">
        <v>430</v>
      </c>
      <c r="F77" s="90" t="s">
        <v>168</v>
      </c>
    </row>
    <row r="78" spans="1:6" ht="15.75" x14ac:dyDescent="0.25">
      <c r="A78" s="86" t="s">
        <v>414</v>
      </c>
      <c r="B78" s="42">
        <v>0</v>
      </c>
      <c r="C78" s="42">
        <v>0</v>
      </c>
      <c r="D78" s="42"/>
      <c r="E78" s="42"/>
      <c r="F78" s="88">
        <f>SUM(B78:C78)</f>
        <v>0</v>
      </c>
    </row>
    <row r="79" spans="1:6" ht="15.75" x14ac:dyDescent="0.25">
      <c r="A79" s="86" t="s">
        <v>415</v>
      </c>
      <c r="B79" s="42">
        <v>0</v>
      </c>
      <c r="C79" s="42">
        <v>0</v>
      </c>
      <c r="D79" s="42"/>
      <c r="E79" s="42"/>
      <c r="F79" s="88">
        <f>SUM(B79:C79)</f>
        <v>0</v>
      </c>
    </row>
    <row r="80" spans="1:6" ht="15.75" x14ac:dyDescent="0.25">
      <c r="A80" s="86" t="s">
        <v>98</v>
      </c>
      <c r="B80" s="42">
        <v>1194</v>
      </c>
      <c r="C80" s="42">
        <f>1194+686</f>
        <v>1880</v>
      </c>
      <c r="D80" s="456"/>
      <c r="E80" s="42">
        <v>4658</v>
      </c>
      <c r="F80" s="88">
        <f>SUM(B80:E80)</f>
        <v>7732</v>
      </c>
    </row>
    <row r="81" spans="1:6" ht="15.75" x14ac:dyDescent="0.25">
      <c r="A81" s="86" t="s">
        <v>416</v>
      </c>
      <c r="B81" s="42">
        <v>780</v>
      </c>
      <c r="C81" s="42">
        <v>2795</v>
      </c>
      <c r="D81" s="599"/>
      <c r="E81" s="42">
        <v>108112</v>
      </c>
      <c r="F81" s="88">
        <f>SUM(B81:E81)</f>
        <v>111687</v>
      </c>
    </row>
    <row r="82" spans="1:6" ht="15.75" x14ac:dyDescent="0.25">
      <c r="A82" s="17" t="s">
        <v>167</v>
      </c>
      <c r="B82" s="88">
        <f>SUM(B78:B81)</f>
        <v>1974</v>
      </c>
      <c r="C82" s="88">
        <f>SUM(C78:C81)</f>
        <v>4675</v>
      </c>
      <c r="D82" s="88">
        <f>SUM(D78:D81)</f>
        <v>0</v>
      </c>
      <c r="E82" s="88">
        <f>SUM(E78:E81)</f>
        <v>112770</v>
      </c>
      <c r="F82" s="88">
        <f>SUM(F78:F81)</f>
        <v>119419</v>
      </c>
    </row>
    <row r="83" spans="1:6" ht="21" customHeight="1" x14ac:dyDescent="0.2"/>
    <row r="84" spans="1:6" ht="15.75" x14ac:dyDescent="0.25">
      <c r="A84" s="26" t="s">
        <v>408</v>
      </c>
      <c r="B84" s="67"/>
      <c r="C84" s="67"/>
      <c r="D84" s="67"/>
      <c r="E84" s="67"/>
      <c r="F84" s="67"/>
    </row>
    <row r="85" spans="1:6" ht="15.75" x14ac:dyDescent="0.25">
      <c r="A85" s="12" t="s">
        <v>455</v>
      </c>
      <c r="B85" s="377"/>
      <c r="C85" s="377"/>
      <c r="D85" s="377"/>
      <c r="E85" s="377"/>
      <c r="F85" s="377"/>
    </row>
    <row r="86" spans="1:6" ht="18" customHeight="1" x14ac:dyDescent="0.25">
      <c r="A86" s="26"/>
    </row>
    <row r="87" spans="1:6" ht="15.75" x14ac:dyDescent="0.25">
      <c r="A87" s="17" t="s">
        <v>409</v>
      </c>
      <c r="B87" s="90" t="s">
        <v>318</v>
      </c>
      <c r="C87" s="90" t="s">
        <v>374</v>
      </c>
      <c r="D87" s="90" t="s">
        <v>406</v>
      </c>
      <c r="E87" s="90" t="s">
        <v>430</v>
      </c>
      <c r="F87" s="90" t="s">
        <v>168</v>
      </c>
    </row>
    <row r="88" spans="1:6" ht="15.75" x14ac:dyDescent="0.25">
      <c r="A88" s="86" t="s">
        <v>410</v>
      </c>
      <c r="B88" s="42">
        <v>0</v>
      </c>
      <c r="C88" s="42">
        <v>0</v>
      </c>
      <c r="D88" s="456"/>
      <c r="E88" s="42">
        <v>12473</v>
      </c>
      <c r="F88" s="88">
        <f>SUM(B88:E88)</f>
        <v>12473</v>
      </c>
    </row>
    <row r="89" spans="1:6" ht="15.75" x14ac:dyDescent="0.25">
      <c r="A89" s="86" t="s">
        <v>411</v>
      </c>
      <c r="B89" s="42">
        <v>0</v>
      </c>
      <c r="C89" s="42">
        <v>12843</v>
      </c>
      <c r="D89" s="456"/>
      <c r="E89" s="42">
        <v>12842</v>
      </c>
      <c r="F89" s="88">
        <f>SUM(B89:E89)</f>
        <v>25685</v>
      </c>
    </row>
    <row r="90" spans="1:6" ht="15.75" x14ac:dyDescent="0.25">
      <c r="A90" s="86" t="s">
        <v>412</v>
      </c>
      <c r="B90" s="42">
        <v>0</v>
      </c>
      <c r="C90" s="42">
        <v>0</v>
      </c>
      <c r="D90" s="42"/>
      <c r="E90" s="42"/>
      <c r="F90" s="88">
        <f>SUM(B90:C90)</f>
        <v>0</v>
      </c>
    </row>
    <row r="91" spans="1:6" ht="15.75" x14ac:dyDescent="0.25">
      <c r="A91" s="17" t="s">
        <v>167</v>
      </c>
      <c r="B91" s="88">
        <f>SUM(B88:B90)</f>
        <v>0</v>
      </c>
      <c r="C91" s="88">
        <f>SUM(C88:C90)</f>
        <v>12843</v>
      </c>
      <c r="D91" s="88"/>
      <c r="E91" s="88"/>
      <c r="F91" s="88">
        <f>SUM(F88:F90)</f>
        <v>38158</v>
      </c>
    </row>
    <row r="92" spans="1:6" ht="15.75" x14ac:dyDescent="0.25">
      <c r="A92" s="12"/>
      <c r="B92" s="12"/>
      <c r="C92" s="12"/>
      <c r="D92" s="12"/>
      <c r="E92" s="12"/>
      <c r="F92" s="12"/>
    </row>
    <row r="93" spans="1:6" ht="15.75" x14ac:dyDescent="0.25">
      <c r="A93" s="17" t="s">
        <v>413</v>
      </c>
      <c r="B93" s="90" t="s">
        <v>318</v>
      </c>
      <c r="C93" s="90" t="s">
        <v>374</v>
      </c>
      <c r="D93" s="90" t="s">
        <v>406</v>
      </c>
      <c r="E93" s="90" t="s">
        <v>430</v>
      </c>
      <c r="F93" s="90" t="s">
        <v>168</v>
      </c>
    </row>
    <row r="94" spans="1:6" ht="15.75" x14ac:dyDescent="0.25">
      <c r="A94" s="86" t="s">
        <v>414</v>
      </c>
      <c r="B94" s="42">
        <v>0</v>
      </c>
      <c r="C94" s="42">
        <v>0</v>
      </c>
      <c r="D94" s="42"/>
      <c r="E94" s="42"/>
      <c r="F94" s="88">
        <f>SUM(B94:C94)</f>
        <v>0</v>
      </c>
    </row>
    <row r="95" spans="1:6" ht="15.75" x14ac:dyDescent="0.25">
      <c r="A95" s="86" t="s">
        <v>415</v>
      </c>
      <c r="B95" s="42">
        <v>0</v>
      </c>
      <c r="C95" s="42">
        <v>0</v>
      </c>
      <c r="D95" s="42"/>
      <c r="E95" s="42"/>
      <c r="F95" s="88">
        <f>SUM(B95:C95)</f>
        <v>0</v>
      </c>
    </row>
    <row r="96" spans="1:6" ht="15.75" x14ac:dyDescent="0.25">
      <c r="A96" s="86" t="s">
        <v>98</v>
      </c>
      <c r="B96" s="42">
        <v>0</v>
      </c>
      <c r="C96" s="42">
        <v>908</v>
      </c>
      <c r="D96" s="456"/>
      <c r="E96" s="42">
        <v>545</v>
      </c>
      <c r="F96" s="88">
        <f>SUM(B96:E96)</f>
        <v>1453</v>
      </c>
    </row>
    <row r="97" spans="1:6" ht="15.75" x14ac:dyDescent="0.25">
      <c r="A97" s="86" t="s">
        <v>416</v>
      </c>
      <c r="B97" s="42">
        <v>0</v>
      </c>
      <c r="C97" s="42"/>
      <c r="E97" s="42">
        <v>36705</v>
      </c>
      <c r="F97" s="88">
        <f>SUM(B97:E97)</f>
        <v>36705</v>
      </c>
    </row>
    <row r="98" spans="1:6" ht="15.75" x14ac:dyDescent="0.25">
      <c r="A98" s="17" t="s">
        <v>167</v>
      </c>
      <c r="B98" s="88">
        <f>SUM(B94:B97)</f>
        <v>0</v>
      </c>
      <c r="C98" s="88">
        <f>SUM(C94:C97)</f>
        <v>908</v>
      </c>
      <c r="D98" s="88">
        <f>SUM(D94:D97)</f>
        <v>0</v>
      </c>
      <c r="E98" s="88"/>
      <c r="F98" s="88">
        <f>SUM(F94:F97)</f>
        <v>38158</v>
      </c>
    </row>
    <row r="99" spans="1:6" ht="20.25" customHeight="1" x14ac:dyDescent="0.2"/>
    <row r="100" spans="1:6" ht="20.25" customHeight="1" x14ac:dyDescent="0.2"/>
    <row r="101" spans="1:6" ht="15.75" x14ac:dyDescent="0.25">
      <c r="A101" s="26" t="s">
        <v>408</v>
      </c>
      <c r="B101" s="67"/>
      <c r="C101" s="67"/>
      <c r="D101" s="67"/>
      <c r="E101" s="67"/>
      <c r="F101" s="67"/>
    </row>
    <row r="102" spans="1:6" ht="15.75" x14ac:dyDescent="0.25">
      <c r="A102" s="12" t="s">
        <v>456</v>
      </c>
      <c r="B102" s="377"/>
      <c r="C102" s="377"/>
      <c r="D102" s="377"/>
      <c r="E102" s="377"/>
      <c r="F102" s="377"/>
    </row>
    <row r="103" spans="1:6" ht="13.5" customHeight="1" x14ac:dyDescent="0.25">
      <c r="A103" s="26"/>
    </row>
    <row r="104" spans="1:6" ht="15.75" x14ac:dyDescent="0.25">
      <c r="A104" s="17" t="s">
        <v>409</v>
      </c>
      <c r="B104" s="90" t="s">
        <v>406</v>
      </c>
      <c r="C104" s="90" t="s">
        <v>430</v>
      </c>
      <c r="D104" s="90" t="s">
        <v>458</v>
      </c>
      <c r="E104" s="90"/>
      <c r="F104" s="90" t="s">
        <v>168</v>
      </c>
    </row>
    <row r="105" spans="1:6" ht="15.75" x14ac:dyDescent="0.25">
      <c r="A105" s="86" t="s">
        <v>410</v>
      </c>
      <c r="B105" s="42">
        <v>0</v>
      </c>
      <c r="C105" s="42">
        <v>0</v>
      </c>
      <c r="D105" s="42">
        <v>0</v>
      </c>
      <c r="E105" s="42"/>
      <c r="F105" s="88">
        <f>SUM(B105:D105)</f>
        <v>0</v>
      </c>
    </row>
    <row r="106" spans="1:6" ht="15.75" x14ac:dyDescent="0.25">
      <c r="A106" s="86" t="s">
        <v>411</v>
      </c>
      <c r="B106" s="42">
        <v>172693</v>
      </c>
      <c r="C106" s="42">
        <v>88462</v>
      </c>
      <c r="D106" s="42">
        <v>40115</v>
      </c>
      <c r="E106" s="42"/>
      <c r="F106" s="88">
        <f>SUM(B106:D106)</f>
        <v>301270</v>
      </c>
    </row>
    <row r="107" spans="1:6" ht="15.75" x14ac:dyDescent="0.25">
      <c r="A107" s="86" t="s">
        <v>412</v>
      </c>
      <c r="B107" s="42">
        <v>0</v>
      </c>
      <c r="C107" s="42">
        <v>0</v>
      </c>
      <c r="D107" s="42">
        <v>0</v>
      </c>
      <c r="E107" s="42"/>
      <c r="F107" s="88">
        <f>SUM(B107:C107)</f>
        <v>0</v>
      </c>
    </row>
    <row r="108" spans="1:6" ht="15.75" x14ac:dyDescent="0.25">
      <c r="A108" s="17" t="s">
        <v>167</v>
      </c>
      <c r="B108" s="88">
        <f>SUM(B105:B107)</f>
        <v>172693</v>
      </c>
      <c r="C108" s="88">
        <f>SUM(C105:C107)</f>
        <v>88462</v>
      </c>
      <c r="D108" s="88">
        <f>SUM(D105:D107)</f>
        <v>40115</v>
      </c>
      <c r="E108" s="88"/>
      <c r="F108" s="88">
        <f>SUM(F105:F107)</f>
        <v>301270</v>
      </c>
    </row>
    <row r="109" spans="1:6" ht="15.75" x14ac:dyDescent="0.25">
      <c r="A109" s="12"/>
      <c r="B109" s="12"/>
      <c r="C109" s="12"/>
      <c r="D109" s="12"/>
      <c r="E109" s="12"/>
      <c r="F109" s="12"/>
    </row>
    <row r="110" spans="1:6" ht="15.75" x14ac:dyDescent="0.25">
      <c r="A110" s="17" t="s">
        <v>413</v>
      </c>
      <c r="B110" s="90" t="s">
        <v>406</v>
      </c>
      <c r="C110" s="90" t="s">
        <v>430</v>
      </c>
      <c r="D110" s="90" t="s">
        <v>458</v>
      </c>
      <c r="E110" s="90"/>
      <c r="F110" s="90" t="s">
        <v>168</v>
      </c>
    </row>
    <row r="111" spans="1:6" ht="15.75" x14ac:dyDescent="0.25">
      <c r="A111" s="86" t="s">
        <v>414</v>
      </c>
      <c r="B111" s="42">
        <v>42748</v>
      </c>
      <c r="C111" s="42">
        <v>37975</v>
      </c>
      <c r="D111" s="42">
        <v>18454</v>
      </c>
      <c r="E111" s="42"/>
      <c r="F111" s="88">
        <f t="shared" ref="F111:F112" si="4">SUM(B111:D111)</f>
        <v>99177</v>
      </c>
    </row>
    <row r="112" spans="1:6" ht="15.75" x14ac:dyDescent="0.25">
      <c r="A112" s="86" t="s">
        <v>415</v>
      </c>
      <c r="B112" s="42">
        <v>8550</v>
      </c>
      <c r="C112" s="42">
        <v>7595</v>
      </c>
      <c r="D112" s="42">
        <v>3691</v>
      </c>
      <c r="E112" s="42"/>
      <c r="F112" s="88">
        <f t="shared" si="4"/>
        <v>19836</v>
      </c>
    </row>
    <row r="113" spans="1:6" ht="15.75" x14ac:dyDescent="0.25">
      <c r="A113" s="86" t="s">
        <v>98</v>
      </c>
      <c r="B113" s="42">
        <v>119044</v>
      </c>
      <c r="C113" s="42">
        <v>42892</v>
      </c>
      <c r="D113" s="42">
        <v>17970</v>
      </c>
      <c r="E113" s="42"/>
      <c r="F113" s="88">
        <f>SUM(B113:D113)</f>
        <v>179906</v>
      </c>
    </row>
    <row r="114" spans="1:6" ht="15.75" x14ac:dyDescent="0.25">
      <c r="A114" s="86" t="s">
        <v>416</v>
      </c>
      <c r="B114" s="42">
        <v>2351</v>
      </c>
      <c r="C114" s="42">
        <v>0</v>
      </c>
      <c r="D114" s="42">
        <v>0</v>
      </c>
      <c r="E114" s="42"/>
      <c r="F114" s="88">
        <f>SUM(B114:D114)</f>
        <v>2351</v>
      </c>
    </row>
    <row r="115" spans="1:6" ht="15.75" x14ac:dyDescent="0.25">
      <c r="A115" s="17" t="s">
        <v>167</v>
      </c>
      <c r="B115" s="88">
        <f>SUM(B111:B114)</f>
        <v>172693</v>
      </c>
      <c r="C115" s="88">
        <f>SUM(C111:C114)</f>
        <v>88462</v>
      </c>
      <c r="D115" s="88">
        <f>SUM(D111:D114)</f>
        <v>40115</v>
      </c>
      <c r="E115" s="88"/>
      <c r="F115" s="88">
        <f>SUM(F111:F114)</f>
        <v>301270</v>
      </c>
    </row>
    <row r="118" spans="1:6" ht="15.75" x14ac:dyDescent="0.25">
      <c r="A118" s="26" t="s">
        <v>408</v>
      </c>
      <c r="B118" s="67"/>
      <c r="C118" s="67"/>
      <c r="D118" s="67"/>
      <c r="E118" s="67"/>
      <c r="F118" s="67"/>
    </row>
    <row r="119" spans="1:6" ht="15.75" x14ac:dyDescent="0.25">
      <c r="A119" s="12" t="s">
        <v>457</v>
      </c>
      <c r="B119" s="377"/>
      <c r="C119" s="377"/>
      <c r="D119" s="377"/>
      <c r="E119" s="377"/>
      <c r="F119" s="377"/>
    </row>
    <row r="120" spans="1:6" ht="15.75" x14ac:dyDescent="0.25">
      <c r="A120" s="26"/>
    </row>
    <row r="121" spans="1:6" ht="15.75" x14ac:dyDescent="0.25">
      <c r="A121" s="17" t="s">
        <v>409</v>
      </c>
      <c r="B121" s="90" t="s">
        <v>406</v>
      </c>
      <c r="C121" s="90" t="s">
        <v>430</v>
      </c>
      <c r="D121" s="90" t="s">
        <v>458</v>
      </c>
      <c r="E121" s="90"/>
      <c r="F121" s="90" t="s">
        <v>168</v>
      </c>
    </row>
    <row r="122" spans="1:6" ht="15.75" x14ac:dyDescent="0.25">
      <c r="A122" s="86" t="s">
        <v>410</v>
      </c>
      <c r="B122" s="42">
        <v>0</v>
      </c>
      <c r="C122" s="42">
        <v>0</v>
      </c>
      <c r="D122" s="42">
        <v>0</v>
      </c>
      <c r="E122" s="42"/>
      <c r="F122" s="88">
        <f>SUM(B122:D122)</f>
        <v>0</v>
      </c>
    </row>
    <row r="123" spans="1:6" ht="15.75" x14ac:dyDescent="0.25">
      <c r="A123" s="86" t="s">
        <v>411</v>
      </c>
      <c r="B123" s="42">
        <v>158555</v>
      </c>
      <c r="C123" s="42">
        <v>108905</v>
      </c>
      <c r="D123" s="42">
        <v>39329</v>
      </c>
      <c r="E123" s="42"/>
      <c r="F123" s="88">
        <f>SUM(B123:D123)</f>
        <v>306789</v>
      </c>
    </row>
    <row r="124" spans="1:6" ht="15.75" x14ac:dyDescent="0.25">
      <c r="A124" s="86" t="s">
        <v>412</v>
      </c>
      <c r="B124" s="42">
        <v>0</v>
      </c>
      <c r="C124" s="42">
        <v>0</v>
      </c>
      <c r="D124" s="42"/>
      <c r="E124" s="42"/>
      <c r="F124" s="88">
        <f>SUM(B124:C124)</f>
        <v>0</v>
      </c>
    </row>
    <row r="125" spans="1:6" ht="15.75" x14ac:dyDescent="0.25">
      <c r="A125" s="17" t="s">
        <v>167</v>
      </c>
      <c r="B125" s="88">
        <f>SUM(B122:B124)</f>
        <v>158555</v>
      </c>
      <c r="C125" s="88">
        <f>SUM(C122:C124)</f>
        <v>108905</v>
      </c>
      <c r="D125" s="88">
        <f>SUM(D122:D124)</f>
        <v>39329</v>
      </c>
      <c r="E125" s="88"/>
      <c r="F125" s="88">
        <f>SUM(F122:F124)</f>
        <v>306789</v>
      </c>
    </row>
    <row r="126" spans="1:6" ht="15.75" x14ac:dyDescent="0.25">
      <c r="A126" s="12"/>
      <c r="B126" s="12"/>
      <c r="C126" s="12"/>
      <c r="D126" s="12"/>
      <c r="E126" s="12"/>
      <c r="F126" s="12"/>
    </row>
    <row r="127" spans="1:6" ht="15.75" x14ac:dyDescent="0.25">
      <c r="A127" s="17" t="s">
        <v>413</v>
      </c>
      <c r="B127" s="90" t="s">
        <v>406</v>
      </c>
      <c r="C127" s="90" t="s">
        <v>430</v>
      </c>
      <c r="D127" s="90" t="s">
        <v>458</v>
      </c>
      <c r="E127" s="90"/>
      <c r="F127" s="90" t="s">
        <v>168</v>
      </c>
    </row>
    <row r="128" spans="1:6" ht="15.75" x14ac:dyDescent="0.25">
      <c r="A128" s="86" t="s">
        <v>414</v>
      </c>
      <c r="B128" s="42">
        <v>60127</v>
      </c>
      <c r="C128" s="42">
        <v>60538</v>
      </c>
      <c r="D128" s="42">
        <v>27462</v>
      </c>
      <c r="E128" s="42"/>
      <c r="F128" s="88">
        <f>SUM(B128:D128)</f>
        <v>148127</v>
      </c>
    </row>
    <row r="129" spans="1:6" ht="15.75" x14ac:dyDescent="0.25">
      <c r="A129" s="86" t="s">
        <v>415</v>
      </c>
      <c r="B129" s="42">
        <v>12026</v>
      </c>
      <c r="C129" s="42">
        <v>12108</v>
      </c>
      <c r="D129" s="42">
        <v>5492</v>
      </c>
      <c r="E129" s="42"/>
      <c r="F129" s="88">
        <f t="shared" ref="F129:F131" si="5">SUM(B129:D129)</f>
        <v>29626</v>
      </c>
    </row>
    <row r="130" spans="1:6" ht="15.75" x14ac:dyDescent="0.25">
      <c r="A130" s="86" t="s">
        <v>98</v>
      </c>
      <c r="B130" s="42">
        <v>85034</v>
      </c>
      <c r="C130" s="42">
        <v>36259</v>
      </c>
      <c r="D130" s="42">
        <v>6375</v>
      </c>
      <c r="E130" s="42"/>
      <c r="F130" s="88">
        <f t="shared" si="5"/>
        <v>127668</v>
      </c>
    </row>
    <row r="131" spans="1:6" ht="15.75" x14ac:dyDescent="0.25">
      <c r="A131" s="86" t="s">
        <v>416</v>
      </c>
      <c r="B131" s="42">
        <v>1368</v>
      </c>
      <c r="C131" s="42">
        <v>0</v>
      </c>
      <c r="D131" s="42">
        <v>0</v>
      </c>
      <c r="E131" s="42"/>
      <c r="F131" s="88">
        <f t="shared" si="5"/>
        <v>1368</v>
      </c>
    </row>
    <row r="132" spans="1:6" ht="15.75" x14ac:dyDescent="0.25">
      <c r="A132" s="17" t="s">
        <v>167</v>
      </c>
      <c r="B132" s="88">
        <f>SUM(B128:B131)</f>
        <v>158555</v>
      </c>
      <c r="C132" s="88">
        <f>SUM(C128:C131)</f>
        <v>108905</v>
      </c>
      <c r="D132" s="88">
        <f>SUM(D128:D131)</f>
        <v>39329</v>
      </c>
      <c r="E132" s="88"/>
      <c r="F132" s="88">
        <f>SUM(F128:F131)</f>
        <v>306789</v>
      </c>
    </row>
  </sheetData>
  <mergeCells count="6">
    <mergeCell ref="A21:D21"/>
    <mergeCell ref="A37:F37"/>
    <mergeCell ref="A53:F53"/>
    <mergeCell ref="A69:F69"/>
    <mergeCell ref="A2:F2"/>
    <mergeCell ref="A3:D3"/>
  </mergeCells>
  <phoneticPr fontId="2" type="noConversion"/>
  <pageMargins left="0.59055118110236227" right="0.59055118110236227" top="0.78740157480314965" bottom="0.98425196850393704" header="0.51181102362204722" footer="0.51181102362204722"/>
  <pageSetup paperSize="9" scale="90" orientation="landscape" verticalDpi="300" r:id="rId1"/>
  <headerFooter alignWithMargins="0">
    <oddHeader>&amp;R7 melléklet a 9/2019. (V.29.)
önkormányzati rendelethez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11"/>
  <sheetViews>
    <sheetView workbookViewId="0">
      <selection activeCell="B8" sqref="B8"/>
    </sheetView>
  </sheetViews>
  <sheetFormatPr defaultRowHeight="15.75" x14ac:dyDescent="0.25"/>
  <cols>
    <col min="1" max="1" width="9.140625" style="14" customWidth="1"/>
    <col min="2" max="2" width="23.140625" style="14" customWidth="1"/>
    <col min="3" max="3" width="7.42578125" style="14" customWidth="1"/>
    <col min="4" max="4" width="7.85546875" style="14" customWidth="1"/>
    <col min="5" max="5" width="8" style="14" customWidth="1"/>
    <col min="6" max="6" width="9.140625" style="14"/>
    <col min="7" max="7" width="8.140625" style="14" customWidth="1"/>
    <col min="8" max="10" width="9.140625" style="14"/>
    <col min="11" max="11" width="8" style="14" customWidth="1"/>
    <col min="12" max="12" width="8.28515625" style="14" customWidth="1"/>
    <col min="13" max="13" width="7.5703125" style="14" customWidth="1"/>
    <col min="14" max="14" width="9.140625" style="14" customWidth="1"/>
    <col min="15" max="16384" width="9.140625" style="14"/>
  </cols>
  <sheetData>
    <row r="2" spans="1:14" x14ac:dyDescent="0.25">
      <c r="A2" s="665" t="s">
        <v>1021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</row>
    <row r="3" spans="1:14" x14ac:dyDescent="0.25">
      <c r="A3" s="665"/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</row>
    <row r="4" spans="1:14" x14ac:dyDescent="0.25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</row>
    <row r="5" spans="1:14" ht="16.5" thickBot="1" x14ac:dyDescent="0.3">
      <c r="N5" s="171" t="s">
        <v>1022</v>
      </c>
    </row>
    <row r="6" spans="1:14" x14ac:dyDescent="0.25">
      <c r="A6" s="568" t="s">
        <v>166</v>
      </c>
      <c r="B6" s="172" t="s">
        <v>46</v>
      </c>
      <c r="C6" s="579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569" t="s">
        <v>168</v>
      </c>
    </row>
    <row r="7" spans="1:14" ht="16.5" thickBot="1" x14ac:dyDescent="0.3">
      <c r="A7" s="174"/>
      <c r="B7" s="175"/>
      <c r="C7" s="262" t="s">
        <v>406</v>
      </c>
      <c r="D7" s="570" t="s">
        <v>430</v>
      </c>
      <c r="E7" s="570" t="s">
        <v>458</v>
      </c>
      <c r="F7" s="570" t="s">
        <v>1023</v>
      </c>
      <c r="G7" s="570" t="s">
        <v>1024</v>
      </c>
      <c r="H7" s="570" t="s">
        <v>1025</v>
      </c>
      <c r="I7" s="570" t="s">
        <v>1026</v>
      </c>
      <c r="J7" s="570" t="s">
        <v>1027</v>
      </c>
      <c r="K7" s="570" t="s">
        <v>1028</v>
      </c>
      <c r="L7" s="570" t="s">
        <v>1029</v>
      </c>
      <c r="M7" s="570" t="s">
        <v>1030</v>
      </c>
      <c r="N7" s="571"/>
    </row>
    <row r="8" spans="1:14" ht="32.25" thickBot="1" x14ac:dyDescent="0.3">
      <c r="A8" s="572" t="s">
        <v>7</v>
      </c>
      <c r="B8" s="600" t="s">
        <v>1066</v>
      </c>
      <c r="C8" s="573">
        <v>2055</v>
      </c>
      <c r="D8" s="573">
        <f>2055*4</f>
        <v>8220</v>
      </c>
      <c r="E8" s="573">
        <f t="shared" ref="E8:L8" si="0">2055*4</f>
        <v>8220</v>
      </c>
      <c r="F8" s="573">
        <f t="shared" si="0"/>
        <v>8220</v>
      </c>
      <c r="G8" s="573">
        <f t="shared" si="0"/>
        <v>8220</v>
      </c>
      <c r="H8" s="573">
        <f t="shared" si="0"/>
        <v>8220</v>
      </c>
      <c r="I8" s="573">
        <f t="shared" si="0"/>
        <v>8220</v>
      </c>
      <c r="J8" s="573">
        <f t="shared" si="0"/>
        <v>8220</v>
      </c>
      <c r="K8" s="573">
        <f t="shared" si="0"/>
        <v>8220</v>
      </c>
      <c r="L8" s="573">
        <f t="shared" si="0"/>
        <v>8220</v>
      </c>
      <c r="M8" s="573">
        <f>2055+1910</f>
        <v>3965</v>
      </c>
      <c r="N8" s="574">
        <f>SUM(C8:M8)</f>
        <v>80000</v>
      </c>
    </row>
    <row r="9" spans="1:14" x14ac:dyDescent="0.25">
      <c r="A9" s="76" t="s">
        <v>1031</v>
      </c>
      <c r="B9" s="42" t="s">
        <v>1032</v>
      </c>
      <c r="C9" s="42">
        <v>188</v>
      </c>
      <c r="D9" s="42">
        <f>526+512+498+485</f>
        <v>2021</v>
      </c>
      <c r="E9" s="42">
        <f>471+457+443+429</f>
        <v>1800</v>
      </c>
      <c r="F9" s="42">
        <f>415+401+387+374</f>
        <v>1577</v>
      </c>
      <c r="G9" s="42">
        <f>360+346+332+318</f>
        <v>1356</v>
      </c>
      <c r="H9" s="42">
        <f>304+290+276+263</f>
        <v>1133</v>
      </c>
      <c r="I9" s="42">
        <f>249+235+221+207</f>
        <v>912</v>
      </c>
      <c r="J9" s="42">
        <f>193+179+165+152</f>
        <v>689</v>
      </c>
      <c r="K9" s="42">
        <f>138+124+110+96</f>
        <v>468</v>
      </c>
      <c r="L9" s="42">
        <f>82+68+55+41</f>
        <v>246</v>
      </c>
      <c r="M9" s="42">
        <f>27+13</f>
        <v>40</v>
      </c>
      <c r="N9" s="574">
        <f>SUM(C9:M9)</f>
        <v>10430</v>
      </c>
    </row>
    <row r="10" spans="1:14" x14ac:dyDescent="0.25">
      <c r="A10" s="576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575"/>
    </row>
    <row r="11" spans="1:14" ht="16.5" thickBot="1" x14ac:dyDescent="0.3">
      <c r="A11" s="577"/>
      <c r="B11" s="578"/>
      <c r="C11" s="578"/>
      <c r="D11" s="578"/>
      <c r="E11" s="578"/>
      <c r="F11" s="578"/>
      <c r="G11" s="578"/>
      <c r="H11" s="578"/>
      <c r="I11" s="578"/>
      <c r="J11" s="578"/>
      <c r="K11" s="578"/>
      <c r="L11" s="578"/>
      <c r="M11" s="578"/>
      <c r="N11" s="571"/>
    </row>
  </sheetData>
  <mergeCells count="3">
    <mergeCell ref="A2:N2"/>
    <mergeCell ref="A3:N3"/>
    <mergeCell ref="D6:M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&amp;R8 melléklet a 9/2019.(V.29.)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O7"/>
  <sheetViews>
    <sheetView workbookViewId="0">
      <selection activeCell="C12" sqref="C12"/>
    </sheetView>
  </sheetViews>
  <sheetFormatPr defaultRowHeight="12.75" x14ac:dyDescent="0.2"/>
  <cols>
    <col min="14" max="14" width="0.7109375" customWidth="1"/>
    <col min="15" max="15" width="9.140625" hidden="1" customWidth="1"/>
  </cols>
  <sheetData>
    <row r="3" spans="1:15" ht="15.75" x14ac:dyDescent="0.25">
      <c r="D3" s="67" t="s">
        <v>527</v>
      </c>
      <c r="E3" s="67"/>
      <c r="F3" s="67"/>
      <c r="G3" s="67"/>
      <c r="H3" s="67"/>
      <c r="I3" s="67"/>
      <c r="J3" s="67"/>
      <c r="K3" s="67"/>
      <c r="L3" s="67"/>
    </row>
    <row r="4" spans="1:15" ht="15.75" x14ac:dyDescent="0.25">
      <c r="D4" s="665"/>
      <c r="E4" s="665"/>
      <c r="F4" s="665"/>
      <c r="G4" s="665"/>
      <c r="H4" s="665"/>
      <c r="I4" s="665"/>
      <c r="J4" s="665"/>
      <c r="K4" s="665"/>
      <c r="L4" s="665"/>
    </row>
    <row r="5" spans="1:15" ht="15.75" customHeight="1" x14ac:dyDescent="0.2">
      <c r="D5" s="691"/>
      <c r="E5" s="691"/>
      <c r="F5" s="691"/>
      <c r="G5" s="691"/>
      <c r="H5" s="691"/>
      <c r="I5" s="691"/>
      <c r="J5" s="691"/>
      <c r="K5" s="691"/>
      <c r="L5" s="691"/>
    </row>
    <row r="6" spans="1:15" x14ac:dyDescent="0.2">
      <c r="A6" s="691" t="s">
        <v>528</v>
      </c>
      <c r="B6" s="691"/>
      <c r="C6" s="691"/>
      <c r="D6" s="691"/>
      <c r="E6" s="691"/>
      <c r="F6" s="691"/>
      <c r="G6" s="691"/>
      <c r="H6" s="691"/>
      <c r="I6" s="691"/>
      <c r="J6" s="691"/>
      <c r="K6" s="691"/>
      <c r="L6" s="691"/>
      <c r="M6" s="691"/>
      <c r="N6" s="691"/>
      <c r="O6" s="691"/>
    </row>
    <row r="7" spans="1:15" ht="33.75" customHeight="1" x14ac:dyDescent="0.2">
      <c r="A7" s="691"/>
      <c r="B7" s="691"/>
      <c r="C7" s="691"/>
      <c r="D7" s="691"/>
      <c r="E7" s="691"/>
      <c r="F7" s="691"/>
      <c r="G7" s="691"/>
      <c r="H7" s="691"/>
      <c r="I7" s="691"/>
      <c r="J7" s="691"/>
      <c r="K7" s="691"/>
      <c r="L7" s="691"/>
      <c r="M7" s="691"/>
      <c r="N7" s="691"/>
      <c r="O7" s="691"/>
    </row>
  </sheetData>
  <mergeCells count="3">
    <mergeCell ref="D4:L4"/>
    <mergeCell ref="D5:L5"/>
    <mergeCell ref="A6:O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&amp;R9 melléklet a 9/2019.(V.29.)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B34"/>
  <sheetViews>
    <sheetView workbookViewId="0">
      <selection activeCell="B7" sqref="B7"/>
    </sheetView>
  </sheetViews>
  <sheetFormatPr defaultRowHeight="15.75" x14ac:dyDescent="0.25"/>
  <cols>
    <col min="1" max="1" width="60.28515625" style="12" customWidth="1"/>
    <col min="2" max="2" width="15.28515625" style="12" customWidth="1"/>
    <col min="3" max="16384" width="9.140625" style="12"/>
  </cols>
  <sheetData>
    <row r="2" spans="1:2" x14ac:dyDescent="0.25">
      <c r="A2" s="669" t="s">
        <v>336</v>
      </c>
      <c r="B2" s="669"/>
    </row>
    <row r="3" spans="1:2" x14ac:dyDescent="0.25">
      <c r="A3" s="669" t="s">
        <v>337</v>
      </c>
      <c r="B3" s="669"/>
    </row>
    <row r="4" spans="1:2" x14ac:dyDescent="0.25">
      <c r="A4" s="329"/>
      <c r="B4" s="330" t="s">
        <v>210</v>
      </c>
    </row>
    <row r="5" spans="1:2" x14ac:dyDescent="0.25">
      <c r="A5" s="331" t="s">
        <v>363</v>
      </c>
      <c r="B5" s="331" t="s">
        <v>427</v>
      </c>
    </row>
    <row r="6" spans="1:2" x14ac:dyDescent="0.25">
      <c r="A6" s="332" t="s">
        <v>338</v>
      </c>
      <c r="B6" s="333">
        <v>36329</v>
      </c>
    </row>
    <row r="7" spans="1:2" ht="40.5" customHeight="1" x14ac:dyDescent="0.25">
      <c r="A7" s="334" t="s">
        <v>339</v>
      </c>
      <c r="B7" s="333">
        <v>9675</v>
      </c>
    </row>
    <row r="8" spans="1:2" x14ac:dyDescent="0.25">
      <c r="A8" s="332" t="s">
        <v>340</v>
      </c>
      <c r="B8" s="333">
        <v>0</v>
      </c>
    </row>
    <row r="9" spans="1:2" x14ac:dyDescent="0.25">
      <c r="A9" s="332" t="s">
        <v>341</v>
      </c>
      <c r="B9" s="333">
        <v>0</v>
      </c>
    </row>
    <row r="10" spans="1:2" x14ac:dyDescent="0.25">
      <c r="A10" s="332" t="s">
        <v>342</v>
      </c>
      <c r="B10" s="333">
        <v>0</v>
      </c>
    </row>
    <row r="11" spans="1:2" x14ac:dyDescent="0.25">
      <c r="A11" s="332" t="s">
        <v>343</v>
      </c>
      <c r="B11" s="333">
        <v>0</v>
      </c>
    </row>
    <row r="12" spans="1:2" x14ac:dyDescent="0.25">
      <c r="A12" s="332" t="s">
        <v>344</v>
      </c>
      <c r="B12" s="333">
        <v>0</v>
      </c>
    </row>
    <row r="13" spans="1:2" x14ac:dyDescent="0.25">
      <c r="A13" s="332" t="s">
        <v>345</v>
      </c>
      <c r="B13" s="333">
        <v>0</v>
      </c>
    </row>
    <row r="14" spans="1:2" x14ac:dyDescent="0.25">
      <c r="A14" s="332" t="s">
        <v>346</v>
      </c>
      <c r="B14" s="333"/>
    </row>
    <row r="15" spans="1:2" x14ac:dyDescent="0.25">
      <c r="A15" s="332" t="s">
        <v>347</v>
      </c>
      <c r="B15" s="333"/>
    </row>
    <row r="16" spans="1:2" x14ac:dyDescent="0.25">
      <c r="A16" s="335" t="s">
        <v>348</v>
      </c>
      <c r="B16" s="336">
        <f>SUM(B6:B15)</f>
        <v>46004</v>
      </c>
    </row>
    <row r="17" spans="1:2" x14ac:dyDescent="0.25">
      <c r="A17" s="335" t="s">
        <v>349</v>
      </c>
      <c r="B17" s="336">
        <f>+B16/2</f>
        <v>23002</v>
      </c>
    </row>
    <row r="19" spans="1:2" x14ac:dyDescent="0.25">
      <c r="A19" s="331" t="s">
        <v>364</v>
      </c>
      <c r="B19" s="331" t="s">
        <v>427</v>
      </c>
    </row>
    <row r="20" spans="1:2" x14ac:dyDescent="0.25">
      <c r="A20" s="332" t="s">
        <v>350</v>
      </c>
      <c r="B20" s="337">
        <v>0</v>
      </c>
    </row>
    <row r="21" spans="1:2" x14ac:dyDescent="0.25">
      <c r="A21" s="332" t="s">
        <v>351</v>
      </c>
      <c r="B21" s="337">
        <v>2055</v>
      </c>
    </row>
    <row r="22" spans="1:2" x14ac:dyDescent="0.25">
      <c r="A22" s="332" t="s">
        <v>352</v>
      </c>
      <c r="B22" s="337">
        <v>0</v>
      </c>
    </row>
    <row r="23" spans="1:2" x14ac:dyDescent="0.25">
      <c r="A23" s="332" t="s">
        <v>353</v>
      </c>
      <c r="B23" s="337">
        <v>0</v>
      </c>
    </row>
    <row r="24" spans="1:2" ht="47.25" x14ac:dyDescent="0.25">
      <c r="A24" s="334" t="s">
        <v>354</v>
      </c>
      <c r="B24" s="337">
        <v>0</v>
      </c>
    </row>
    <row r="25" spans="1:2" x14ac:dyDescent="0.25">
      <c r="A25" s="332" t="s">
        <v>355</v>
      </c>
      <c r="B25" s="337">
        <v>0</v>
      </c>
    </row>
    <row r="26" spans="1:2" ht="47.25" x14ac:dyDescent="0.25">
      <c r="A26" s="334" t="s">
        <v>356</v>
      </c>
      <c r="B26" s="337">
        <v>0</v>
      </c>
    </row>
    <row r="27" spans="1:2" ht="47.25" x14ac:dyDescent="0.25">
      <c r="A27" s="334" t="s">
        <v>357</v>
      </c>
      <c r="B27" s="337">
        <v>0</v>
      </c>
    </row>
    <row r="28" spans="1:2" ht="63" x14ac:dyDescent="0.25">
      <c r="A28" s="334" t="s">
        <v>358</v>
      </c>
      <c r="B28" s="337">
        <v>0</v>
      </c>
    </row>
    <row r="29" spans="1:2" ht="31.5" x14ac:dyDescent="0.25">
      <c r="A29" s="334" t="s">
        <v>359</v>
      </c>
      <c r="B29" s="337">
        <v>0</v>
      </c>
    </row>
    <row r="30" spans="1:2" ht="47.25" x14ac:dyDescent="0.25">
      <c r="A30" s="334" t="s">
        <v>360</v>
      </c>
      <c r="B30" s="337">
        <v>0</v>
      </c>
    </row>
    <row r="31" spans="1:2" ht="31.5" x14ac:dyDescent="0.25">
      <c r="A31" s="338" t="s">
        <v>361</v>
      </c>
      <c r="B31" s="339">
        <f>SUM(B20:B30)</f>
        <v>2055</v>
      </c>
    </row>
    <row r="32" spans="1:2" ht="31.5" x14ac:dyDescent="0.25">
      <c r="A32" s="338" t="s">
        <v>362</v>
      </c>
      <c r="B32" s="339">
        <f>+B17-B31</f>
        <v>20947</v>
      </c>
    </row>
    <row r="33" spans="1:2" x14ac:dyDescent="0.25">
      <c r="A33" s="340"/>
      <c r="B33" s="329"/>
    </row>
    <row r="34" spans="1:2" x14ac:dyDescent="0.25">
      <c r="A34" s="692"/>
      <c r="B34" s="692"/>
    </row>
  </sheetData>
  <mergeCells count="3">
    <mergeCell ref="A34:B34"/>
    <mergeCell ref="A2:B2"/>
    <mergeCell ref="A3:B3"/>
  </mergeCells>
  <printOptions horizontalCentered="1"/>
  <pageMargins left="0.70866141732283472" right="0.70866141732283472" top="0.35433070866141736" bottom="0.35433070866141736" header="0.11811023622047245" footer="0.31496062992125984"/>
  <pageSetup paperSize="9" orientation="portrait" r:id="rId1"/>
  <headerFooter>
    <oddHeader xml:space="preserve">&amp;R10 melléklet  a 9/2019. (V.29.)
önkormányzati rendelethez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5"/>
  <sheetViews>
    <sheetView workbookViewId="0">
      <selection activeCell="H17" sqref="H17"/>
    </sheetView>
  </sheetViews>
  <sheetFormatPr defaultRowHeight="12.75" x14ac:dyDescent="0.2"/>
  <cols>
    <col min="1" max="1" width="42" customWidth="1"/>
    <col min="2" max="2" width="13.28515625" customWidth="1"/>
    <col min="3" max="3" width="10.42578125" customWidth="1"/>
    <col min="5" max="5" width="13.28515625" customWidth="1"/>
  </cols>
  <sheetData>
    <row r="1" spans="1:5" x14ac:dyDescent="0.2">
      <c r="B1" s="453" t="s">
        <v>1074</v>
      </c>
    </row>
    <row r="2" spans="1:5" x14ac:dyDescent="0.2">
      <c r="B2" s="453"/>
    </row>
    <row r="3" spans="1:5" ht="15.75" x14ac:dyDescent="0.25">
      <c r="A3" s="693" t="s">
        <v>1020</v>
      </c>
      <c r="B3" s="693"/>
      <c r="C3" s="693"/>
      <c r="D3" s="693"/>
      <c r="E3" s="693"/>
    </row>
    <row r="6" spans="1:5" x14ac:dyDescent="0.2">
      <c r="B6" s="454" t="s">
        <v>529</v>
      </c>
      <c r="C6" s="454" t="s">
        <v>530</v>
      </c>
      <c r="D6" s="454" t="s">
        <v>531</v>
      </c>
      <c r="E6" s="454" t="s">
        <v>532</v>
      </c>
    </row>
    <row r="7" spans="1:5" x14ac:dyDescent="0.2">
      <c r="A7" s="455" t="s">
        <v>533</v>
      </c>
      <c r="B7" s="456">
        <v>646604</v>
      </c>
      <c r="C7" s="456">
        <v>1045</v>
      </c>
      <c r="D7" s="456">
        <v>18939</v>
      </c>
      <c r="E7" s="456"/>
    </row>
    <row r="8" spans="1:5" x14ac:dyDescent="0.2">
      <c r="A8" s="455" t="s">
        <v>534</v>
      </c>
      <c r="B8" s="456">
        <v>956606</v>
      </c>
      <c r="C8" s="456">
        <v>39912</v>
      </c>
      <c r="D8" s="456">
        <v>49032</v>
      </c>
      <c r="E8" s="456">
        <v>45129</v>
      </c>
    </row>
    <row r="9" spans="1:5" ht="25.5" x14ac:dyDescent="0.2">
      <c r="A9" s="457" t="s">
        <v>535</v>
      </c>
      <c r="B9" s="456">
        <f t="shared" ref="B9:C9" si="0">+B7-B8</f>
        <v>-310002</v>
      </c>
      <c r="C9" s="456">
        <f t="shared" si="0"/>
        <v>-38867</v>
      </c>
      <c r="D9" s="456">
        <f>+D7-D8</f>
        <v>-30093</v>
      </c>
      <c r="E9" s="456">
        <f>+E7-E8</f>
        <v>-45129</v>
      </c>
    </row>
    <row r="10" spans="1:5" x14ac:dyDescent="0.2">
      <c r="A10" s="455" t="s">
        <v>536</v>
      </c>
      <c r="B10" s="456">
        <v>920976</v>
      </c>
      <c r="C10" s="456">
        <v>39120</v>
      </c>
      <c r="D10" s="456">
        <v>30527</v>
      </c>
      <c r="E10" s="456">
        <v>45332</v>
      </c>
    </row>
    <row r="11" spans="1:5" x14ac:dyDescent="0.2">
      <c r="A11" s="455" t="s">
        <v>537</v>
      </c>
      <c r="B11" s="456">
        <v>151567</v>
      </c>
      <c r="C11" s="456"/>
      <c r="D11" s="456"/>
      <c r="E11" s="456"/>
    </row>
    <row r="12" spans="1:5" x14ac:dyDescent="0.2">
      <c r="A12" s="458" t="s">
        <v>538</v>
      </c>
      <c r="B12" s="456">
        <f t="shared" ref="B12:C12" si="1">+B10-B11</f>
        <v>769409</v>
      </c>
      <c r="C12" s="456">
        <f t="shared" si="1"/>
        <v>39120</v>
      </c>
      <c r="D12" s="456">
        <f>+D10-D11</f>
        <v>30527</v>
      </c>
      <c r="E12" s="456">
        <f>+E10-E11</f>
        <v>45332</v>
      </c>
    </row>
    <row r="13" spans="1:5" x14ac:dyDescent="0.2">
      <c r="A13" s="458" t="s">
        <v>539</v>
      </c>
      <c r="B13" s="456">
        <f t="shared" ref="B13:C13" si="2">+B9+B12</f>
        <v>459407</v>
      </c>
      <c r="C13" s="456">
        <f t="shared" si="2"/>
        <v>253</v>
      </c>
      <c r="D13" s="456">
        <f>+D9+D12</f>
        <v>434</v>
      </c>
      <c r="E13" s="456">
        <f>+E9+E12</f>
        <v>203</v>
      </c>
    </row>
    <row r="14" spans="1:5" x14ac:dyDescent="0.2">
      <c r="A14" s="455" t="s">
        <v>540</v>
      </c>
      <c r="B14" s="455"/>
      <c r="C14" s="456"/>
      <c r="D14" s="456"/>
      <c r="E14" s="456"/>
    </row>
    <row r="15" spans="1:5" x14ac:dyDescent="0.2">
      <c r="A15" s="455" t="s">
        <v>541</v>
      </c>
      <c r="B15" s="456"/>
      <c r="C15" s="456"/>
      <c r="D15" s="456"/>
      <c r="E15" s="456"/>
    </row>
    <row r="16" spans="1:5" ht="25.5" x14ac:dyDescent="0.2">
      <c r="A16" s="457" t="s">
        <v>542</v>
      </c>
      <c r="B16" s="456"/>
      <c r="C16" s="456"/>
      <c r="D16" s="456"/>
      <c r="E16" s="456"/>
    </row>
    <row r="17" spans="1:5" x14ac:dyDescent="0.2">
      <c r="A17" s="455" t="s">
        <v>543</v>
      </c>
      <c r="B17" s="456"/>
      <c r="C17" s="456"/>
      <c r="D17" s="456"/>
      <c r="E17" s="456"/>
    </row>
    <row r="18" spans="1:5" x14ac:dyDescent="0.2">
      <c r="A18" s="455" t="s">
        <v>544</v>
      </c>
      <c r="B18" s="456"/>
      <c r="C18" s="456"/>
      <c r="D18" s="456"/>
      <c r="E18" s="456"/>
    </row>
    <row r="19" spans="1:5" ht="25.5" x14ac:dyDescent="0.2">
      <c r="A19" s="457" t="s">
        <v>545</v>
      </c>
      <c r="B19" s="456"/>
      <c r="C19" s="456"/>
      <c r="D19" s="456"/>
      <c r="E19" s="456"/>
    </row>
    <row r="20" spans="1:5" x14ac:dyDescent="0.2">
      <c r="A20" s="455" t="s">
        <v>546</v>
      </c>
      <c r="B20" s="456"/>
      <c r="C20" s="456"/>
      <c r="D20" s="456"/>
      <c r="E20" s="456"/>
    </row>
    <row r="21" spans="1:5" x14ac:dyDescent="0.2">
      <c r="A21" s="455" t="s">
        <v>547</v>
      </c>
      <c r="B21" s="456">
        <f t="shared" ref="B21:C21" si="3">+B13</f>
        <v>459407</v>
      </c>
      <c r="C21" s="456">
        <f t="shared" si="3"/>
        <v>253</v>
      </c>
      <c r="D21" s="456">
        <f>+D13</f>
        <v>434</v>
      </c>
      <c r="E21" s="456">
        <f>+E13</f>
        <v>203</v>
      </c>
    </row>
    <row r="22" spans="1:5" ht="25.5" x14ac:dyDescent="0.2">
      <c r="A22" s="459" t="s">
        <v>548</v>
      </c>
      <c r="B22" s="456">
        <v>437812</v>
      </c>
      <c r="C22" s="456"/>
      <c r="D22" s="456"/>
      <c r="E22" s="456"/>
    </row>
    <row r="23" spans="1:5" x14ac:dyDescent="0.2">
      <c r="A23" s="455" t="s">
        <v>549</v>
      </c>
      <c r="B23" s="456">
        <f>+B21-B22</f>
        <v>21595</v>
      </c>
      <c r="C23" s="456">
        <f t="shared" ref="C23:D23" si="4">+C13-C22</f>
        <v>253</v>
      </c>
      <c r="D23" s="456">
        <f t="shared" si="4"/>
        <v>434</v>
      </c>
      <c r="E23" s="456">
        <f>+E13-E22</f>
        <v>203</v>
      </c>
    </row>
    <row r="24" spans="1:5" ht="25.5" x14ac:dyDescent="0.2">
      <c r="A24" s="459" t="s">
        <v>550</v>
      </c>
      <c r="B24" s="456"/>
      <c r="C24" s="456"/>
      <c r="D24" s="456"/>
      <c r="E24" s="456"/>
    </row>
    <row r="25" spans="1:5" ht="25.5" x14ac:dyDescent="0.2">
      <c r="A25" s="459" t="s">
        <v>551</v>
      </c>
      <c r="B25" s="456"/>
      <c r="C25" s="456"/>
      <c r="D25" s="456"/>
      <c r="E25" s="456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62"/>
  <sheetViews>
    <sheetView workbookViewId="0">
      <selection activeCell="G4" sqref="G4"/>
    </sheetView>
  </sheetViews>
  <sheetFormatPr defaultRowHeight="12.75" x14ac:dyDescent="0.2"/>
  <cols>
    <col min="1" max="1" width="12" style="460" customWidth="1"/>
    <col min="2" max="2" width="21.140625" style="460" customWidth="1"/>
    <col min="3" max="3" width="30.28515625" style="460" customWidth="1"/>
    <col min="4" max="4" width="11.85546875" style="460" customWidth="1"/>
    <col min="5" max="5" width="13.85546875" style="460" customWidth="1"/>
    <col min="6" max="16384" width="9.140625" style="460"/>
  </cols>
  <sheetData>
    <row r="1" spans="1:5" x14ac:dyDescent="0.2">
      <c r="D1" s="601" t="s">
        <v>1075</v>
      </c>
    </row>
    <row r="2" spans="1:5" ht="13.5" x14ac:dyDescent="0.2">
      <c r="A2" s="462"/>
      <c r="E2" s="602" t="s">
        <v>159</v>
      </c>
    </row>
    <row r="3" spans="1:5" ht="46.5" customHeight="1" x14ac:dyDescent="0.2">
      <c r="A3" s="695" t="s">
        <v>1035</v>
      </c>
      <c r="B3" s="695"/>
      <c r="C3" s="695"/>
      <c r="D3" s="695"/>
      <c r="E3" s="695"/>
    </row>
    <row r="4" spans="1:5" ht="15.75" x14ac:dyDescent="0.2">
      <c r="A4" s="696" t="s">
        <v>552</v>
      </c>
      <c r="B4" s="696"/>
      <c r="C4" s="696"/>
      <c r="D4" s="696"/>
      <c r="E4" s="696"/>
    </row>
    <row r="5" spans="1:5" ht="15.75" x14ac:dyDescent="0.2">
      <c r="A5" s="696" t="s">
        <v>553</v>
      </c>
      <c r="B5" s="696"/>
      <c r="C5" s="696"/>
      <c r="D5" s="696"/>
      <c r="E5" s="696"/>
    </row>
    <row r="6" spans="1:5" ht="45" customHeight="1" thickBot="1" x14ac:dyDescent="0.25">
      <c r="A6" s="694" t="s">
        <v>554</v>
      </c>
      <c r="B6" s="694"/>
      <c r="C6" s="694"/>
      <c r="D6" s="694"/>
      <c r="E6" s="694"/>
    </row>
    <row r="7" spans="1:5" ht="17.25" thickTop="1" thickBot="1" x14ac:dyDescent="0.25">
      <c r="A7" s="463" t="s">
        <v>136</v>
      </c>
      <c r="B7" s="464" t="s">
        <v>555</v>
      </c>
      <c r="C7" s="464" t="s">
        <v>1</v>
      </c>
      <c r="D7" s="464" t="s">
        <v>556</v>
      </c>
      <c r="E7" s="464" t="s">
        <v>557</v>
      </c>
    </row>
    <row r="8" spans="1:5" ht="15" customHeight="1" thickTop="1" thickBot="1" x14ac:dyDescent="0.25">
      <c r="A8" s="465" t="s">
        <v>7</v>
      </c>
      <c r="B8" s="466" t="s">
        <v>558</v>
      </c>
      <c r="C8" s="467" t="s">
        <v>559</v>
      </c>
      <c r="D8" s="466">
        <v>1399</v>
      </c>
      <c r="E8" s="466" t="s">
        <v>560</v>
      </c>
    </row>
    <row r="9" spans="1:5" ht="15" customHeight="1" thickBot="1" x14ac:dyDescent="0.25">
      <c r="A9" s="465" t="s">
        <v>10</v>
      </c>
      <c r="B9" s="466">
        <v>12</v>
      </c>
      <c r="C9" s="467" t="s">
        <v>561</v>
      </c>
      <c r="D9" s="466">
        <v>4641</v>
      </c>
      <c r="E9" s="466" t="s">
        <v>560</v>
      </c>
    </row>
    <row r="10" spans="1:5" ht="15" customHeight="1" thickBot="1" x14ac:dyDescent="0.25">
      <c r="A10" s="465" t="s">
        <v>11</v>
      </c>
      <c r="B10" s="466">
        <v>18</v>
      </c>
      <c r="C10" s="467" t="s">
        <v>562</v>
      </c>
      <c r="D10" s="466">
        <v>5549</v>
      </c>
      <c r="E10" s="466" t="s">
        <v>560</v>
      </c>
    </row>
    <row r="11" spans="1:5" ht="15" customHeight="1" thickBot="1" x14ac:dyDescent="0.25">
      <c r="A11" s="465" t="s">
        <v>12</v>
      </c>
      <c r="B11" s="466">
        <v>93</v>
      </c>
      <c r="C11" s="467" t="s">
        <v>563</v>
      </c>
      <c r="D11" s="466">
        <v>7189</v>
      </c>
      <c r="E11" s="466" t="s">
        <v>560</v>
      </c>
    </row>
    <row r="12" spans="1:5" ht="15" customHeight="1" thickBot="1" x14ac:dyDescent="0.25">
      <c r="A12" s="465" t="s">
        <v>13</v>
      </c>
      <c r="B12" s="466">
        <v>160</v>
      </c>
      <c r="C12" s="467" t="s">
        <v>564</v>
      </c>
      <c r="D12" s="466">
        <v>7625</v>
      </c>
      <c r="E12" s="466" t="s">
        <v>560</v>
      </c>
    </row>
    <row r="13" spans="1:5" ht="15" customHeight="1" thickBot="1" x14ac:dyDescent="0.25">
      <c r="A13" s="465" t="s">
        <v>14</v>
      </c>
      <c r="B13" s="466">
        <v>161</v>
      </c>
      <c r="C13" s="467" t="s">
        <v>565</v>
      </c>
      <c r="D13" s="466">
        <v>2131</v>
      </c>
      <c r="E13" s="466" t="s">
        <v>560</v>
      </c>
    </row>
    <row r="14" spans="1:5" ht="15" customHeight="1" thickBot="1" x14ac:dyDescent="0.25">
      <c r="A14" s="465" t="s">
        <v>15</v>
      </c>
      <c r="B14" s="466">
        <v>233</v>
      </c>
      <c r="C14" s="467" t="s">
        <v>563</v>
      </c>
      <c r="D14" s="466">
        <v>5821</v>
      </c>
      <c r="E14" s="466" t="s">
        <v>560</v>
      </c>
    </row>
    <row r="15" spans="1:5" ht="15" customHeight="1" thickBot="1" x14ac:dyDescent="0.25">
      <c r="A15" s="465" t="s">
        <v>16</v>
      </c>
      <c r="B15" s="466">
        <v>234</v>
      </c>
      <c r="C15" s="467" t="s">
        <v>566</v>
      </c>
      <c r="D15" s="466">
        <v>4811</v>
      </c>
      <c r="E15" s="466" t="s">
        <v>560</v>
      </c>
    </row>
    <row r="16" spans="1:5" ht="15" customHeight="1" thickBot="1" x14ac:dyDescent="0.25">
      <c r="A16" s="465" t="s">
        <v>17</v>
      </c>
      <c r="B16" s="466">
        <v>245</v>
      </c>
      <c r="C16" s="467" t="s">
        <v>564</v>
      </c>
      <c r="D16" s="466">
        <v>22488</v>
      </c>
      <c r="E16" s="466" t="s">
        <v>560</v>
      </c>
    </row>
    <row r="17" spans="1:5" ht="15" customHeight="1" thickBot="1" x14ac:dyDescent="0.25">
      <c r="A17" s="465" t="s">
        <v>18</v>
      </c>
      <c r="B17" s="466">
        <v>246</v>
      </c>
      <c r="C17" s="467" t="s">
        <v>567</v>
      </c>
      <c r="D17" s="466">
        <v>3255</v>
      </c>
      <c r="E17" s="466" t="s">
        <v>560</v>
      </c>
    </row>
    <row r="18" spans="1:5" ht="15" customHeight="1" thickBot="1" x14ac:dyDescent="0.25">
      <c r="A18" s="465" t="s">
        <v>19</v>
      </c>
      <c r="B18" s="466">
        <v>277</v>
      </c>
      <c r="C18" s="467" t="s">
        <v>568</v>
      </c>
      <c r="D18" s="466">
        <v>5216</v>
      </c>
      <c r="E18" s="466" t="s">
        <v>560</v>
      </c>
    </row>
    <row r="19" spans="1:5" ht="15" customHeight="1" thickBot="1" x14ac:dyDescent="0.25">
      <c r="A19" s="465" t="s">
        <v>20</v>
      </c>
      <c r="B19" s="466">
        <v>308</v>
      </c>
      <c r="C19" s="467" t="s">
        <v>569</v>
      </c>
      <c r="D19" s="466">
        <v>5514</v>
      </c>
      <c r="E19" s="466" t="s">
        <v>560</v>
      </c>
    </row>
    <row r="20" spans="1:5" ht="15" customHeight="1" thickBot="1" x14ac:dyDescent="0.25">
      <c r="A20" s="465" t="s">
        <v>21</v>
      </c>
      <c r="B20" s="466">
        <v>324</v>
      </c>
      <c r="C20" s="467" t="s">
        <v>570</v>
      </c>
      <c r="D20" s="466">
        <v>5079</v>
      </c>
      <c r="E20" s="466" t="s">
        <v>560</v>
      </c>
    </row>
    <row r="21" spans="1:5" ht="15" customHeight="1" thickBot="1" x14ac:dyDescent="0.25">
      <c r="A21" s="465" t="s">
        <v>22</v>
      </c>
      <c r="B21" s="466">
        <v>365</v>
      </c>
      <c r="C21" s="467" t="s">
        <v>568</v>
      </c>
      <c r="D21" s="466">
        <v>7555</v>
      </c>
      <c r="E21" s="466" t="s">
        <v>560</v>
      </c>
    </row>
    <row r="22" spans="1:5" ht="15" customHeight="1" thickBot="1" x14ac:dyDescent="0.25">
      <c r="A22" s="465" t="s">
        <v>23</v>
      </c>
      <c r="B22" s="466">
        <v>406</v>
      </c>
      <c r="C22" s="467" t="s">
        <v>569</v>
      </c>
      <c r="D22" s="466">
        <v>7220</v>
      </c>
      <c r="E22" s="466" t="s">
        <v>560</v>
      </c>
    </row>
    <row r="23" spans="1:5" ht="15" customHeight="1" thickBot="1" x14ac:dyDescent="0.25">
      <c r="A23" s="465" t="s">
        <v>24</v>
      </c>
      <c r="B23" s="466">
        <v>427</v>
      </c>
      <c r="C23" s="467" t="s">
        <v>562</v>
      </c>
      <c r="D23" s="466">
        <v>5853</v>
      </c>
      <c r="E23" s="466" t="s">
        <v>560</v>
      </c>
    </row>
    <row r="24" spans="1:5" ht="15" customHeight="1" thickBot="1" x14ac:dyDescent="0.25">
      <c r="A24" s="465" t="s">
        <v>25</v>
      </c>
      <c r="B24" s="466">
        <v>446</v>
      </c>
      <c r="C24" s="467" t="s">
        <v>569</v>
      </c>
      <c r="D24" s="466">
        <v>5307</v>
      </c>
      <c r="E24" s="466" t="s">
        <v>560</v>
      </c>
    </row>
    <row r="25" spans="1:5" ht="15" customHeight="1" thickBot="1" x14ac:dyDescent="0.25">
      <c r="A25" s="465" t="s">
        <v>26</v>
      </c>
      <c r="B25" s="466">
        <v>474</v>
      </c>
      <c r="C25" s="467" t="s">
        <v>568</v>
      </c>
      <c r="D25" s="466">
        <v>4976</v>
      </c>
      <c r="E25" s="466" t="s">
        <v>560</v>
      </c>
    </row>
    <row r="26" spans="1:5" ht="15" customHeight="1" thickBot="1" x14ac:dyDescent="0.25">
      <c r="A26" s="465" t="s">
        <v>27</v>
      </c>
      <c r="B26" s="466">
        <v>500</v>
      </c>
      <c r="C26" s="467" t="s">
        <v>571</v>
      </c>
      <c r="D26" s="466">
        <v>13825</v>
      </c>
      <c r="E26" s="466" t="s">
        <v>560</v>
      </c>
    </row>
    <row r="27" spans="1:5" ht="15" customHeight="1" thickBot="1" x14ac:dyDescent="0.25">
      <c r="A27" s="465" t="s">
        <v>28</v>
      </c>
      <c r="B27" s="466">
        <v>589</v>
      </c>
      <c r="C27" s="467" t="s">
        <v>572</v>
      </c>
      <c r="D27" s="466">
        <v>5353</v>
      </c>
      <c r="E27" s="466" t="s">
        <v>560</v>
      </c>
    </row>
    <row r="28" spans="1:5" ht="15" customHeight="1" thickBot="1" x14ac:dyDescent="0.25">
      <c r="A28" s="465" t="s">
        <v>29</v>
      </c>
      <c r="B28" s="466">
        <v>590</v>
      </c>
      <c r="C28" s="467" t="s">
        <v>573</v>
      </c>
      <c r="D28" s="466">
        <v>6070</v>
      </c>
      <c r="E28" s="466" t="s">
        <v>560</v>
      </c>
    </row>
    <row r="29" spans="1:5" ht="15" customHeight="1" thickBot="1" x14ac:dyDescent="0.25">
      <c r="A29" s="465" t="s">
        <v>30</v>
      </c>
      <c r="B29" s="466" t="s">
        <v>574</v>
      </c>
      <c r="C29" s="467" t="s">
        <v>575</v>
      </c>
      <c r="D29" s="466">
        <v>2970</v>
      </c>
      <c r="E29" s="466" t="s">
        <v>560</v>
      </c>
    </row>
    <row r="30" spans="1:5" ht="15" customHeight="1" thickBot="1" x14ac:dyDescent="0.25">
      <c r="A30" s="465" t="s">
        <v>31</v>
      </c>
      <c r="B30" s="466">
        <v>631</v>
      </c>
      <c r="C30" s="467" t="s">
        <v>576</v>
      </c>
      <c r="D30" s="466">
        <v>1685</v>
      </c>
      <c r="E30" s="466" t="s">
        <v>560</v>
      </c>
    </row>
    <row r="31" spans="1:5" ht="15" customHeight="1" thickBot="1" x14ac:dyDescent="0.25">
      <c r="A31" s="465" t="s">
        <v>32</v>
      </c>
      <c r="B31" s="466">
        <v>696</v>
      </c>
      <c r="C31" s="467" t="s">
        <v>577</v>
      </c>
      <c r="D31" s="466">
        <v>7398</v>
      </c>
      <c r="E31" s="466" t="s">
        <v>560</v>
      </c>
    </row>
    <row r="32" spans="1:5" ht="15" customHeight="1" thickBot="1" x14ac:dyDescent="0.25">
      <c r="A32" s="465" t="s">
        <v>33</v>
      </c>
      <c r="B32" s="466">
        <v>749</v>
      </c>
      <c r="C32" s="467" t="s">
        <v>578</v>
      </c>
      <c r="D32" s="466">
        <v>8407</v>
      </c>
      <c r="E32" s="466" t="s">
        <v>560</v>
      </c>
    </row>
    <row r="33" spans="1:5" ht="15" customHeight="1" thickBot="1" x14ac:dyDescent="0.25">
      <c r="A33" s="465" t="s">
        <v>34</v>
      </c>
      <c r="B33" s="466">
        <v>750</v>
      </c>
      <c r="C33" s="467" t="s">
        <v>579</v>
      </c>
      <c r="D33" s="466">
        <v>5823</v>
      </c>
      <c r="E33" s="466" t="s">
        <v>560</v>
      </c>
    </row>
    <row r="34" spans="1:5" ht="15" customHeight="1" thickBot="1" x14ac:dyDescent="0.25">
      <c r="A34" s="465" t="s">
        <v>36</v>
      </c>
      <c r="B34" s="466">
        <v>779</v>
      </c>
      <c r="C34" s="467" t="s">
        <v>580</v>
      </c>
      <c r="D34" s="466">
        <v>4081</v>
      </c>
      <c r="E34" s="466" t="s">
        <v>560</v>
      </c>
    </row>
    <row r="35" spans="1:5" ht="15" customHeight="1" thickBot="1" x14ac:dyDescent="0.25">
      <c r="A35" s="465" t="s">
        <v>38</v>
      </c>
      <c r="B35" s="466">
        <v>800</v>
      </c>
      <c r="C35" s="467" t="s">
        <v>580</v>
      </c>
      <c r="D35" s="466">
        <v>7937</v>
      </c>
      <c r="E35" s="466" t="s">
        <v>560</v>
      </c>
    </row>
    <row r="36" spans="1:5" ht="15" customHeight="1" thickBot="1" x14ac:dyDescent="0.25">
      <c r="A36" s="465" t="s">
        <v>41</v>
      </c>
      <c r="B36" s="466">
        <v>849</v>
      </c>
      <c r="C36" s="467" t="s">
        <v>576</v>
      </c>
      <c r="D36" s="466">
        <v>7405</v>
      </c>
      <c r="E36" s="466" t="s">
        <v>560</v>
      </c>
    </row>
    <row r="37" spans="1:5" ht="15" customHeight="1" thickBot="1" x14ac:dyDescent="0.25">
      <c r="A37" s="465" t="s">
        <v>43</v>
      </c>
      <c r="B37" s="466">
        <v>902</v>
      </c>
      <c r="C37" s="467" t="s">
        <v>581</v>
      </c>
      <c r="D37" s="466">
        <v>477</v>
      </c>
      <c r="E37" s="466" t="s">
        <v>560</v>
      </c>
    </row>
    <row r="38" spans="1:5" ht="15" customHeight="1" thickBot="1" x14ac:dyDescent="0.25">
      <c r="A38" s="465" t="s">
        <v>186</v>
      </c>
      <c r="B38" s="466">
        <v>905</v>
      </c>
      <c r="C38" s="467" t="s">
        <v>572</v>
      </c>
      <c r="D38" s="466">
        <v>6887</v>
      </c>
      <c r="E38" s="466" t="s">
        <v>560</v>
      </c>
    </row>
    <row r="39" spans="1:5" ht="15" customHeight="1" thickBot="1" x14ac:dyDescent="0.25">
      <c r="A39" s="465" t="s">
        <v>187</v>
      </c>
      <c r="B39" s="466">
        <v>944</v>
      </c>
      <c r="C39" s="467" t="s">
        <v>576</v>
      </c>
      <c r="D39" s="466">
        <v>1993</v>
      </c>
      <c r="E39" s="466" t="s">
        <v>560</v>
      </c>
    </row>
    <row r="40" spans="1:5" ht="15" customHeight="1" thickBot="1" x14ac:dyDescent="0.25">
      <c r="A40" s="465" t="s">
        <v>188</v>
      </c>
      <c r="B40" s="466">
        <v>945</v>
      </c>
      <c r="C40" s="467" t="s">
        <v>582</v>
      </c>
      <c r="D40" s="466">
        <v>12476</v>
      </c>
      <c r="E40" s="466" t="s">
        <v>560</v>
      </c>
    </row>
    <row r="41" spans="1:5" ht="15" customHeight="1" thickBot="1" x14ac:dyDescent="0.25">
      <c r="A41" s="465" t="s">
        <v>215</v>
      </c>
      <c r="B41" s="466">
        <v>949</v>
      </c>
      <c r="C41" s="467" t="s">
        <v>583</v>
      </c>
      <c r="D41" s="466">
        <v>653</v>
      </c>
      <c r="E41" s="466" t="s">
        <v>560</v>
      </c>
    </row>
    <row r="42" spans="1:5" ht="15" customHeight="1" thickBot="1" x14ac:dyDescent="0.25">
      <c r="A42" s="465" t="s">
        <v>216</v>
      </c>
      <c r="B42" s="466">
        <v>969</v>
      </c>
      <c r="C42" s="467" t="s">
        <v>580</v>
      </c>
      <c r="D42" s="466">
        <v>1176</v>
      </c>
      <c r="E42" s="466" t="s">
        <v>560</v>
      </c>
    </row>
    <row r="43" spans="1:5" ht="15" customHeight="1" thickBot="1" x14ac:dyDescent="0.25">
      <c r="A43" s="465" t="s">
        <v>217</v>
      </c>
      <c r="B43" s="466">
        <v>992</v>
      </c>
      <c r="C43" s="467" t="s">
        <v>579</v>
      </c>
      <c r="D43" s="466">
        <v>1086</v>
      </c>
      <c r="E43" s="466" t="s">
        <v>560</v>
      </c>
    </row>
    <row r="44" spans="1:5" ht="15" customHeight="1" thickBot="1" x14ac:dyDescent="0.25">
      <c r="A44" s="465" t="s">
        <v>218</v>
      </c>
      <c r="B44" s="466" t="s">
        <v>584</v>
      </c>
      <c r="C44" s="467" t="s">
        <v>567</v>
      </c>
      <c r="D44" s="466">
        <v>891</v>
      </c>
      <c r="E44" s="466" t="s">
        <v>560</v>
      </c>
    </row>
    <row r="45" spans="1:5" ht="15" customHeight="1" thickBot="1" x14ac:dyDescent="0.25">
      <c r="A45" s="465" t="s">
        <v>219</v>
      </c>
      <c r="B45" s="466" t="s">
        <v>585</v>
      </c>
      <c r="C45" s="467" t="s">
        <v>567</v>
      </c>
      <c r="D45" s="466">
        <v>966</v>
      </c>
      <c r="E45" s="466" t="s">
        <v>560</v>
      </c>
    </row>
    <row r="46" spans="1:5" ht="15" customHeight="1" thickBot="1" x14ac:dyDescent="0.25">
      <c r="A46" s="465" t="s">
        <v>220</v>
      </c>
      <c r="B46" s="466">
        <v>1025</v>
      </c>
      <c r="C46" s="467" t="s">
        <v>577</v>
      </c>
      <c r="D46" s="466">
        <v>1121</v>
      </c>
      <c r="E46" s="466" t="s">
        <v>560</v>
      </c>
    </row>
    <row r="47" spans="1:5" ht="15" customHeight="1" thickBot="1" x14ac:dyDescent="0.25">
      <c r="A47" s="465" t="s">
        <v>221</v>
      </c>
      <c r="B47" s="466">
        <v>1055</v>
      </c>
      <c r="C47" s="467" t="s">
        <v>582</v>
      </c>
      <c r="D47" s="466">
        <v>21346</v>
      </c>
      <c r="E47" s="466" t="s">
        <v>560</v>
      </c>
    </row>
    <row r="48" spans="1:5" ht="15" customHeight="1" thickBot="1" x14ac:dyDescent="0.25">
      <c r="A48" s="465" t="s">
        <v>222</v>
      </c>
      <c r="B48" s="466">
        <v>1056</v>
      </c>
      <c r="C48" s="467" t="s">
        <v>571</v>
      </c>
      <c r="D48" s="466">
        <v>1207</v>
      </c>
      <c r="E48" s="466" t="s">
        <v>560</v>
      </c>
    </row>
    <row r="49" spans="1:5" ht="15" customHeight="1" thickBot="1" x14ac:dyDescent="0.25">
      <c r="A49" s="465" t="s">
        <v>403</v>
      </c>
      <c r="B49" s="466" t="s">
        <v>586</v>
      </c>
      <c r="C49" s="467" t="s">
        <v>587</v>
      </c>
      <c r="D49" s="466">
        <v>3930</v>
      </c>
      <c r="E49" s="466" t="s">
        <v>560</v>
      </c>
    </row>
    <row r="50" spans="1:5" ht="15" customHeight="1" thickBot="1" x14ac:dyDescent="0.25">
      <c r="A50" s="465" t="s">
        <v>505</v>
      </c>
      <c r="B50" s="466" t="s">
        <v>588</v>
      </c>
      <c r="C50" s="467" t="s">
        <v>587</v>
      </c>
      <c r="D50" s="466">
        <v>4648</v>
      </c>
      <c r="E50" s="466" t="s">
        <v>560</v>
      </c>
    </row>
    <row r="51" spans="1:5" ht="15" customHeight="1" thickBot="1" x14ac:dyDescent="0.25">
      <c r="A51" s="465" t="s">
        <v>507</v>
      </c>
      <c r="B51" s="466">
        <v>1096</v>
      </c>
      <c r="C51" s="467" t="s">
        <v>567</v>
      </c>
      <c r="D51" s="466">
        <v>630</v>
      </c>
      <c r="E51" s="466" t="s">
        <v>560</v>
      </c>
    </row>
    <row r="52" spans="1:5" ht="15" customHeight="1" thickBot="1" x14ac:dyDescent="0.25">
      <c r="A52" s="465" t="s">
        <v>589</v>
      </c>
      <c r="B52" s="466">
        <v>1129</v>
      </c>
      <c r="C52" s="467" t="s">
        <v>579</v>
      </c>
      <c r="D52" s="466">
        <v>839</v>
      </c>
      <c r="E52" s="466" t="s">
        <v>560</v>
      </c>
    </row>
    <row r="53" spans="1:5" ht="15" customHeight="1" thickBot="1" x14ac:dyDescent="0.25">
      <c r="A53" s="465" t="s">
        <v>590</v>
      </c>
      <c r="B53" s="466">
        <v>1146</v>
      </c>
      <c r="C53" s="467" t="s">
        <v>580</v>
      </c>
      <c r="D53" s="466">
        <v>705</v>
      </c>
      <c r="E53" s="466" t="s">
        <v>560</v>
      </c>
    </row>
    <row r="54" spans="1:5" ht="15" customHeight="1" thickBot="1" x14ac:dyDescent="0.25">
      <c r="A54" s="465" t="s">
        <v>591</v>
      </c>
      <c r="B54" s="466">
        <v>650</v>
      </c>
      <c r="C54" s="467" t="s">
        <v>592</v>
      </c>
      <c r="D54" s="466">
        <v>140</v>
      </c>
      <c r="E54" s="466" t="s">
        <v>593</v>
      </c>
    </row>
    <row r="55" spans="1:5" ht="15" customHeight="1" thickBot="1" x14ac:dyDescent="0.25">
      <c r="A55" s="465" t="s">
        <v>594</v>
      </c>
      <c r="B55" s="466">
        <v>1083</v>
      </c>
      <c r="C55" s="467" t="s">
        <v>595</v>
      </c>
      <c r="D55" s="466">
        <v>123</v>
      </c>
      <c r="E55" s="466" t="s">
        <v>593</v>
      </c>
    </row>
    <row r="56" spans="1:5" ht="15" customHeight="1" thickBot="1" x14ac:dyDescent="0.25">
      <c r="A56" s="468" t="s">
        <v>596</v>
      </c>
      <c r="B56" s="469">
        <v>42</v>
      </c>
      <c r="C56" s="470" t="s">
        <v>597</v>
      </c>
      <c r="D56" s="469">
        <v>40</v>
      </c>
      <c r="E56" s="469" t="s">
        <v>560</v>
      </c>
    </row>
    <row r="57" spans="1:5" ht="13.5" thickTop="1" x14ac:dyDescent="0.2">
      <c r="A57" s="471"/>
    </row>
    <row r="58" spans="1:5" ht="33" customHeight="1" x14ac:dyDescent="0.2">
      <c r="A58" s="694" t="s">
        <v>598</v>
      </c>
      <c r="B58" s="694"/>
      <c r="C58" s="694"/>
      <c r="D58" s="694"/>
      <c r="E58" s="694"/>
    </row>
    <row r="59" spans="1:5" ht="13.5" thickBot="1" x14ac:dyDescent="0.25"/>
    <row r="60" spans="1:5" ht="17.25" thickTop="1" thickBot="1" x14ac:dyDescent="0.25">
      <c r="A60" s="463" t="s">
        <v>136</v>
      </c>
      <c r="B60" s="464" t="s">
        <v>599</v>
      </c>
      <c r="C60" s="464" t="s">
        <v>1</v>
      </c>
      <c r="D60" s="464" t="s">
        <v>556</v>
      </c>
      <c r="E60" s="472" t="s">
        <v>557</v>
      </c>
    </row>
    <row r="61" spans="1:5" ht="14.25" thickTop="1" thickBot="1" x14ac:dyDescent="0.25">
      <c r="A61" s="465" t="s">
        <v>7</v>
      </c>
      <c r="B61" s="473"/>
      <c r="C61" s="466"/>
      <c r="D61" s="466">
        <v>2969</v>
      </c>
      <c r="E61" s="474" t="s">
        <v>600</v>
      </c>
    </row>
    <row r="62" spans="1:5" ht="13.5" thickBot="1" x14ac:dyDescent="0.25">
      <c r="A62" s="465" t="s">
        <v>10</v>
      </c>
      <c r="B62" s="466">
        <v>58</v>
      </c>
      <c r="C62" s="466"/>
      <c r="D62" s="466">
        <v>34766</v>
      </c>
      <c r="E62" s="475" t="s">
        <v>601</v>
      </c>
    </row>
    <row r="63" spans="1:5" ht="13.5" thickBot="1" x14ac:dyDescent="0.25">
      <c r="A63" s="465" t="s">
        <v>11</v>
      </c>
      <c r="B63" s="466">
        <v>66</v>
      </c>
      <c r="C63" s="466"/>
      <c r="D63" s="466">
        <v>4201</v>
      </c>
      <c r="E63" s="474" t="s">
        <v>600</v>
      </c>
    </row>
    <row r="64" spans="1:5" ht="13.5" thickBot="1" x14ac:dyDescent="0.25">
      <c r="A64" s="465" t="s">
        <v>12</v>
      </c>
      <c r="B64" s="466" t="s">
        <v>602</v>
      </c>
      <c r="C64" s="466"/>
      <c r="D64" s="466">
        <v>11193</v>
      </c>
      <c r="E64" s="474" t="s">
        <v>600</v>
      </c>
    </row>
    <row r="65" spans="1:5" ht="13.5" thickBot="1" x14ac:dyDescent="0.25">
      <c r="A65" s="465" t="s">
        <v>13</v>
      </c>
      <c r="B65" s="466">
        <v>78</v>
      </c>
      <c r="C65" s="466"/>
      <c r="D65" s="466">
        <v>1396</v>
      </c>
      <c r="E65" s="474" t="s">
        <v>600</v>
      </c>
    </row>
    <row r="66" spans="1:5" ht="13.5" thickBot="1" x14ac:dyDescent="0.25">
      <c r="A66" s="465" t="s">
        <v>14</v>
      </c>
      <c r="B66" s="466" t="s">
        <v>603</v>
      </c>
      <c r="C66" s="466"/>
      <c r="D66" s="466">
        <v>1741</v>
      </c>
      <c r="E66" s="474" t="s">
        <v>593</v>
      </c>
    </row>
    <row r="67" spans="1:5" ht="13.5" thickBot="1" x14ac:dyDescent="0.25">
      <c r="A67" s="465" t="s">
        <v>15</v>
      </c>
      <c r="B67" s="466">
        <v>86</v>
      </c>
      <c r="C67" s="466"/>
      <c r="D67" s="466">
        <v>8290</v>
      </c>
      <c r="E67" s="474" t="s">
        <v>600</v>
      </c>
    </row>
    <row r="68" spans="1:5" ht="13.5" thickBot="1" x14ac:dyDescent="0.25">
      <c r="A68" s="465" t="s">
        <v>16</v>
      </c>
      <c r="B68" s="466" t="s">
        <v>604</v>
      </c>
      <c r="C68" s="466"/>
      <c r="D68" s="466">
        <v>9815</v>
      </c>
      <c r="E68" s="474" t="s">
        <v>600</v>
      </c>
    </row>
    <row r="69" spans="1:5" ht="13.5" thickBot="1" x14ac:dyDescent="0.25">
      <c r="A69" s="465" t="s">
        <v>17</v>
      </c>
      <c r="B69" s="466">
        <v>105</v>
      </c>
      <c r="C69" s="466"/>
      <c r="D69" s="466">
        <v>2658</v>
      </c>
      <c r="E69" s="474" t="s">
        <v>600</v>
      </c>
    </row>
    <row r="70" spans="1:5" ht="13.5" thickBot="1" x14ac:dyDescent="0.25">
      <c r="A70" s="465" t="s">
        <v>18</v>
      </c>
      <c r="B70" s="466" t="s">
        <v>605</v>
      </c>
      <c r="C70" s="466"/>
      <c r="D70" s="466">
        <v>104</v>
      </c>
      <c r="E70" s="474" t="s">
        <v>600</v>
      </c>
    </row>
    <row r="71" spans="1:5" ht="15" customHeight="1" thickBot="1" x14ac:dyDescent="0.25">
      <c r="A71" s="465" t="s">
        <v>19</v>
      </c>
      <c r="B71" s="466" t="s">
        <v>606</v>
      </c>
      <c r="C71" s="466"/>
      <c r="D71" s="466">
        <v>2697</v>
      </c>
      <c r="E71" s="474" t="s">
        <v>607</v>
      </c>
    </row>
    <row r="72" spans="1:5" ht="12.75" customHeight="1" thickBot="1" x14ac:dyDescent="0.25">
      <c r="A72" s="465" t="s">
        <v>20</v>
      </c>
      <c r="B72" s="466" t="s">
        <v>608</v>
      </c>
      <c r="C72" s="466"/>
      <c r="D72" s="466">
        <v>1031</v>
      </c>
      <c r="E72" s="474" t="s">
        <v>607</v>
      </c>
    </row>
    <row r="73" spans="1:5" ht="13.5" thickBot="1" x14ac:dyDescent="0.25">
      <c r="A73" s="465" t="s">
        <v>21</v>
      </c>
      <c r="B73" s="466" t="s">
        <v>609</v>
      </c>
      <c r="C73" s="466"/>
      <c r="D73" s="466">
        <v>1562</v>
      </c>
      <c r="E73" s="474" t="s">
        <v>600</v>
      </c>
    </row>
    <row r="74" spans="1:5" ht="13.5" thickBot="1" x14ac:dyDescent="0.25">
      <c r="A74" s="465" t="s">
        <v>22</v>
      </c>
      <c r="B74" s="466" t="s">
        <v>610</v>
      </c>
      <c r="C74" s="466"/>
      <c r="D74" s="466">
        <v>1293</v>
      </c>
      <c r="E74" s="474" t="s">
        <v>600</v>
      </c>
    </row>
    <row r="75" spans="1:5" ht="13.5" thickBot="1" x14ac:dyDescent="0.25">
      <c r="A75" s="465" t="s">
        <v>23</v>
      </c>
      <c r="B75" s="466" t="s">
        <v>611</v>
      </c>
      <c r="C75" s="466"/>
      <c r="D75" s="466">
        <v>6097</v>
      </c>
      <c r="E75" s="474" t="s">
        <v>600</v>
      </c>
    </row>
    <row r="76" spans="1:5" ht="13.5" thickBot="1" x14ac:dyDescent="0.25">
      <c r="A76" s="465" t="s">
        <v>24</v>
      </c>
      <c r="B76" s="466" t="s">
        <v>612</v>
      </c>
      <c r="C76" s="466"/>
      <c r="D76" s="466">
        <v>1150</v>
      </c>
      <c r="E76" s="474" t="s">
        <v>600</v>
      </c>
    </row>
    <row r="77" spans="1:5" ht="13.5" thickBot="1" x14ac:dyDescent="0.25">
      <c r="A77" s="465" t="s">
        <v>25</v>
      </c>
      <c r="B77" s="466" t="s">
        <v>613</v>
      </c>
      <c r="C77" s="466"/>
      <c r="D77" s="466">
        <v>6437</v>
      </c>
      <c r="E77" s="474" t="s">
        <v>600</v>
      </c>
    </row>
    <row r="78" spans="1:5" ht="13.5" thickBot="1" x14ac:dyDescent="0.25">
      <c r="A78" s="465" t="s">
        <v>26</v>
      </c>
      <c r="B78" s="466">
        <v>308</v>
      </c>
      <c r="C78" s="466"/>
      <c r="D78" s="466">
        <v>7292</v>
      </c>
      <c r="E78" s="474" t="s">
        <v>600</v>
      </c>
    </row>
    <row r="79" spans="1:5" ht="13.5" thickBot="1" x14ac:dyDescent="0.25">
      <c r="A79" s="465" t="s">
        <v>27</v>
      </c>
      <c r="B79" s="466">
        <v>311</v>
      </c>
      <c r="C79" s="466"/>
      <c r="D79" s="466">
        <v>1374</v>
      </c>
      <c r="E79" s="474" t="s">
        <v>600</v>
      </c>
    </row>
    <row r="80" spans="1:5" ht="13.5" thickBot="1" x14ac:dyDescent="0.25">
      <c r="A80" s="465" t="s">
        <v>28</v>
      </c>
      <c r="B80" s="466">
        <v>318</v>
      </c>
      <c r="C80" s="466"/>
      <c r="D80" s="466">
        <v>1381</v>
      </c>
      <c r="E80" s="474" t="s">
        <v>600</v>
      </c>
    </row>
    <row r="81" spans="1:5" ht="13.5" thickBot="1" x14ac:dyDescent="0.25">
      <c r="A81" s="465" t="s">
        <v>29</v>
      </c>
      <c r="B81" s="466">
        <v>335</v>
      </c>
      <c r="C81" s="466"/>
      <c r="D81" s="466">
        <v>6117</v>
      </c>
      <c r="E81" s="474" t="s">
        <v>600</v>
      </c>
    </row>
    <row r="82" spans="1:5" ht="13.5" thickBot="1" x14ac:dyDescent="0.25">
      <c r="A82" s="465" t="s">
        <v>30</v>
      </c>
      <c r="B82" s="466">
        <v>341</v>
      </c>
      <c r="C82" s="466"/>
      <c r="D82" s="466">
        <v>579</v>
      </c>
      <c r="E82" s="474" t="s">
        <v>600</v>
      </c>
    </row>
    <row r="83" spans="1:5" ht="13.5" thickBot="1" x14ac:dyDescent="0.25">
      <c r="A83" s="465" t="s">
        <v>31</v>
      </c>
      <c r="B83" s="466" t="s">
        <v>614</v>
      </c>
      <c r="C83" s="466"/>
      <c r="D83" s="466">
        <v>987</v>
      </c>
      <c r="E83" s="474" t="s">
        <v>600</v>
      </c>
    </row>
    <row r="84" spans="1:5" ht="13.5" thickBot="1" x14ac:dyDescent="0.25">
      <c r="A84" s="465" t="s">
        <v>32</v>
      </c>
      <c r="B84" s="466">
        <v>343</v>
      </c>
      <c r="C84" s="466"/>
      <c r="D84" s="466">
        <v>1813</v>
      </c>
      <c r="E84" s="474" t="s">
        <v>600</v>
      </c>
    </row>
    <row r="85" spans="1:5" ht="13.5" thickBot="1" x14ac:dyDescent="0.25">
      <c r="A85" s="465" t="s">
        <v>33</v>
      </c>
      <c r="B85" s="466">
        <v>354</v>
      </c>
      <c r="C85" s="466"/>
      <c r="D85" s="466">
        <v>2406</v>
      </c>
      <c r="E85" s="474" t="s">
        <v>600</v>
      </c>
    </row>
    <row r="86" spans="1:5" ht="13.5" thickBot="1" x14ac:dyDescent="0.25">
      <c r="A86" s="465" t="s">
        <v>34</v>
      </c>
      <c r="B86" s="466">
        <v>356</v>
      </c>
      <c r="C86" s="466"/>
      <c r="D86" s="466">
        <v>6098</v>
      </c>
      <c r="E86" s="474" t="s">
        <v>615</v>
      </c>
    </row>
    <row r="87" spans="1:5" ht="13.5" thickBot="1" x14ac:dyDescent="0.25">
      <c r="A87" s="465" t="s">
        <v>36</v>
      </c>
      <c r="B87" s="466">
        <v>362</v>
      </c>
      <c r="C87" s="466"/>
      <c r="D87" s="466">
        <v>2005</v>
      </c>
      <c r="E87" s="474" t="s">
        <v>593</v>
      </c>
    </row>
    <row r="88" spans="1:5" ht="13.5" thickBot="1" x14ac:dyDescent="0.25">
      <c r="A88" s="465" t="s">
        <v>38</v>
      </c>
      <c r="B88" s="466" t="s">
        <v>616</v>
      </c>
      <c r="C88" s="466"/>
      <c r="D88" s="466">
        <v>2342</v>
      </c>
      <c r="E88" s="474" t="s">
        <v>593</v>
      </c>
    </row>
    <row r="89" spans="1:5" ht="13.5" thickBot="1" x14ac:dyDescent="0.25">
      <c r="A89" s="465" t="s">
        <v>41</v>
      </c>
      <c r="B89" s="466" t="s">
        <v>617</v>
      </c>
      <c r="C89" s="466"/>
      <c r="D89" s="466">
        <v>2325</v>
      </c>
      <c r="E89" s="474" t="s">
        <v>593</v>
      </c>
    </row>
    <row r="90" spans="1:5" ht="13.5" thickBot="1" x14ac:dyDescent="0.25">
      <c r="A90" s="465" t="s">
        <v>43</v>
      </c>
      <c r="B90" s="466" t="s">
        <v>618</v>
      </c>
      <c r="C90" s="466"/>
      <c r="D90" s="466">
        <v>2802</v>
      </c>
      <c r="E90" s="474" t="s">
        <v>593</v>
      </c>
    </row>
    <row r="91" spans="1:5" ht="13.5" thickBot="1" x14ac:dyDescent="0.25">
      <c r="A91" s="465" t="s">
        <v>186</v>
      </c>
      <c r="B91" s="466" t="s">
        <v>619</v>
      </c>
      <c r="C91" s="466"/>
      <c r="D91" s="466">
        <v>605</v>
      </c>
      <c r="E91" s="474" t="s">
        <v>600</v>
      </c>
    </row>
    <row r="92" spans="1:5" ht="13.5" thickBot="1" x14ac:dyDescent="0.25">
      <c r="A92" s="476" t="s">
        <v>187</v>
      </c>
      <c r="B92" s="477" t="s">
        <v>620</v>
      </c>
      <c r="C92" s="477"/>
      <c r="D92" s="477">
        <v>7118</v>
      </c>
      <c r="E92" s="478" t="s">
        <v>600</v>
      </c>
    </row>
    <row r="93" spans="1:5" ht="13.5" thickBot="1" x14ac:dyDescent="0.25">
      <c r="A93" s="479" t="s">
        <v>188</v>
      </c>
      <c r="B93" s="480" t="s">
        <v>621</v>
      </c>
      <c r="C93" s="480"/>
      <c r="D93" s="480">
        <v>4809</v>
      </c>
      <c r="E93" s="480" t="s">
        <v>600</v>
      </c>
    </row>
    <row r="94" spans="1:5" ht="13.5" thickBot="1" x14ac:dyDescent="0.25">
      <c r="A94" s="465" t="s">
        <v>215</v>
      </c>
      <c r="B94" s="466" t="s">
        <v>612</v>
      </c>
      <c r="C94" s="466"/>
      <c r="D94" s="466">
        <v>3162</v>
      </c>
      <c r="E94" s="466" t="s">
        <v>600</v>
      </c>
    </row>
    <row r="95" spans="1:5" ht="13.5" thickBot="1" x14ac:dyDescent="0.25">
      <c r="A95" s="465" t="s">
        <v>216</v>
      </c>
      <c r="B95" s="466" t="s">
        <v>622</v>
      </c>
      <c r="C95" s="466"/>
      <c r="D95" s="466">
        <v>6700</v>
      </c>
      <c r="E95" s="466" t="s">
        <v>600</v>
      </c>
    </row>
    <row r="96" spans="1:5" ht="13.5" thickBot="1" x14ac:dyDescent="0.25">
      <c r="A96" s="465" t="s">
        <v>217</v>
      </c>
      <c r="B96" s="466" t="s">
        <v>623</v>
      </c>
      <c r="C96" s="466"/>
      <c r="D96" s="466">
        <v>7070</v>
      </c>
      <c r="E96" s="466" t="s">
        <v>600</v>
      </c>
    </row>
    <row r="97" spans="1:5" ht="13.5" thickBot="1" x14ac:dyDescent="0.25">
      <c r="A97" s="465" t="s">
        <v>218</v>
      </c>
      <c r="B97" s="466" t="s">
        <v>624</v>
      </c>
      <c r="C97" s="466"/>
      <c r="D97" s="466">
        <v>15416</v>
      </c>
      <c r="E97" s="466" t="s">
        <v>600</v>
      </c>
    </row>
    <row r="98" spans="1:5" ht="13.5" thickBot="1" x14ac:dyDescent="0.25">
      <c r="A98" s="465" t="s">
        <v>219</v>
      </c>
      <c r="B98" s="466" t="s">
        <v>625</v>
      </c>
      <c r="C98" s="466"/>
      <c r="D98" s="466">
        <v>1700</v>
      </c>
      <c r="E98" s="466" t="s">
        <v>600</v>
      </c>
    </row>
    <row r="99" spans="1:5" ht="13.5" thickBot="1" x14ac:dyDescent="0.25">
      <c r="A99" s="465" t="s">
        <v>220</v>
      </c>
      <c r="B99" s="466" t="s">
        <v>626</v>
      </c>
      <c r="C99" s="466"/>
      <c r="D99" s="466">
        <v>705</v>
      </c>
      <c r="E99" s="466" t="s">
        <v>600</v>
      </c>
    </row>
    <row r="100" spans="1:5" ht="13.5" thickBot="1" x14ac:dyDescent="0.25">
      <c r="A100" s="465" t="s">
        <v>221</v>
      </c>
      <c r="B100" s="466" t="s">
        <v>627</v>
      </c>
      <c r="C100" s="466"/>
      <c r="D100" s="466">
        <v>1444</v>
      </c>
      <c r="E100" s="466" t="s">
        <v>600</v>
      </c>
    </row>
    <row r="101" spans="1:5" ht="13.5" thickBot="1" x14ac:dyDescent="0.25">
      <c r="A101" s="465" t="s">
        <v>222</v>
      </c>
      <c r="B101" s="466" t="s">
        <v>628</v>
      </c>
      <c r="C101" s="466"/>
      <c r="D101" s="466">
        <v>2000</v>
      </c>
      <c r="E101" s="466" t="s">
        <v>600</v>
      </c>
    </row>
    <row r="102" spans="1:5" ht="13.5" thickBot="1" x14ac:dyDescent="0.25">
      <c r="A102" s="465" t="s">
        <v>403</v>
      </c>
      <c r="B102" s="466" t="s">
        <v>629</v>
      </c>
      <c r="C102" s="466"/>
      <c r="D102" s="466">
        <v>6631</v>
      </c>
      <c r="E102" s="474" t="s">
        <v>600</v>
      </c>
    </row>
    <row r="103" spans="1:5" ht="13.5" thickBot="1" x14ac:dyDescent="0.25">
      <c r="A103" s="465" t="s">
        <v>505</v>
      </c>
      <c r="B103" s="466" t="s">
        <v>630</v>
      </c>
      <c r="C103" s="466"/>
      <c r="D103" s="466">
        <v>5539</v>
      </c>
      <c r="E103" s="474" t="s">
        <v>600</v>
      </c>
    </row>
    <row r="104" spans="1:5" ht="13.5" thickBot="1" x14ac:dyDescent="0.25">
      <c r="A104" s="465" t="s">
        <v>507</v>
      </c>
      <c r="B104" s="466">
        <v>345</v>
      </c>
      <c r="C104" s="466"/>
      <c r="D104" s="466">
        <v>2068</v>
      </c>
      <c r="E104" s="474" t="s">
        <v>600</v>
      </c>
    </row>
    <row r="105" spans="1:5" ht="13.5" thickBot="1" x14ac:dyDescent="0.25">
      <c r="A105" s="465" t="s">
        <v>589</v>
      </c>
      <c r="B105" s="466">
        <v>347</v>
      </c>
      <c r="C105" s="466"/>
      <c r="D105" s="466">
        <v>2931</v>
      </c>
      <c r="E105" s="474" t="s">
        <v>600</v>
      </c>
    </row>
    <row r="106" spans="1:5" ht="13.5" thickBot="1" x14ac:dyDescent="0.25">
      <c r="A106" s="465" t="s">
        <v>590</v>
      </c>
      <c r="B106" s="466">
        <v>351</v>
      </c>
      <c r="C106" s="466"/>
      <c r="D106" s="466">
        <v>3303</v>
      </c>
      <c r="E106" s="474" t="s">
        <v>600</v>
      </c>
    </row>
    <row r="107" spans="1:5" ht="13.5" thickBot="1" x14ac:dyDescent="0.25">
      <c r="A107" s="465" t="s">
        <v>591</v>
      </c>
      <c r="B107" s="473" t="s">
        <v>631</v>
      </c>
      <c r="C107" s="466"/>
      <c r="D107" s="466">
        <v>5203</v>
      </c>
      <c r="E107" s="474" t="s">
        <v>600</v>
      </c>
    </row>
    <row r="108" spans="1:5" ht="13.5" thickBot="1" x14ac:dyDescent="0.25">
      <c r="A108" s="465" t="s">
        <v>594</v>
      </c>
      <c r="B108" s="473" t="s">
        <v>632</v>
      </c>
      <c r="C108" s="466"/>
      <c r="D108" s="466">
        <v>6870</v>
      </c>
      <c r="E108" s="474" t="s">
        <v>633</v>
      </c>
    </row>
    <row r="109" spans="1:5" ht="13.5" thickBot="1" x14ac:dyDescent="0.25">
      <c r="A109" s="465" t="s">
        <v>596</v>
      </c>
      <c r="B109" s="473" t="s">
        <v>634</v>
      </c>
      <c r="C109" s="466"/>
      <c r="D109" s="466">
        <v>6976</v>
      </c>
      <c r="E109" s="474" t="s">
        <v>600</v>
      </c>
    </row>
    <row r="110" spans="1:5" ht="13.5" thickBot="1" x14ac:dyDescent="0.25">
      <c r="A110" s="465" t="s">
        <v>635</v>
      </c>
      <c r="B110" s="466">
        <v>11</v>
      </c>
      <c r="C110" s="466"/>
      <c r="D110" s="466">
        <v>5125</v>
      </c>
      <c r="E110" s="474" t="s">
        <v>600</v>
      </c>
    </row>
    <row r="111" spans="1:5" ht="13.5" thickBot="1" x14ac:dyDescent="0.25">
      <c r="A111" s="465" t="s">
        <v>636</v>
      </c>
      <c r="B111" s="466" t="s">
        <v>637</v>
      </c>
      <c r="C111" s="466"/>
      <c r="D111" s="466">
        <v>1813</v>
      </c>
      <c r="E111" s="474" t="s">
        <v>600</v>
      </c>
    </row>
    <row r="112" spans="1:5" ht="13.5" thickBot="1" x14ac:dyDescent="0.25">
      <c r="A112" s="465" t="s">
        <v>638</v>
      </c>
      <c r="B112" s="466" t="s">
        <v>639</v>
      </c>
      <c r="C112" s="466"/>
      <c r="D112" s="466">
        <v>12705</v>
      </c>
      <c r="E112" s="474" t="s">
        <v>600</v>
      </c>
    </row>
    <row r="113" spans="1:5" ht="13.5" thickBot="1" x14ac:dyDescent="0.25">
      <c r="A113" s="465" t="s">
        <v>640</v>
      </c>
      <c r="B113" s="466">
        <v>18</v>
      </c>
      <c r="C113" s="466"/>
      <c r="D113" s="466">
        <v>4803</v>
      </c>
      <c r="E113" s="474" t="s">
        <v>600</v>
      </c>
    </row>
    <row r="114" spans="1:5" ht="13.5" thickBot="1" x14ac:dyDescent="0.25">
      <c r="A114" s="465" t="s">
        <v>641</v>
      </c>
      <c r="B114" s="466" t="s">
        <v>642</v>
      </c>
      <c r="C114" s="466"/>
      <c r="D114" s="466">
        <v>9261</v>
      </c>
      <c r="E114" s="474" t="s">
        <v>600</v>
      </c>
    </row>
    <row r="115" spans="1:5" ht="13.5" thickBot="1" x14ac:dyDescent="0.25">
      <c r="A115" s="465" t="s">
        <v>643</v>
      </c>
      <c r="B115" s="466">
        <v>41</v>
      </c>
      <c r="C115" s="466"/>
      <c r="D115" s="466">
        <v>3720</v>
      </c>
      <c r="E115" s="474" t="s">
        <v>600</v>
      </c>
    </row>
    <row r="116" spans="1:5" ht="13.5" thickBot="1" x14ac:dyDescent="0.25">
      <c r="A116" s="465" t="s">
        <v>644</v>
      </c>
      <c r="B116" s="466">
        <v>122</v>
      </c>
      <c r="C116" s="466"/>
      <c r="D116" s="466">
        <v>6233</v>
      </c>
      <c r="E116" s="474" t="s">
        <v>600</v>
      </c>
    </row>
    <row r="117" spans="1:5" ht="13.5" thickBot="1" x14ac:dyDescent="0.25">
      <c r="A117" s="465" t="s">
        <v>645</v>
      </c>
      <c r="B117" s="466" t="s">
        <v>646</v>
      </c>
      <c r="C117" s="466"/>
      <c r="D117" s="466">
        <v>4698</v>
      </c>
      <c r="E117" s="474" t="s">
        <v>600</v>
      </c>
    </row>
    <row r="118" spans="1:5" ht="13.5" thickBot="1" x14ac:dyDescent="0.25">
      <c r="A118" s="465" t="s">
        <v>647</v>
      </c>
      <c r="B118" s="466" t="s">
        <v>648</v>
      </c>
      <c r="C118" s="466"/>
      <c r="D118" s="466">
        <v>698</v>
      </c>
      <c r="E118" s="474" t="s">
        <v>600</v>
      </c>
    </row>
    <row r="119" spans="1:5" ht="13.5" thickBot="1" x14ac:dyDescent="0.25">
      <c r="A119" s="465" t="s">
        <v>649</v>
      </c>
      <c r="B119" s="466" t="s">
        <v>650</v>
      </c>
      <c r="C119" s="466"/>
      <c r="D119" s="466">
        <v>3814</v>
      </c>
      <c r="E119" s="474" t="s">
        <v>600</v>
      </c>
    </row>
    <row r="120" spans="1:5" ht="13.5" thickBot="1" x14ac:dyDescent="0.25">
      <c r="A120" s="465" t="s">
        <v>651</v>
      </c>
      <c r="B120" s="466" t="s">
        <v>652</v>
      </c>
      <c r="C120" s="466"/>
      <c r="D120" s="466">
        <v>23958</v>
      </c>
      <c r="E120" s="474" t="s">
        <v>600</v>
      </c>
    </row>
    <row r="121" spans="1:5" ht="13.5" thickBot="1" x14ac:dyDescent="0.25">
      <c r="A121" s="465" t="s">
        <v>653</v>
      </c>
      <c r="B121" s="466" t="s">
        <v>654</v>
      </c>
      <c r="C121" s="466"/>
      <c r="D121" s="466">
        <v>11207</v>
      </c>
      <c r="E121" s="474" t="s">
        <v>600</v>
      </c>
    </row>
    <row r="122" spans="1:5" ht="13.5" thickBot="1" x14ac:dyDescent="0.25">
      <c r="A122" s="465" t="s">
        <v>655</v>
      </c>
      <c r="B122" s="466" t="s">
        <v>656</v>
      </c>
      <c r="C122" s="466"/>
      <c r="D122" s="466">
        <v>4956</v>
      </c>
      <c r="E122" s="474" t="s">
        <v>600</v>
      </c>
    </row>
    <row r="123" spans="1:5" ht="13.5" thickBot="1" x14ac:dyDescent="0.25">
      <c r="A123" s="465" t="s">
        <v>657</v>
      </c>
      <c r="B123" s="466">
        <v>324</v>
      </c>
      <c r="C123" s="466"/>
      <c r="D123" s="466">
        <v>13098</v>
      </c>
      <c r="E123" s="474" t="s">
        <v>600</v>
      </c>
    </row>
    <row r="124" spans="1:5" ht="13.5" thickBot="1" x14ac:dyDescent="0.25">
      <c r="A124" s="465" t="s">
        <v>658</v>
      </c>
      <c r="B124" s="466">
        <v>373</v>
      </c>
      <c r="C124" s="466"/>
      <c r="D124" s="466">
        <v>24754</v>
      </c>
      <c r="E124" s="474" t="s">
        <v>600</v>
      </c>
    </row>
    <row r="125" spans="1:5" ht="13.5" thickBot="1" x14ac:dyDescent="0.25">
      <c r="A125" s="465" t="s">
        <v>659</v>
      </c>
      <c r="B125" s="466" t="s">
        <v>660</v>
      </c>
      <c r="C125" s="466"/>
      <c r="D125" s="466">
        <v>669</v>
      </c>
      <c r="E125" s="474" t="s">
        <v>600</v>
      </c>
    </row>
    <row r="126" spans="1:5" ht="13.5" thickBot="1" x14ac:dyDescent="0.25">
      <c r="A126" s="465" t="s">
        <v>661</v>
      </c>
      <c r="B126" s="466" t="s">
        <v>662</v>
      </c>
      <c r="C126" s="466"/>
      <c r="D126" s="466">
        <v>6199</v>
      </c>
      <c r="E126" s="474" t="s">
        <v>600</v>
      </c>
    </row>
    <row r="127" spans="1:5" ht="13.5" thickBot="1" x14ac:dyDescent="0.25">
      <c r="A127" s="465" t="s">
        <v>663</v>
      </c>
      <c r="B127" s="466">
        <v>271</v>
      </c>
      <c r="C127" s="466"/>
      <c r="D127" s="466">
        <v>2417</v>
      </c>
      <c r="E127" s="474" t="s">
        <v>600</v>
      </c>
    </row>
    <row r="128" spans="1:5" ht="13.5" thickBot="1" x14ac:dyDescent="0.25">
      <c r="A128" s="465" t="s">
        <v>664</v>
      </c>
      <c r="B128" s="466">
        <v>287</v>
      </c>
      <c r="C128" s="466"/>
      <c r="D128" s="466">
        <v>15307</v>
      </c>
      <c r="E128" s="474" t="s">
        <v>600</v>
      </c>
    </row>
    <row r="129" spans="1:5" ht="13.5" thickBot="1" x14ac:dyDescent="0.25">
      <c r="A129" s="465" t="s">
        <v>665</v>
      </c>
      <c r="B129" s="466" t="s">
        <v>666</v>
      </c>
      <c r="C129" s="467"/>
      <c r="D129" s="466">
        <v>6949</v>
      </c>
      <c r="E129" s="474" t="s">
        <v>600</v>
      </c>
    </row>
    <row r="130" spans="1:5" ht="13.5" thickBot="1" x14ac:dyDescent="0.25">
      <c r="A130" s="465" t="s">
        <v>667</v>
      </c>
      <c r="B130" s="466" t="s">
        <v>668</v>
      </c>
      <c r="C130" s="467"/>
      <c r="D130" s="466">
        <v>252</v>
      </c>
      <c r="E130" s="474" t="s">
        <v>600</v>
      </c>
    </row>
    <row r="131" spans="1:5" ht="13.5" thickBot="1" x14ac:dyDescent="0.25">
      <c r="A131" s="465" t="s">
        <v>669</v>
      </c>
      <c r="B131" s="466">
        <v>358</v>
      </c>
      <c r="C131" s="466"/>
      <c r="D131" s="466">
        <v>10021</v>
      </c>
      <c r="E131" s="474" t="s">
        <v>600</v>
      </c>
    </row>
    <row r="132" spans="1:5" ht="13.5" thickBot="1" x14ac:dyDescent="0.25">
      <c r="A132" s="465" t="s">
        <v>670</v>
      </c>
      <c r="B132" s="466" t="s">
        <v>671</v>
      </c>
      <c r="C132" s="466"/>
      <c r="D132" s="466">
        <v>2193</v>
      </c>
      <c r="E132" s="474" t="s">
        <v>600</v>
      </c>
    </row>
    <row r="133" spans="1:5" ht="13.5" thickBot="1" x14ac:dyDescent="0.25">
      <c r="A133" s="465" t="s">
        <v>672</v>
      </c>
      <c r="B133" s="466">
        <v>380</v>
      </c>
      <c r="C133" s="466"/>
      <c r="D133" s="466">
        <v>11784</v>
      </c>
      <c r="E133" s="474" t="s">
        <v>600</v>
      </c>
    </row>
    <row r="134" spans="1:5" ht="13.5" thickBot="1" x14ac:dyDescent="0.25">
      <c r="A134" s="465" t="s">
        <v>673</v>
      </c>
      <c r="B134" s="466">
        <v>1524</v>
      </c>
      <c r="C134" s="466" t="s">
        <v>674</v>
      </c>
      <c r="D134" s="466">
        <v>1243</v>
      </c>
      <c r="E134" s="474" t="s">
        <v>600</v>
      </c>
    </row>
    <row r="135" spans="1:5" ht="13.5" thickBot="1" x14ac:dyDescent="0.25">
      <c r="A135" s="465" t="s">
        <v>675</v>
      </c>
      <c r="B135" s="466">
        <v>1541</v>
      </c>
      <c r="C135" s="466" t="s">
        <v>674</v>
      </c>
      <c r="D135" s="466">
        <v>1072</v>
      </c>
      <c r="E135" s="474" t="s">
        <v>600</v>
      </c>
    </row>
    <row r="136" spans="1:5" ht="13.5" thickBot="1" x14ac:dyDescent="0.25">
      <c r="A136" s="465" t="s">
        <v>676</v>
      </c>
      <c r="B136" s="466">
        <v>1562</v>
      </c>
      <c r="C136" s="466" t="s">
        <v>674</v>
      </c>
      <c r="D136" s="466">
        <v>878</v>
      </c>
      <c r="E136" s="474" t="s">
        <v>600</v>
      </c>
    </row>
    <row r="137" spans="1:5" ht="13.5" thickBot="1" x14ac:dyDescent="0.25">
      <c r="A137" s="465" t="s">
        <v>677</v>
      </c>
      <c r="B137" s="466">
        <v>1698</v>
      </c>
      <c r="C137" s="466" t="s">
        <v>674</v>
      </c>
      <c r="D137" s="466">
        <v>622</v>
      </c>
      <c r="E137" s="474" t="s">
        <v>600</v>
      </c>
    </row>
    <row r="138" spans="1:5" ht="13.5" thickBot="1" x14ac:dyDescent="0.25">
      <c r="A138" s="465" t="s">
        <v>678</v>
      </c>
      <c r="B138" s="466">
        <v>1713</v>
      </c>
      <c r="C138" s="466" t="s">
        <v>674</v>
      </c>
      <c r="D138" s="466">
        <v>698</v>
      </c>
      <c r="E138" s="474" t="s">
        <v>600</v>
      </c>
    </row>
    <row r="139" spans="1:5" ht="13.5" thickBot="1" x14ac:dyDescent="0.25">
      <c r="A139" s="465" t="s">
        <v>679</v>
      </c>
      <c r="B139" s="466">
        <v>1728</v>
      </c>
      <c r="C139" s="466" t="s">
        <v>674</v>
      </c>
      <c r="D139" s="466">
        <v>737</v>
      </c>
      <c r="E139" s="474" t="s">
        <v>600</v>
      </c>
    </row>
    <row r="140" spans="1:5" ht="13.5" thickBot="1" x14ac:dyDescent="0.25">
      <c r="A140" s="465" t="s">
        <v>680</v>
      </c>
      <c r="B140" s="466">
        <v>1743</v>
      </c>
      <c r="C140" s="466" t="s">
        <v>674</v>
      </c>
      <c r="D140" s="466">
        <v>719</v>
      </c>
      <c r="E140" s="474" t="s">
        <v>600</v>
      </c>
    </row>
    <row r="141" spans="1:5" ht="13.5" thickBot="1" x14ac:dyDescent="0.25">
      <c r="A141" s="465" t="s">
        <v>681</v>
      </c>
      <c r="B141" s="466">
        <v>1758</v>
      </c>
      <c r="C141" s="466" t="s">
        <v>674</v>
      </c>
      <c r="D141" s="466">
        <v>680</v>
      </c>
      <c r="E141" s="474" t="s">
        <v>600</v>
      </c>
    </row>
    <row r="142" spans="1:5" ht="13.5" thickBot="1" x14ac:dyDescent="0.25">
      <c r="A142" s="465" t="s">
        <v>682</v>
      </c>
      <c r="B142" s="466">
        <v>252</v>
      </c>
      <c r="C142" s="466"/>
      <c r="D142" s="466">
        <v>16485</v>
      </c>
      <c r="E142" s="474" t="s">
        <v>600</v>
      </c>
    </row>
    <row r="143" spans="1:5" ht="13.5" thickBot="1" x14ac:dyDescent="0.25">
      <c r="A143" s="465" t="s">
        <v>683</v>
      </c>
      <c r="B143" s="466">
        <v>1523</v>
      </c>
      <c r="C143" s="466" t="s">
        <v>674</v>
      </c>
      <c r="D143" s="466">
        <v>345</v>
      </c>
      <c r="E143" s="474" t="s">
        <v>600</v>
      </c>
    </row>
    <row r="144" spans="1:5" ht="13.5" thickBot="1" x14ac:dyDescent="0.25">
      <c r="A144" s="465" t="s">
        <v>684</v>
      </c>
      <c r="B144" s="466" t="s">
        <v>685</v>
      </c>
      <c r="C144" s="466"/>
      <c r="D144" s="466">
        <v>8360</v>
      </c>
      <c r="E144" s="474" t="s">
        <v>600</v>
      </c>
    </row>
    <row r="145" spans="1:5" ht="13.5" thickBot="1" x14ac:dyDescent="0.25">
      <c r="A145" s="465" t="s">
        <v>686</v>
      </c>
      <c r="B145" s="473" t="s">
        <v>687</v>
      </c>
      <c r="C145" s="466"/>
      <c r="D145" s="466">
        <v>859</v>
      </c>
      <c r="E145" s="474" t="s">
        <v>593</v>
      </c>
    </row>
    <row r="146" spans="1:5" ht="13.5" thickBot="1" x14ac:dyDescent="0.25">
      <c r="A146" s="465" t="s">
        <v>688</v>
      </c>
      <c r="B146" s="466" t="s">
        <v>689</v>
      </c>
      <c r="C146" s="466"/>
      <c r="D146" s="466">
        <v>3589</v>
      </c>
      <c r="E146" s="474" t="s">
        <v>690</v>
      </c>
    </row>
    <row r="147" spans="1:5" ht="13.5" thickBot="1" x14ac:dyDescent="0.25">
      <c r="A147" s="465" t="s">
        <v>691</v>
      </c>
      <c r="B147" s="466" t="s">
        <v>692</v>
      </c>
      <c r="C147" s="466"/>
      <c r="D147" s="466">
        <v>20242</v>
      </c>
      <c r="E147" s="474" t="s">
        <v>690</v>
      </c>
    </row>
    <row r="148" spans="1:5" ht="13.5" thickBot="1" x14ac:dyDescent="0.25">
      <c r="A148" s="465" t="s">
        <v>693</v>
      </c>
      <c r="B148" s="466" t="s">
        <v>694</v>
      </c>
      <c r="C148" s="466"/>
      <c r="D148" s="466">
        <v>4439</v>
      </c>
      <c r="E148" s="474" t="s">
        <v>593</v>
      </c>
    </row>
    <row r="149" spans="1:5" ht="13.5" thickBot="1" x14ac:dyDescent="0.25">
      <c r="A149" s="465" t="s">
        <v>695</v>
      </c>
      <c r="B149" s="466">
        <v>234</v>
      </c>
      <c r="C149" s="466"/>
      <c r="D149" s="466">
        <v>9956</v>
      </c>
      <c r="E149" s="474" t="s">
        <v>593</v>
      </c>
    </row>
    <row r="150" spans="1:5" ht="13.5" thickBot="1" x14ac:dyDescent="0.25">
      <c r="A150" s="465" t="s">
        <v>696</v>
      </c>
      <c r="B150" s="466">
        <v>253</v>
      </c>
      <c r="C150" s="466"/>
      <c r="D150" s="466">
        <v>8763</v>
      </c>
      <c r="E150" s="474" t="s">
        <v>593</v>
      </c>
    </row>
    <row r="151" spans="1:5" ht="13.5" thickBot="1" x14ac:dyDescent="0.25">
      <c r="A151" s="465" t="s">
        <v>697</v>
      </c>
      <c r="B151" s="466">
        <v>277</v>
      </c>
      <c r="C151" s="466"/>
      <c r="D151" s="466">
        <v>4951</v>
      </c>
      <c r="E151" s="474" t="s">
        <v>593</v>
      </c>
    </row>
    <row r="152" spans="1:5" ht="13.5" thickBot="1" x14ac:dyDescent="0.25">
      <c r="A152" s="465" t="s">
        <v>698</v>
      </c>
      <c r="B152" s="466" t="s">
        <v>699</v>
      </c>
      <c r="C152" s="466"/>
      <c r="D152" s="466">
        <v>1290</v>
      </c>
      <c r="E152" s="474" t="s">
        <v>593</v>
      </c>
    </row>
    <row r="153" spans="1:5" ht="13.5" thickBot="1" x14ac:dyDescent="0.25">
      <c r="A153" s="465" t="s">
        <v>700</v>
      </c>
      <c r="B153" s="466" t="s">
        <v>701</v>
      </c>
      <c r="C153" s="466"/>
      <c r="D153" s="466">
        <v>6314</v>
      </c>
      <c r="E153" s="474" t="s">
        <v>593</v>
      </c>
    </row>
    <row r="154" spans="1:5" ht="13.5" thickBot="1" x14ac:dyDescent="0.25">
      <c r="A154" s="465" t="s">
        <v>702</v>
      </c>
      <c r="B154" s="466">
        <v>290</v>
      </c>
      <c r="C154" s="466"/>
      <c r="D154" s="466">
        <v>8403</v>
      </c>
      <c r="E154" s="474" t="s">
        <v>593</v>
      </c>
    </row>
    <row r="155" spans="1:5" ht="13.5" thickBot="1" x14ac:dyDescent="0.25">
      <c r="A155" s="465" t="s">
        <v>703</v>
      </c>
      <c r="B155" s="466" t="s">
        <v>704</v>
      </c>
      <c r="C155" s="466"/>
      <c r="D155" s="466">
        <v>3552</v>
      </c>
      <c r="E155" s="474" t="s">
        <v>593</v>
      </c>
    </row>
    <row r="156" spans="1:5" ht="13.5" thickBot="1" x14ac:dyDescent="0.25">
      <c r="A156" s="465" t="s">
        <v>705</v>
      </c>
      <c r="B156" s="466">
        <v>336</v>
      </c>
      <c r="C156" s="466"/>
      <c r="D156" s="466">
        <v>5568</v>
      </c>
      <c r="E156" s="474" t="s">
        <v>690</v>
      </c>
    </row>
    <row r="157" spans="1:5" ht="13.5" thickBot="1" x14ac:dyDescent="0.25">
      <c r="A157" s="465" t="s">
        <v>706</v>
      </c>
      <c r="B157" s="466">
        <v>339</v>
      </c>
      <c r="C157" s="466"/>
      <c r="D157" s="466">
        <v>10675</v>
      </c>
      <c r="E157" s="474" t="s">
        <v>690</v>
      </c>
    </row>
    <row r="158" spans="1:5" ht="13.5" thickBot="1" x14ac:dyDescent="0.25">
      <c r="A158" s="465" t="s">
        <v>707</v>
      </c>
      <c r="B158" s="466" t="s">
        <v>708</v>
      </c>
      <c r="C158" s="466"/>
      <c r="D158" s="466">
        <v>1442</v>
      </c>
      <c r="E158" s="474" t="s">
        <v>593</v>
      </c>
    </row>
    <row r="159" spans="1:5" ht="13.5" thickBot="1" x14ac:dyDescent="0.25">
      <c r="A159" s="465" t="s">
        <v>709</v>
      </c>
      <c r="B159" s="466">
        <v>393</v>
      </c>
      <c r="C159" s="466"/>
      <c r="D159" s="466">
        <v>2878</v>
      </c>
      <c r="E159" s="474" t="s">
        <v>593</v>
      </c>
    </row>
    <row r="160" spans="1:5" ht="13.5" thickBot="1" x14ac:dyDescent="0.25">
      <c r="A160" s="465" t="s">
        <v>710</v>
      </c>
      <c r="B160" s="466">
        <v>10</v>
      </c>
      <c r="C160" s="466"/>
      <c r="D160" s="466">
        <v>5636</v>
      </c>
      <c r="E160" s="474" t="s">
        <v>593</v>
      </c>
    </row>
    <row r="161" spans="1:5" ht="13.5" thickBot="1" x14ac:dyDescent="0.25">
      <c r="A161" s="465" t="s">
        <v>711</v>
      </c>
      <c r="B161" s="466" t="s">
        <v>712</v>
      </c>
      <c r="C161" s="466"/>
      <c r="D161" s="466">
        <v>8309</v>
      </c>
      <c r="E161" s="474" t="s">
        <v>593</v>
      </c>
    </row>
    <row r="162" spans="1:5" ht="13.5" thickBot="1" x14ac:dyDescent="0.25">
      <c r="A162" s="465" t="s">
        <v>713</v>
      </c>
      <c r="B162" s="466" t="s">
        <v>714</v>
      </c>
      <c r="C162" s="466"/>
      <c r="D162" s="466">
        <v>957</v>
      </c>
      <c r="E162" s="474" t="s">
        <v>593</v>
      </c>
    </row>
    <row r="163" spans="1:5" ht="13.5" thickBot="1" x14ac:dyDescent="0.25">
      <c r="A163" s="465" t="s">
        <v>715</v>
      </c>
      <c r="B163" s="466">
        <v>236</v>
      </c>
      <c r="C163" s="466"/>
      <c r="D163" s="466">
        <v>8610</v>
      </c>
      <c r="E163" s="466" t="s">
        <v>593</v>
      </c>
    </row>
    <row r="164" spans="1:5" ht="13.5" thickBot="1" x14ac:dyDescent="0.25">
      <c r="A164" s="465" t="s">
        <v>716</v>
      </c>
      <c r="B164" s="466">
        <v>255</v>
      </c>
      <c r="C164" s="467"/>
      <c r="D164" s="466">
        <v>7568</v>
      </c>
      <c r="E164" s="474" t="s">
        <v>593</v>
      </c>
    </row>
    <row r="165" spans="1:5" ht="13.5" thickBot="1" x14ac:dyDescent="0.25">
      <c r="A165" s="465" t="s">
        <v>717</v>
      </c>
      <c r="B165" s="466" t="s">
        <v>718</v>
      </c>
      <c r="C165" s="467"/>
      <c r="D165" s="466">
        <v>3466</v>
      </c>
      <c r="E165" s="474" t="s">
        <v>593</v>
      </c>
    </row>
    <row r="166" spans="1:5" ht="13.5" thickBot="1" x14ac:dyDescent="0.25">
      <c r="A166" s="465" t="s">
        <v>719</v>
      </c>
      <c r="B166" s="466" t="s">
        <v>720</v>
      </c>
      <c r="C166" s="466"/>
      <c r="D166" s="466">
        <v>4666</v>
      </c>
      <c r="E166" s="474" t="s">
        <v>593</v>
      </c>
    </row>
    <row r="167" spans="1:5" ht="13.5" thickBot="1" x14ac:dyDescent="0.25">
      <c r="A167" s="465" t="s">
        <v>721</v>
      </c>
      <c r="B167" s="466">
        <v>286</v>
      </c>
      <c r="C167" s="466"/>
      <c r="D167" s="466">
        <v>9231</v>
      </c>
      <c r="E167" s="474" t="s">
        <v>593</v>
      </c>
    </row>
    <row r="168" spans="1:5" ht="13.5" thickBot="1" x14ac:dyDescent="0.25">
      <c r="A168" s="465" t="s">
        <v>722</v>
      </c>
      <c r="B168" s="466">
        <v>291</v>
      </c>
      <c r="C168" s="466"/>
      <c r="D168" s="466">
        <v>3349</v>
      </c>
      <c r="E168" s="474" t="s">
        <v>593</v>
      </c>
    </row>
    <row r="169" spans="1:5" ht="13.5" thickBot="1" x14ac:dyDescent="0.25">
      <c r="A169" s="465" t="s">
        <v>723</v>
      </c>
      <c r="B169" s="466">
        <v>321</v>
      </c>
      <c r="C169" s="466"/>
      <c r="D169" s="466">
        <v>18613</v>
      </c>
      <c r="E169" s="474" t="s">
        <v>690</v>
      </c>
    </row>
    <row r="170" spans="1:5" ht="13.5" thickBot="1" x14ac:dyDescent="0.25">
      <c r="A170" s="465" t="s">
        <v>724</v>
      </c>
      <c r="B170" s="466">
        <v>337</v>
      </c>
      <c r="C170" s="466"/>
      <c r="D170" s="466">
        <v>4762</v>
      </c>
      <c r="E170" s="474" t="s">
        <v>690</v>
      </c>
    </row>
    <row r="171" spans="1:5" ht="13.5" thickBot="1" x14ac:dyDescent="0.25">
      <c r="A171" s="465" t="s">
        <v>725</v>
      </c>
      <c r="B171" s="466">
        <v>364</v>
      </c>
      <c r="C171" s="466"/>
      <c r="D171" s="466">
        <v>5994</v>
      </c>
      <c r="E171" s="474" t="s">
        <v>593</v>
      </c>
    </row>
    <row r="172" spans="1:5" ht="13.5" thickBot="1" x14ac:dyDescent="0.25">
      <c r="A172" s="465" t="s">
        <v>726</v>
      </c>
      <c r="B172" s="466">
        <v>386</v>
      </c>
      <c r="C172" s="466"/>
      <c r="D172" s="466">
        <v>6604</v>
      </c>
      <c r="E172" s="474" t="s">
        <v>593</v>
      </c>
    </row>
    <row r="173" spans="1:5" ht="13.5" thickBot="1" x14ac:dyDescent="0.25">
      <c r="A173" s="465" t="s">
        <v>727</v>
      </c>
      <c r="B173" s="466" t="s">
        <v>728</v>
      </c>
      <c r="C173" s="466"/>
      <c r="D173" s="466">
        <v>1762</v>
      </c>
      <c r="E173" s="474" t="s">
        <v>593</v>
      </c>
    </row>
    <row r="174" spans="1:5" ht="13.5" thickBot="1" x14ac:dyDescent="0.25">
      <c r="A174" s="465" t="s">
        <v>729</v>
      </c>
      <c r="B174" s="466">
        <v>13</v>
      </c>
      <c r="C174" s="466"/>
      <c r="D174" s="466">
        <v>6720</v>
      </c>
      <c r="E174" s="474" t="s">
        <v>593</v>
      </c>
    </row>
    <row r="175" spans="1:5" ht="13.5" thickBot="1" x14ac:dyDescent="0.25">
      <c r="A175" s="465" t="s">
        <v>730</v>
      </c>
      <c r="B175" s="466">
        <v>32</v>
      </c>
      <c r="C175" s="466"/>
      <c r="D175" s="466">
        <v>1250</v>
      </c>
      <c r="E175" s="474" t="s">
        <v>593</v>
      </c>
    </row>
    <row r="176" spans="1:5" ht="13.5" thickBot="1" x14ac:dyDescent="0.25">
      <c r="A176" s="465" t="s">
        <v>731</v>
      </c>
      <c r="B176" s="466" t="s">
        <v>732</v>
      </c>
      <c r="C176" s="466"/>
      <c r="D176" s="466">
        <v>3019</v>
      </c>
      <c r="E176" s="474" t="s">
        <v>593</v>
      </c>
    </row>
    <row r="177" spans="1:5" ht="13.5" thickBot="1" x14ac:dyDescent="0.25">
      <c r="A177" s="465" t="s">
        <v>733</v>
      </c>
      <c r="B177" s="466">
        <v>251</v>
      </c>
      <c r="C177" s="466"/>
      <c r="D177" s="466">
        <v>6584</v>
      </c>
      <c r="E177" s="474" t="s">
        <v>593</v>
      </c>
    </row>
    <row r="178" spans="1:5" ht="13.5" thickBot="1" x14ac:dyDescent="0.25">
      <c r="A178" s="465" t="s">
        <v>734</v>
      </c>
      <c r="B178" s="466">
        <v>272</v>
      </c>
      <c r="C178" s="466"/>
      <c r="D178" s="466">
        <v>6111</v>
      </c>
      <c r="E178" s="474" t="s">
        <v>593</v>
      </c>
    </row>
    <row r="179" spans="1:5" ht="13.5" thickBot="1" x14ac:dyDescent="0.25">
      <c r="A179" s="465" t="s">
        <v>735</v>
      </c>
      <c r="B179" s="466" t="s">
        <v>736</v>
      </c>
      <c r="C179" s="466"/>
      <c r="D179" s="466">
        <v>1454</v>
      </c>
      <c r="E179" s="474" t="s">
        <v>593</v>
      </c>
    </row>
    <row r="180" spans="1:5" ht="13.5" thickBot="1" x14ac:dyDescent="0.25">
      <c r="A180" s="465" t="s">
        <v>737</v>
      </c>
      <c r="B180" s="466" t="s">
        <v>738</v>
      </c>
      <c r="C180" s="466"/>
      <c r="D180" s="466">
        <v>10228</v>
      </c>
      <c r="E180" s="474" t="s">
        <v>593</v>
      </c>
    </row>
    <row r="181" spans="1:5" ht="13.5" thickBot="1" x14ac:dyDescent="0.25">
      <c r="A181" s="465" t="s">
        <v>739</v>
      </c>
      <c r="B181" s="466">
        <v>293</v>
      </c>
      <c r="C181" s="466"/>
      <c r="D181" s="466">
        <v>15511</v>
      </c>
      <c r="E181" s="474" t="s">
        <v>593</v>
      </c>
    </row>
    <row r="182" spans="1:5" ht="13.5" thickBot="1" x14ac:dyDescent="0.25">
      <c r="A182" s="465" t="s">
        <v>740</v>
      </c>
      <c r="B182" s="466">
        <v>323</v>
      </c>
      <c r="C182" s="466"/>
      <c r="D182" s="466">
        <v>11607</v>
      </c>
      <c r="E182" s="474" t="s">
        <v>593</v>
      </c>
    </row>
    <row r="183" spans="1:5" ht="13.5" thickBot="1" x14ac:dyDescent="0.25">
      <c r="A183" s="465" t="s">
        <v>741</v>
      </c>
      <c r="B183" s="466">
        <v>338</v>
      </c>
      <c r="C183" s="466"/>
      <c r="D183" s="466">
        <v>5992</v>
      </c>
      <c r="E183" s="474" t="s">
        <v>690</v>
      </c>
    </row>
    <row r="184" spans="1:5" ht="13.5" thickBot="1" x14ac:dyDescent="0.25">
      <c r="A184" s="465" t="s">
        <v>742</v>
      </c>
      <c r="B184" s="466">
        <v>365</v>
      </c>
      <c r="C184" s="466"/>
      <c r="D184" s="466">
        <v>5631</v>
      </c>
      <c r="E184" s="474" t="s">
        <v>743</v>
      </c>
    </row>
    <row r="185" spans="1:5" ht="13.5" thickBot="1" x14ac:dyDescent="0.25">
      <c r="A185" s="465" t="s">
        <v>744</v>
      </c>
      <c r="B185" s="466">
        <v>387</v>
      </c>
      <c r="C185" s="466"/>
      <c r="D185" s="466">
        <v>7629</v>
      </c>
      <c r="E185" s="474" t="s">
        <v>743</v>
      </c>
    </row>
    <row r="186" spans="1:5" ht="13.5" thickBot="1" x14ac:dyDescent="0.25">
      <c r="A186" s="465" t="s">
        <v>745</v>
      </c>
      <c r="B186" s="466" t="s">
        <v>746</v>
      </c>
      <c r="C186" s="466"/>
      <c r="D186" s="466">
        <v>3986</v>
      </c>
      <c r="E186" s="474" t="s">
        <v>593</v>
      </c>
    </row>
    <row r="187" spans="1:5" ht="13.5" thickBot="1" x14ac:dyDescent="0.25">
      <c r="A187" s="465" t="s">
        <v>747</v>
      </c>
      <c r="B187" s="466">
        <v>33</v>
      </c>
      <c r="C187" s="466"/>
      <c r="D187" s="466">
        <v>9335</v>
      </c>
      <c r="E187" s="474" t="s">
        <v>593</v>
      </c>
    </row>
    <row r="188" spans="1:5" ht="13.5" thickBot="1" x14ac:dyDescent="0.25">
      <c r="A188" s="465" t="s">
        <v>748</v>
      </c>
      <c r="B188" s="466" t="s">
        <v>749</v>
      </c>
      <c r="C188" s="466"/>
      <c r="D188" s="466">
        <v>11877</v>
      </c>
      <c r="E188" s="474" t="s">
        <v>593</v>
      </c>
    </row>
    <row r="189" spans="1:5" ht="13.5" thickBot="1" x14ac:dyDescent="0.25">
      <c r="A189" s="465" t="s">
        <v>750</v>
      </c>
      <c r="B189" s="466" t="s">
        <v>751</v>
      </c>
      <c r="C189" s="466"/>
      <c r="D189" s="466">
        <v>3973</v>
      </c>
      <c r="E189" s="474" t="s">
        <v>593</v>
      </c>
    </row>
    <row r="190" spans="1:5" ht="13.5" thickBot="1" x14ac:dyDescent="0.25">
      <c r="A190" s="465" t="s">
        <v>752</v>
      </c>
      <c r="B190" s="466" t="s">
        <v>753</v>
      </c>
      <c r="C190" s="466"/>
      <c r="D190" s="466">
        <v>6298</v>
      </c>
      <c r="E190" s="474" t="s">
        <v>690</v>
      </c>
    </row>
    <row r="191" spans="1:5" ht="13.5" thickBot="1" x14ac:dyDescent="0.25">
      <c r="A191" s="465" t="s">
        <v>754</v>
      </c>
      <c r="B191" s="466">
        <v>47</v>
      </c>
      <c r="C191" s="466"/>
      <c r="D191" s="466">
        <v>11835</v>
      </c>
      <c r="E191" s="474" t="s">
        <v>690</v>
      </c>
    </row>
    <row r="192" spans="1:5" ht="13.5" thickBot="1" x14ac:dyDescent="0.25">
      <c r="A192" s="465" t="s">
        <v>755</v>
      </c>
      <c r="B192" s="466" t="s">
        <v>756</v>
      </c>
      <c r="C192" s="466"/>
      <c r="D192" s="466">
        <v>16874</v>
      </c>
      <c r="E192" s="474" t="s">
        <v>690</v>
      </c>
    </row>
    <row r="193" spans="1:5" ht="13.5" thickBot="1" x14ac:dyDescent="0.25">
      <c r="A193" s="465" t="s">
        <v>757</v>
      </c>
      <c r="B193" s="466" t="s">
        <v>758</v>
      </c>
      <c r="C193" s="466"/>
      <c r="D193" s="466">
        <v>43104</v>
      </c>
      <c r="E193" s="474" t="s">
        <v>690</v>
      </c>
    </row>
    <row r="194" spans="1:5" ht="13.5" thickBot="1" x14ac:dyDescent="0.25">
      <c r="A194" s="465" t="s">
        <v>759</v>
      </c>
      <c r="B194" s="466" t="s">
        <v>760</v>
      </c>
      <c r="C194" s="466"/>
      <c r="D194" s="466">
        <v>2263</v>
      </c>
      <c r="E194" s="474" t="s">
        <v>690</v>
      </c>
    </row>
    <row r="195" spans="1:5" ht="13.5" thickBot="1" x14ac:dyDescent="0.25">
      <c r="A195" s="465" t="s">
        <v>761</v>
      </c>
      <c r="B195" s="466" t="s">
        <v>762</v>
      </c>
      <c r="C195" s="466"/>
      <c r="D195" s="466">
        <v>11128</v>
      </c>
      <c r="E195" s="474" t="s">
        <v>690</v>
      </c>
    </row>
    <row r="196" spans="1:5" ht="13.5" thickBot="1" x14ac:dyDescent="0.25">
      <c r="A196" s="465" t="s">
        <v>763</v>
      </c>
      <c r="B196" s="466" t="s">
        <v>764</v>
      </c>
      <c r="C196" s="466"/>
      <c r="D196" s="466">
        <v>3640</v>
      </c>
      <c r="E196" s="474" t="s">
        <v>690</v>
      </c>
    </row>
    <row r="197" spans="1:5" ht="13.5" thickBot="1" x14ac:dyDescent="0.25">
      <c r="A197" s="465" t="s">
        <v>765</v>
      </c>
      <c r="B197" s="466" t="s">
        <v>766</v>
      </c>
      <c r="C197" s="466"/>
      <c r="D197" s="466">
        <v>7164</v>
      </c>
      <c r="E197" s="474" t="s">
        <v>593</v>
      </c>
    </row>
    <row r="198" spans="1:5" ht="13.5" thickBot="1" x14ac:dyDescent="0.25">
      <c r="A198" s="465" t="s">
        <v>767</v>
      </c>
      <c r="B198" s="466" t="s">
        <v>768</v>
      </c>
      <c r="C198" s="466"/>
      <c r="D198" s="466">
        <v>6345</v>
      </c>
      <c r="E198" s="474" t="s">
        <v>690</v>
      </c>
    </row>
    <row r="199" spans="1:5" ht="13.5" thickBot="1" x14ac:dyDescent="0.25">
      <c r="A199" s="465" t="s">
        <v>769</v>
      </c>
      <c r="B199" s="466" t="s">
        <v>770</v>
      </c>
      <c r="C199" s="466"/>
      <c r="D199" s="466">
        <v>541</v>
      </c>
      <c r="E199" s="474" t="s">
        <v>690</v>
      </c>
    </row>
    <row r="200" spans="1:5" ht="13.5" thickBot="1" x14ac:dyDescent="0.25">
      <c r="A200" s="465" t="s">
        <v>771</v>
      </c>
      <c r="B200" s="466" t="s">
        <v>772</v>
      </c>
      <c r="C200" s="466"/>
      <c r="D200" s="466">
        <v>9552</v>
      </c>
      <c r="E200" s="474" t="s">
        <v>690</v>
      </c>
    </row>
    <row r="201" spans="1:5" ht="13.5" thickBot="1" x14ac:dyDescent="0.25">
      <c r="A201" s="465" t="s">
        <v>773</v>
      </c>
      <c r="B201" s="466" t="s">
        <v>774</v>
      </c>
      <c r="C201" s="466"/>
      <c r="D201" s="466">
        <v>5717</v>
      </c>
      <c r="E201" s="474" t="s">
        <v>690</v>
      </c>
    </row>
    <row r="202" spans="1:5" ht="13.5" thickBot="1" x14ac:dyDescent="0.25">
      <c r="A202" s="465" t="s">
        <v>775</v>
      </c>
      <c r="B202" s="466" t="s">
        <v>776</v>
      </c>
      <c r="C202" s="466"/>
      <c r="D202" s="466">
        <v>5306</v>
      </c>
      <c r="E202" s="474" t="s">
        <v>690</v>
      </c>
    </row>
    <row r="203" spans="1:5" ht="13.5" thickBot="1" x14ac:dyDescent="0.25">
      <c r="A203" s="465" t="s">
        <v>777</v>
      </c>
      <c r="B203" s="466">
        <v>204</v>
      </c>
      <c r="C203" s="466"/>
      <c r="D203" s="466">
        <v>11134</v>
      </c>
      <c r="E203" s="474" t="s">
        <v>690</v>
      </c>
    </row>
    <row r="204" spans="1:5" ht="13.5" thickBot="1" x14ac:dyDescent="0.25">
      <c r="A204" s="465" t="s">
        <v>778</v>
      </c>
      <c r="B204" s="466" t="s">
        <v>779</v>
      </c>
      <c r="C204" s="466"/>
      <c r="D204" s="466">
        <v>15903</v>
      </c>
      <c r="E204" s="474" t="s">
        <v>690</v>
      </c>
    </row>
    <row r="205" spans="1:5" ht="13.5" thickBot="1" x14ac:dyDescent="0.25">
      <c r="A205" s="465" t="s">
        <v>780</v>
      </c>
      <c r="B205" s="466" t="s">
        <v>781</v>
      </c>
      <c r="C205" s="466"/>
      <c r="D205" s="466">
        <v>8360</v>
      </c>
      <c r="E205" s="474" t="s">
        <v>690</v>
      </c>
    </row>
    <row r="206" spans="1:5" ht="13.5" thickBot="1" x14ac:dyDescent="0.25">
      <c r="A206" s="465" t="s">
        <v>782</v>
      </c>
      <c r="B206" s="466">
        <v>213</v>
      </c>
      <c r="C206" s="466"/>
      <c r="D206" s="466">
        <v>7030</v>
      </c>
      <c r="E206" s="474" t="s">
        <v>690</v>
      </c>
    </row>
    <row r="207" spans="1:5" ht="13.5" thickBot="1" x14ac:dyDescent="0.25">
      <c r="A207" s="465" t="s">
        <v>783</v>
      </c>
      <c r="B207" s="466">
        <v>35</v>
      </c>
      <c r="C207" s="466"/>
      <c r="D207" s="466">
        <v>12483</v>
      </c>
      <c r="E207" s="474" t="s">
        <v>633</v>
      </c>
    </row>
    <row r="208" spans="1:5" ht="13.5" thickBot="1" x14ac:dyDescent="0.25">
      <c r="A208" s="465" t="s">
        <v>784</v>
      </c>
      <c r="B208" s="466" t="s">
        <v>785</v>
      </c>
      <c r="C208" s="466"/>
      <c r="D208" s="466">
        <v>6319</v>
      </c>
      <c r="E208" s="474" t="s">
        <v>633</v>
      </c>
    </row>
    <row r="209" spans="1:5" ht="13.5" thickBot="1" x14ac:dyDescent="0.25">
      <c r="A209" s="465" t="s">
        <v>786</v>
      </c>
      <c r="B209" s="466" t="s">
        <v>787</v>
      </c>
      <c r="C209" s="466"/>
      <c r="D209" s="466">
        <v>8350</v>
      </c>
      <c r="E209" s="474" t="s">
        <v>633</v>
      </c>
    </row>
    <row r="210" spans="1:5" ht="13.5" thickBot="1" x14ac:dyDescent="0.25">
      <c r="A210" s="465" t="s">
        <v>788</v>
      </c>
      <c r="B210" s="466" t="s">
        <v>789</v>
      </c>
      <c r="C210" s="466"/>
      <c r="D210" s="466">
        <v>18765</v>
      </c>
      <c r="E210" s="474" t="s">
        <v>633</v>
      </c>
    </row>
    <row r="211" spans="1:5" ht="13.5" thickBot="1" x14ac:dyDescent="0.25">
      <c r="A211" s="465" t="s">
        <v>790</v>
      </c>
      <c r="B211" s="466" t="s">
        <v>791</v>
      </c>
      <c r="C211" s="466"/>
      <c r="D211" s="466">
        <v>2891</v>
      </c>
      <c r="E211" s="474" t="s">
        <v>633</v>
      </c>
    </row>
    <row r="212" spans="1:5" ht="13.5" thickBot="1" x14ac:dyDescent="0.25">
      <c r="A212" s="465" t="s">
        <v>792</v>
      </c>
      <c r="B212" s="466" t="s">
        <v>793</v>
      </c>
      <c r="C212" s="466"/>
      <c r="D212" s="466">
        <v>6744</v>
      </c>
      <c r="E212" s="474" t="s">
        <v>633</v>
      </c>
    </row>
    <row r="213" spans="1:5" ht="13.5" thickBot="1" x14ac:dyDescent="0.25">
      <c r="A213" s="465" t="s">
        <v>794</v>
      </c>
      <c r="B213" s="466" t="s">
        <v>795</v>
      </c>
      <c r="C213" s="466"/>
      <c r="D213" s="466">
        <v>1477</v>
      </c>
      <c r="E213" s="474" t="s">
        <v>633</v>
      </c>
    </row>
    <row r="214" spans="1:5" ht="13.5" thickBot="1" x14ac:dyDescent="0.25">
      <c r="A214" s="465" t="s">
        <v>796</v>
      </c>
      <c r="B214" s="466" t="s">
        <v>797</v>
      </c>
      <c r="C214" s="466"/>
      <c r="D214" s="466">
        <v>5862</v>
      </c>
      <c r="E214" s="474" t="s">
        <v>633</v>
      </c>
    </row>
    <row r="215" spans="1:5" ht="13.5" thickBot="1" x14ac:dyDescent="0.25">
      <c r="A215" s="465" t="s">
        <v>798</v>
      </c>
      <c r="B215" s="466" t="s">
        <v>799</v>
      </c>
      <c r="C215" s="466"/>
      <c r="D215" s="466">
        <v>4497</v>
      </c>
      <c r="E215" s="474" t="s">
        <v>633</v>
      </c>
    </row>
    <row r="216" spans="1:5" ht="13.5" thickBot="1" x14ac:dyDescent="0.25">
      <c r="A216" s="465" t="s">
        <v>800</v>
      </c>
      <c r="B216" s="466" t="s">
        <v>801</v>
      </c>
      <c r="C216" s="466"/>
      <c r="D216" s="466">
        <v>4378</v>
      </c>
      <c r="E216" s="474" t="s">
        <v>633</v>
      </c>
    </row>
    <row r="217" spans="1:5" ht="13.5" thickBot="1" x14ac:dyDescent="0.25">
      <c r="A217" s="465" t="s">
        <v>802</v>
      </c>
      <c r="B217" s="466">
        <v>210</v>
      </c>
      <c r="C217" s="466"/>
      <c r="D217" s="466">
        <v>18879</v>
      </c>
      <c r="E217" s="474" t="s">
        <v>633</v>
      </c>
    </row>
    <row r="218" spans="1:5" ht="13.5" thickBot="1" x14ac:dyDescent="0.25">
      <c r="A218" s="465" t="s">
        <v>803</v>
      </c>
      <c r="B218" s="466" t="s">
        <v>804</v>
      </c>
      <c r="C218" s="466"/>
      <c r="D218" s="466">
        <v>7572</v>
      </c>
      <c r="E218" s="474" t="s">
        <v>633</v>
      </c>
    </row>
    <row r="219" spans="1:5" ht="13.5" thickBot="1" x14ac:dyDescent="0.25">
      <c r="A219" s="465" t="s">
        <v>805</v>
      </c>
      <c r="B219" s="466">
        <v>217</v>
      </c>
      <c r="C219" s="466"/>
      <c r="D219" s="466">
        <v>3714</v>
      </c>
      <c r="E219" s="474" t="s">
        <v>633</v>
      </c>
    </row>
    <row r="220" spans="1:5" ht="13.5" thickBot="1" x14ac:dyDescent="0.25">
      <c r="A220" s="465" t="s">
        <v>806</v>
      </c>
      <c r="B220" s="466" t="s">
        <v>807</v>
      </c>
      <c r="C220" s="466"/>
      <c r="D220" s="466">
        <v>4757</v>
      </c>
      <c r="E220" s="474" t="s">
        <v>633</v>
      </c>
    </row>
    <row r="221" spans="1:5" ht="13.5" thickBot="1" x14ac:dyDescent="0.25">
      <c r="A221" s="465" t="s">
        <v>808</v>
      </c>
      <c r="B221" s="466" t="s">
        <v>809</v>
      </c>
      <c r="C221" s="466"/>
      <c r="D221" s="466">
        <v>3812</v>
      </c>
      <c r="E221" s="474" t="s">
        <v>633</v>
      </c>
    </row>
    <row r="222" spans="1:5" ht="13.5" thickBot="1" x14ac:dyDescent="0.25">
      <c r="A222" s="465" t="s">
        <v>810</v>
      </c>
      <c r="B222" s="466">
        <v>242</v>
      </c>
      <c r="C222" s="466"/>
      <c r="D222" s="466">
        <v>12148</v>
      </c>
      <c r="E222" s="474" t="s">
        <v>633</v>
      </c>
    </row>
    <row r="223" spans="1:5" ht="13.5" thickBot="1" x14ac:dyDescent="0.25">
      <c r="A223" s="465" t="s">
        <v>811</v>
      </c>
      <c r="B223" s="466">
        <v>246</v>
      </c>
      <c r="C223" s="466"/>
      <c r="D223" s="466">
        <v>5551</v>
      </c>
      <c r="E223" s="474" t="s">
        <v>633</v>
      </c>
    </row>
    <row r="224" spans="1:5" ht="13.5" thickBot="1" x14ac:dyDescent="0.25">
      <c r="A224" s="465" t="s">
        <v>812</v>
      </c>
      <c r="B224" s="466" t="s">
        <v>813</v>
      </c>
      <c r="C224" s="466"/>
      <c r="D224" s="466">
        <v>2036</v>
      </c>
      <c r="E224" s="474" t="s">
        <v>633</v>
      </c>
    </row>
    <row r="225" spans="1:5" ht="13.5" thickBot="1" x14ac:dyDescent="0.25">
      <c r="A225" s="465" t="s">
        <v>814</v>
      </c>
      <c r="B225" s="466">
        <v>256</v>
      </c>
      <c r="C225" s="466"/>
      <c r="D225" s="466">
        <v>2214</v>
      </c>
      <c r="E225" s="474" t="s">
        <v>633</v>
      </c>
    </row>
    <row r="226" spans="1:5" ht="13.5" thickBot="1" x14ac:dyDescent="0.25">
      <c r="A226" s="468" t="s">
        <v>815</v>
      </c>
      <c r="B226" s="469" t="s">
        <v>816</v>
      </c>
      <c r="C226" s="469"/>
      <c r="D226" s="469">
        <v>7524</v>
      </c>
      <c r="E226" s="481" t="s">
        <v>633</v>
      </c>
    </row>
    <row r="227" spans="1:5" ht="14.25" thickTop="1" x14ac:dyDescent="0.2">
      <c r="A227" s="482"/>
    </row>
    <row r="228" spans="1:5" ht="40.5" customHeight="1" thickBot="1" x14ac:dyDescent="0.25">
      <c r="A228" s="694" t="s">
        <v>817</v>
      </c>
      <c r="B228" s="694"/>
      <c r="C228" s="694"/>
      <c r="D228" s="694"/>
      <c r="E228" s="694"/>
    </row>
    <row r="229" spans="1:5" ht="17.25" thickTop="1" thickBot="1" x14ac:dyDescent="0.25">
      <c r="A229" s="463" t="s">
        <v>136</v>
      </c>
      <c r="B229" s="464" t="s">
        <v>599</v>
      </c>
      <c r="C229" s="464" t="s">
        <v>1</v>
      </c>
      <c r="D229" s="464" t="s">
        <v>556</v>
      </c>
      <c r="E229" s="472" t="s">
        <v>557</v>
      </c>
    </row>
    <row r="230" spans="1:5" ht="14.25" thickTop="1" thickBot="1" x14ac:dyDescent="0.25">
      <c r="A230" s="465" t="s">
        <v>7</v>
      </c>
      <c r="B230" s="466" t="s">
        <v>818</v>
      </c>
      <c r="C230" s="467" t="s">
        <v>819</v>
      </c>
      <c r="D230" s="466">
        <v>2822</v>
      </c>
      <c r="E230" s="474" t="s">
        <v>819</v>
      </c>
    </row>
    <row r="231" spans="1:5" ht="13.5" thickBot="1" x14ac:dyDescent="0.25">
      <c r="A231" s="465" t="s">
        <v>10</v>
      </c>
      <c r="B231" s="466" t="s">
        <v>820</v>
      </c>
      <c r="C231" s="467"/>
      <c r="D231" s="466">
        <v>16924</v>
      </c>
      <c r="E231" s="474" t="s">
        <v>821</v>
      </c>
    </row>
    <row r="232" spans="1:5" ht="13.5" thickBot="1" x14ac:dyDescent="0.25">
      <c r="A232" s="465" t="s">
        <v>11</v>
      </c>
      <c r="B232" s="466" t="s">
        <v>822</v>
      </c>
      <c r="C232" s="467"/>
      <c r="D232" s="466">
        <v>2877</v>
      </c>
      <c r="E232" s="474" t="s">
        <v>821</v>
      </c>
    </row>
    <row r="233" spans="1:5" ht="13.5" thickBot="1" x14ac:dyDescent="0.25">
      <c r="A233" s="465" t="s">
        <v>12</v>
      </c>
      <c r="B233" s="466">
        <v>443</v>
      </c>
      <c r="C233" s="467" t="s">
        <v>823</v>
      </c>
      <c r="D233" s="466">
        <v>17472</v>
      </c>
      <c r="E233" s="474" t="s">
        <v>824</v>
      </c>
    </row>
    <row r="234" spans="1:5" ht="13.5" thickBot="1" x14ac:dyDescent="0.25">
      <c r="A234" s="476" t="s">
        <v>13</v>
      </c>
      <c r="B234" s="477">
        <v>657</v>
      </c>
      <c r="C234" s="483" t="s">
        <v>825</v>
      </c>
      <c r="D234" s="477">
        <v>9597</v>
      </c>
      <c r="E234" s="478" t="s">
        <v>826</v>
      </c>
    </row>
    <row r="235" spans="1:5" ht="13.5" thickBot="1" x14ac:dyDescent="0.25">
      <c r="A235" s="484" t="s">
        <v>14</v>
      </c>
      <c r="B235" s="485"/>
      <c r="C235" s="486" t="s">
        <v>827</v>
      </c>
      <c r="D235" s="485"/>
      <c r="E235" s="487"/>
    </row>
    <row r="236" spans="1:5" ht="13.5" thickBot="1" x14ac:dyDescent="0.25">
      <c r="A236" s="488" t="s">
        <v>15</v>
      </c>
      <c r="B236" s="485"/>
      <c r="C236" s="489" t="s">
        <v>828</v>
      </c>
      <c r="D236" s="485"/>
      <c r="E236" s="490"/>
    </row>
    <row r="237" spans="1:5" x14ac:dyDescent="0.2">
      <c r="A237" s="471"/>
    </row>
    <row r="238" spans="1:5" ht="34.5" customHeight="1" thickBot="1" x14ac:dyDescent="0.25">
      <c r="A238" s="694" t="s">
        <v>829</v>
      </c>
      <c r="B238" s="694"/>
      <c r="C238" s="694"/>
      <c r="D238" s="694"/>
      <c r="E238" s="694"/>
    </row>
    <row r="239" spans="1:5" ht="17.25" thickTop="1" thickBot="1" x14ac:dyDescent="0.25">
      <c r="A239" s="463" t="s">
        <v>136</v>
      </c>
      <c r="B239" s="464" t="s">
        <v>599</v>
      </c>
      <c r="C239" s="464" t="s">
        <v>1</v>
      </c>
      <c r="D239" s="464" t="s">
        <v>556</v>
      </c>
      <c r="E239" s="464" t="s">
        <v>557</v>
      </c>
    </row>
    <row r="240" spans="1:5" ht="39.75" thickTop="1" thickBot="1" x14ac:dyDescent="0.25">
      <c r="A240" s="465" t="s">
        <v>7</v>
      </c>
      <c r="B240" s="466">
        <v>17</v>
      </c>
      <c r="C240" s="467" t="s">
        <v>830</v>
      </c>
      <c r="D240" s="466">
        <v>5933</v>
      </c>
      <c r="E240" s="466" t="s">
        <v>831</v>
      </c>
    </row>
    <row r="241" spans="1:5" ht="20.25" customHeight="1" thickBot="1" x14ac:dyDescent="0.25">
      <c r="A241" s="465" t="s">
        <v>10</v>
      </c>
      <c r="B241" s="466">
        <v>19</v>
      </c>
      <c r="C241" s="467" t="s">
        <v>832</v>
      </c>
      <c r="D241" s="466">
        <v>1953</v>
      </c>
      <c r="E241" s="466" t="s">
        <v>833</v>
      </c>
    </row>
    <row r="242" spans="1:5" ht="18" customHeight="1" thickBot="1" x14ac:dyDescent="0.25">
      <c r="A242" s="465" t="s">
        <v>11</v>
      </c>
      <c r="B242" s="466">
        <v>21</v>
      </c>
      <c r="C242" s="467" t="s">
        <v>834</v>
      </c>
      <c r="D242" s="466">
        <v>1017</v>
      </c>
      <c r="E242" s="466" t="s">
        <v>835</v>
      </c>
    </row>
    <row r="243" spans="1:5" ht="15" customHeight="1" thickBot="1" x14ac:dyDescent="0.25">
      <c r="A243" s="465" t="s">
        <v>12</v>
      </c>
      <c r="B243" s="466">
        <v>22</v>
      </c>
      <c r="C243" s="467" t="s">
        <v>836</v>
      </c>
      <c r="D243" s="466">
        <v>937</v>
      </c>
      <c r="E243" s="466" t="s">
        <v>837</v>
      </c>
    </row>
    <row r="244" spans="1:5" ht="13.5" thickBot="1" x14ac:dyDescent="0.25">
      <c r="A244" s="465" t="s">
        <v>13</v>
      </c>
      <c r="B244" s="491" t="s">
        <v>838</v>
      </c>
      <c r="C244" s="467" t="s">
        <v>839</v>
      </c>
      <c r="D244" s="466">
        <v>3109</v>
      </c>
      <c r="E244" s="466" t="s">
        <v>840</v>
      </c>
    </row>
    <row r="245" spans="1:5" ht="13.5" thickBot="1" x14ac:dyDescent="0.25">
      <c r="A245" s="465" t="s">
        <v>14</v>
      </c>
      <c r="B245" s="466" t="s">
        <v>841</v>
      </c>
      <c r="C245" s="467" t="s">
        <v>842</v>
      </c>
      <c r="D245" s="466">
        <v>2273</v>
      </c>
      <c r="E245" s="466" t="s">
        <v>843</v>
      </c>
    </row>
    <row r="246" spans="1:5" ht="13.5" thickBot="1" x14ac:dyDescent="0.25">
      <c r="A246" s="465" t="s">
        <v>15</v>
      </c>
      <c r="B246" s="466">
        <v>232</v>
      </c>
      <c r="C246" s="467" t="s">
        <v>844</v>
      </c>
      <c r="D246" s="466">
        <v>3665</v>
      </c>
      <c r="E246" s="466" t="s">
        <v>845</v>
      </c>
    </row>
    <row r="247" spans="1:5" ht="13.5" thickBot="1" x14ac:dyDescent="0.25">
      <c r="A247" s="465" t="s">
        <v>16</v>
      </c>
      <c r="B247" s="466">
        <v>431</v>
      </c>
      <c r="C247" s="467" t="s">
        <v>846</v>
      </c>
      <c r="D247" s="466">
        <v>1448</v>
      </c>
      <c r="E247" s="466" t="s">
        <v>847</v>
      </c>
    </row>
    <row r="248" spans="1:5" ht="13.5" thickBot="1" x14ac:dyDescent="0.25">
      <c r="A248" s="465" t="s">
        <v>25</v>
      </c>
      <c r="B248" s="466">
        <v>434</v>
      </c>
      <c r="C248" s="467" t="s">
        <v>848</v>
      </c>
      <c r="D248" s="466">
        <v>5818</v>
      </c>
      <c r="E248" s="466" t="s">
        <v>847</v>
      </c>
    </row>
    <row r="249" spans="1:5" ht="13.5" thickBot="1" x14ac:dyDescent="0.25">
      <c r="A249" s="465" t="s">
        <v>20</v>
      </c>
      <c r="B249" s="466">
        <v>471</v>
      </c>
      <c r="C249" s="467" t="s">
        <v>849</v>
      </c>
      <c r="D249" s="466">
        <v>1484</v>
      </c>
      <c r="E249" s="466" t="s">
        <v>847</v>
      </c>
    </row>
    <row r="250" spans="1:5" ht="13.5" thickBot="1" x14ac:dyDescent="0.25">
      <c r="A250" s="465" t="s">
        <v>21</v>
      </c>
      <c r="B250" s="466">
        <v>473</v>
      </c>
      <c r="C250" s="467" t="s">
        <v>850</v>
      </c>
      <c r="D250" s="466">
        <v>2071</v>
      </c>
      <c r="E250" s="466" t="s">
        <v>847</v>
      </c>
    </row>
    <row r="251" spans="1:5" ht="12.75" customHeight="1" thickBot="1" x14ac:dyDescent="0.25">
      <c r="A251" s="465" t="s">
        <v>22</v>
      </c>
      <c r="B251" s="466">
        <v>591</v>
      </c>
      <c r="C251" s="467" t="s">
        <v>851</v>
      </c>
      <c r="D251" s="466">
        <v>427</v>
      </c>
      <c r="E251" s="466" t="s">
        <v>852</v>
      </c>
    </row>
    <row r="252" spans="1:5" ht="13.5" thickBot="1" x14ac:dyDescent="0.25">
      <c r="A252" s="465" t="s">
        <v>23</v>
      </c>
      <c r="B252" s="466">
        <v>677</v>
      </c>
      <c r="C252" s="467" t="s">
        <v>853</v>
      </c>
      <c r="D252" s="466">
        <v>1954</v>
      </c>
      <c r="E252" s="466" t="s">
        <v>847</v>
      </c>
    </row>
    <row r="253" spans="1:5" ht="13.5" thickBot="1" x14ac:dyDescent="0.25">
      <c r="A253" s="465" t="s">
        <v>24</v>
      </c>
      <c r="B253" s="466">
        <v>780</v>
      </c>
      <c r="C253" s="467" t="s">
        <v>854</v>
      </c>
      <c r="D253" s="466">
        <v>2069</v>
      </c>
      <c r="E253" s="466" t="s">
        <v>847</v>
      </c>
    </row>
    <row r="254" spans="1:5" ht="13.5" thickBot="1" x14ac:dyDescent="0.25">
      <c r="A254" s="465" t="s">
        <v>26</v>
      </c>
      <c r="B254" s="466" t="s">
        <v>855</v>
      </c>
      <c r="C254" s="467" t="s">
        <v>856</v>
      </c>
      <c r="D254" s="466">
        <v>12580</v>
      </c>
      <c r="E254" s="466" t="s">
        <v>821</v>
      </c>
    </row>
    <row r="255" spans="1:5" ht="13.5" thickBot="1" x14ac:dyDescent="0.25">
      <c r="A255" s="465" t="s">
        <v>27</v>
      </c>
      <c r="B255" s="466">
        <v>345</v>
      </c>
      <c r="C255" s="467" t="s">
        <v>857</v>
      </c>
      <c r="D255" s="466">
        <v>2889</v>
      </c>
      <c r="E255" s="466" t="s">
        <v>847</v>
      </c>
    </row>
    <row r="256" spans="1:5" ht="13.5" customHeight="1" thickBot="1" x14ac:dyDescent="0.25">
      <c r="A256" s="465" t="s">
        <v>28</v>
      </c>
      <c r="B256" s="466" t="s">
        <v>858</v>
      </c>
      <c r="C256" s="467" t="s">
        <v>859</v>
      </c>
      <c r="D256" s="466">
        <v>1080</v>
      </c>
      <c r="E256" s="466" t="s">
        <v>859</v>
      </c>
    </row>
    <row r="257" spans="1:5" ht="13.5" customHeight="1" thickBot="1" x14ac:dyDescent="0.25">
      <c r="A257" s="465" t="s">
        <v>29</v>
      </c>
      <c r="B257" s="466">
        <v>711</v>
      </c>
      <c r="C257" s="467" t="s">
        <v>860</v>
      </c>
      <c r="D257" s="466">
        <v>1877</v>
      </c>
      <c r="E257" s="466" t="s">
        <v>861</v>
      </c>
    </row>
    <row r="258" spans="1:5" ht="12.75" customHeight="1" thickBot="1" x14ac:dyDescent="0.25">
      <c r="A258" s="465" t="s">
        <v>30</v>
      </c>
      <c r="B258" s="466">
        <v>712</v>
      </c>
      <c r="C258" s="467" t="s">
        <v>862</v>
      </c>
      <c r="D258" s="466">
        <v>2844</v>
      </c>
      <c r="E258" s="466" t="s">
        <v>861</v>
      </c>
    </row>
    <row r="259" spans="1:5" ht="13.5" customHeight="1" thickBot="1" x14ac:dyDescent="0.25">
      <c r="A259" s="465" t="s">
        <v>31</v>
      </c>
      <c r="B259" s="466">
        <v>1147</v>
      </c>
      <c r="C259" s="467" t="s">
        <v>863</v>
      </c>
      <c r="D259" s="466">
        <v>4489</v>
      </c>
      <c r="E259" s="466" t="s">
        <v>861</v>
      </c>
    </row>
    <row r="260" spans="1:5" ht="24" customHeight="1" thickBot="1" x14ac:dyDescent="0.25">
      <c r="A260" s="465" t="s">
        <v>32</v>
      </c>
      <c r="B260" s="466" t="s">
        <v>864</v>
      </c>
      <c r="C260" s="467" t="s">
        <v>865</v>
      </c>
      <c r="D260" s="466">
        <v>1826</v>
      </c>
      <c r="E260" s="466" t="s">
        <v>866</v>
      </c>
    </row>
    <row r="261" spans="1:5" ht="13.5" thickBot="1" x14ac:dyDescent="0.25">
      <c r="A261" s="465" t="s">
        <v>33</v>
      </c>
      <c r="B261" s="466">
        <v>4026</v>
      </c>
      <c r="C261" s="467" t="s">
        <v>867</v>
      </c>
      <c r="D261" s="466">
        <v>324</v>
      </c>
      <c r="E261" s="466" t="s">
        <v>868</v>
      </c>
    </row>
    <row r="262" spans="1:5" ht="13.5" thickBot="1" x14ac:dyDescent="0.25">
      <c r="A262" s="492"/>
      <c r="B262" s="492"/>
      <c r="C262" s="493"/>
      <c r="D262" s="492"/>
      <c r="E262" s="492"/>
    </row>
    <row r="263" spans="1:5" x14ac:dyDescent="0.2">
      <c r="A263" s="698" t="s">
        <v>869</v>
      </c>
      <c r="B263" s="698"/>
      <c r="C263" s="698"/>
      <c r="D263" s="698"/>
      <c r="E263" s="698"/>
    </row>
    <row r="264" spans="1:5" x14ac:dyDescent="0.2">
      <c r="A264" s="694"/>
      <c r="B264" s="694"/>
      <c r="C264" s="694"/>
      <c r="D264" s="694"/>
      <c r="E264" s="694"/>
    </row>
    <row r="265" spans="1:5" x14ac:dyDescent="0.2">
      <c r="A265" s="461"/>
    </row>
    <row r="266" spans="1:5" ht="13.5" thickBot="1" x14ac:dyDescent="0.25">
      <c r="A266" s="471"/>
    </row>
    <row r="267" spans="1:5" ht="24.75" customHeight="1" thickTop="1" thickBot="1" x14ac:dyDescent="0.25">
      <c r="A267" s="463" t="s">
        <v>136</v>
      </c>
      <c r="B267" s="464" t="s">
        <v>599</v>
      </c>
      <c r="C267" s="464" t="s">
        <v>1</v>
      </c>
      <c r="D267" s="464" t="s">
        <v>556</v>
      </c>
      <c r="E267" s="464" t="s">
        <v>557</v>
      </c>
    </row>
    <row r="268" spans="1:5" ht="14.25" thickTop="1" thickBot="1" x14ac:dyDescent="0.25">
      <c r="A268" s="465" t="s">
        <v>7</v>
      </c>
      <c r="B268" s="466" t="s">
        <v>870</v>
      </c>
      <c r="C268" s="466"/>
      <c r="D268" s="466">
        <v>946</v>
      </c>
      <c r="E268" s="466"/>
    </row>
    <row r="269" spans="1:5" ht="26.25" thickBot="1" x14ac:dyDescent="0.25">
      <c r="A269" s="465" t="s">
        <v>10</v>
      </c>
      <c r="B269" s="466" t="s">
        <v>871</v>
      </c>
      <c r="C269" s="467" t="s">
        <v>872</v>
      </c>
      <c r="D269" s="466">
        <v>1575</v>
      </c>
      <c r="E269" s="466"/>
    </row>
    <row r="270" spans="1:5" ht="13.5" thickBot="1" x14ac:dyDescent="0.25">
      <c r="A270" s="468" t="s">
        <v>11</v>
      </c>
      <c r="B270" s="494" t="s">
        <v>873</v>
      </c>
      <c r="C270" s="469"/>
      <c r="D270" s="469">
        <v>50</v>
      </c>
      <c r="E270" s="495" t="s">
        <v>874</v>
      </c>
    </row>
    <row r="271" spans="1:5" ht="13.5" thickTop="1" x14ac:dyDescent="0.2">
      <c r="A271" s="496"/>
    </row>
    <row r="272" spans="1:5" ht="14.25" customHeight="1" x14ac:dyDescent="0.2">
      <c r="A272" s="699" t="s">
        <v>875</v>
      </c>
      <c r="B272" s="699"/>
      <c r="C272" s="699"/>
      <c r="D272" s="699"/>
      <c r="E272" s="699"/>
    </row>
    <row r="273" spans="1:5" x14ac:dyDescent="0.2">
      <c r="A273" s="699" t="s">
        <v>876</v>
      </c>
      <c r="B273" s="699"/>
      <c r="C273" s="699"/>
      <c r="D273" s="699"/>
      <c r="E273" s="699"/>
    </row>
    <row r="274" spans="1:5" x14ac:dyDescent="0.2">
      <c r="A274" s="461"/>
    </row>
    <row r="275" spans="1:5" ht="13.5" thickBot="1" x14ac:dyDescent="0.25"/>
    <row r="276" spans="1:5" ht="17.25" customHeight="1" thickBot="1" x14ac:dyDescent="0.25">
      <c r="A276" s="497" t="s">
        <v>136</v>
      </c>
      <c r="B276" s="498" t="s">
        <v>599</v>
      </c>
      <c r="C276" s="497" t="s">
        <v>1</v>
      </c>
      <c r="D276" s="497" t="s">
        <v>556</v>
      </c>
      <c r="E276" s="497" t="s">
        <v>557</v>
      </c>
    </row>
    <row r="277" spans="1:5" ht="21" customHeight="1" thickBot="1" x14ac:dyDescent="0.25">
      <c r="A277" s="499" t="s">
        <v>7</v>
      </c>
      <c r="B277" s="499" t="s">
        <v>877</v>
      </c>
      <c r="C277" s="500" t="s">
        <v>878</v>
      </c>
      <c r="D277" s="499">
        <v>1492</v>
      </c>
      <c r="E277" s="499" t="s">
        <v>879</v>
      </c>
    </row>
    <row r="278" spans="1:5" ht="13.5" thickBot="1" x14ac:dyDescent="0.25">
      <c r="A278" s="499" t="s">
        <v>10</v>
      </c>
      <c r="B278" s="499">
        <v>501</v>
      </c>
      <c r="C278" s="500" t="s">
        <v>880</v>
      </c>
      <c r="D278" s="499">
        <v>2441</v>
      </c>
      <c r="E278" s="499"/>
    </row>
    <row r="279" spans="1:5" ht="12" customHeight="1" thickBot="1" x14ac:dyDescent="0.25">
      <c r="A279" s="499" t="s">
        <v>11</v>
      </c>
      <c r="B279" s="499">
        <v>528</v>
      </c>
      <c r="C279" s="500" t="s">
        <v>881</v>
      </c>
      <c r="D279" s="499">
        <v>2131</v>
      </c>
      <c r="E279" s="499" t="s">
        <v>879</v>
      </c>
    </row>
    <row r="280" spans="1:5" ht="13.5" thickBot="1" x14ac:dyDescent="0.25">
      <c r="A280" s="499" t="s">
        <v>12</v>
      </c>
      <c r="B280" s="499" t="s">
        <v>882</v>
      </c>
      <c r="C280" s="500" t="s">
        <v>883</v>
      </c>
      <c r="D280" s="499">
        <v>3020</v>
      </c>
      <c r="E280" s="499" t="s">
        <v>884</v>
      </c>
    </row>
    <row r="281" spans="1:5" ht="13.5" thickBot="1" x14ac:dyDescent="0.25">
      <c r="A281" s="499" t="s">
        <v>13</v>
      </c>
      <c r="B281" s="499" t="s">
        <v>885</v>
      </c>
      <c r="C281" s="500" t="s">
        <v>886</v>
      </c>
      <c r="D281" s="499">
        <v>710</v>
      </c>
      <c r="E281" s="499" t="s">
        <v>847</v>
      </c>
    </row>
    <row r="282" spans="1:5" ht="13.5" thickBot="1" x14ac:dyDescent="0.25">
      <c r="A282" s="499" t="s">
        <v>14</v>
      </c>
      <c r="B282" s="499">
        <v>252</v>
      </c>
      <c r="C282" s="500" t="s">
        <v>887</v>
      </c>
      <c r="D282" s="499">
        <v>1519</v>
      </c>
      <c r="E282" s="499" t="s">
        <v>847</v>
      </c>
    </row>
    <row r="283" spans="1:5" ht="13.5" thickBot="1" x14ac:dyDescent="0.25">
      <c r="A283" s="499" t="s">
        <v>15</v>
      </c>
      <c r="B283" s="499">
        <v>264</v>
      </c>
      <c r="C283" s="500" t="s">
        <v>888</v>
      </c>
      <c r="D283" s="499">
        <v>1380</v>
      </c>
      <c r="E283" s="499" t="s">
        <v>847</v>
      </c>
    </row>
    <row r="284" spans="1:5" ht="13.5" thickBot="1" x14ac:dyDescent="0.25">
      <c r="A284" s="499" t="s">
        <v>16</v>
      </c>
      <c r="B284" s="499">
        <v>265</v>
      </c>
      <c r="C284" s="500" t="s">
        <v>889</v>
      </c>
      <c r="D284" s="499">
        <v>1421</v>
      </c>
      <c r="E284" s="499" t="s">
        <v>847</v>
      </c>
    </row>
    <row r="285" spans="1:5" ht="13.5" thickBot="1" x14ac:dyDescent="0.25">
      <c r="A285" s="499" t="s">
        <v>17</v>
      </c>
      <c r="B285" s="499">
        <v>266</v>
      </c>
      <c r="C285" s="500" t="s">
        <v>890</v>
      </c>
      <c r="D285" s="499">
        <v>1477</v>
      </c>
      <c r="E285" s="499" t="s">
        <v>847</v>
      </c>
    </row>
    <row r="286" spans="1:5" ht="13.5" thickBot="1" x14ac:dyDescent="0.25">
      <c r="A286" s="499" t="s">
        <v>18</v>
      </c>
      <c r="B286" s="499">
        <v>267</v>
      </c>
      <c r="C286" s="500" t="s">
        <v>891</v>
      </c>
      <c r="D286" s="499">
        <v>1446</v>
      </c>
      <c r="E286" s="499" t="s">
        <v>847</v>
      </c>
    </row>
    <row r="287" spans="1:5" ht="13.5" thickBot="1" x14ac:dyDescent="0.25">
      <c r="A287" s="499" t="s">
        <v>19</v>
      </c>
      <c r="B287" s="499">
        <v>268</v>
      </c>
      <c r="C287" s="500" t="s">
        <v>892</v>
      </c>
      <c r="D287" s="499">
        <v>1400</v>
      </c>
      <c r="E287" s="499" t="s">
        <v>847</v>
      </c>
    </row>
    <row r="288" spans="1:5" ht="13.5" thickBot="1" x14ac:dyDescent="0.25">
      <c r="A288" s="499" t="s">
        <v>20</v>
      </c>
      <c r="B288" s="499">
        <v>271</v>
      </c>
      <c r="C288" s="500" t="s">
        <v>893</v>
      </c>
      <c r="D288" s="499">
        <v>1360</v>
      </c>
      <c r="E288" s="499" t="s">
        <v>847</v>
      </c>
    </row>
    <row r="289" spans="1:5" ht="13.5" thickBot="1" x14ac:dyDescent="0.25">
      <c r="A289" s="499" t="s">
        <v>21</v>
      </c>
      <c r="B289" s="499">
        <v>280</v>
      </c>
      <c r="C289" s="500" t="s">
        <v>894</v>
      </c>
      <c r="D289" s="499">
        <v>1442</v>
      </c>
      <c r="E289" s="499" t="s">
        <v>847</v>
      </c>
    </row>
    <row r="290" spans="1:5" ht="13.5" thickBot="1" x14ac:dyDescent="0.25">
      <c r="A290" s="499" t="s">
        <v>22</v>
      </c>
      <c r="B290" s="499">
        <v>282</v>
      </c>
      <c r="C290" s="500" t="s">
        <v>895</v>
      </c>
      <c r="D290" s="499">
        <v>1464</v>
      </c>
      <c r="E290" s="499" t="s">
        <v>847</v>
      </c>
    </row>
    <row r="291" spans="1:5" ht="13.5" thickBot="1" x14ac:dyDescent="0.25">
      <c r="A291" s="499" t="s">
        <v>23</v>
      </c>
      <c r="B291" s="499">
        <v>283</v>
      </c>
      <c r="C291" s="500" t="s">
        <v>896</v>
      </c>
      <c r="D291" s="499">
        <v>1472</v>
      </c>
      <c r="E291" s="499" t="s">
        <v>847</v>
      </c>
    </row>
    <row r="292" spans="1:5" ht="13.5" thickBot="1" x14ac:dyDescent="0.25">
      <c r="A292" s="499" t="s">
        <v>24</v>
      </c>
      <c r="B292" s="499">
        <v>285</v>
      </c>
      <c r="C292" s="500" t="s">
        <v>897</v>
      </c>
      <c r="D292" s="499">
        <v>1328</v>
      </c>
      <c r="E292" s="499" t="s">
        <v>847</v>
      </c>
    </row>
    <row r="293" spans="1:5" ht="13.5" thickBot="1" x14ac:dyDescent="0.25">
      <c r="A293" s="499" t="s">
        <v>25</v>
      </c>
      <c r="B293" s="499">
        <v>287</v>
      </c>
      <c r="C293" s="500" t="s">
        <v>898</v>
      </c>
      <c r="D293" s="499">
        <v>1463</v>
      </c>
      <c r="E293" s="499" t="s">
        <v>847</v>
      </c>
    </row>
    <row r="294" spans="1:5" ht="13.5" thickBot="1" x14ac:dyDescent="0.25">
      <c r="A294" s="499" t="s">
        <v>26</v>
      </c>
      <c r="B294" s="499">
        <v>288</v>
      </c>
      <c r="C294" s="500" t="s">
        <v>899</v>
      </c>
      <c r="D294" s="499">
        <v>1429</v>
      </c>
      <c r="E294" s="499" t="s">
        <v>847</v>
      </c>
    </row>
    <row r="295" spans="1:5" ht="13.5" thickBot="1" x14ac:dyDescent="0.25">
      <c r="A295" s="499" t="s">
        <v>27</v>
      </c>
      <c r="B295" s="499">
        <v>293</v>
      </c>
      <c r="C295" s="500" t="s">
        <v>900</v>
      </c>
      <c r="D295" s="499">
        <v>1558</v>
      </c>
      <c r="E295" s="499" t="s">
        <v>847</v>
      </c>
    </row>
    <row r="296" spans="1:5" ht="13.5" thickBot="1" x14ac:dyDescent="0.25">
      <c r="A296" s="499" t="s">
        <v>28</v>
      </c>
      <c r="B296" s="499">
        <v>294</v>
      </c>
      <c r="C296" s="500" t="s">
        <v>901</v>
      </c>
      <c r="D296" s="499">
        <v>1392</v>
      </c>
      <c r="E296" s="499" t="s">
        <v>847</v>
      </c>
    </row>
    <row r="297" spans="1:5" ht="13.5" thickBot="1" x14ac:dyDescent="0.25">
      <c r="A297" s="499" t="s">
        <v>29</v>
      </c>
      <c r="B297" s="499">
        <v>295</v>
      </c>
      <c r="C297" s="500" t="s">
        <v>902</v>
      </c>
      <c r="D297" s="499">
        <v>1537</v>
      </c>
      <c r="E297" s="499" t="s">
        <v>847</v>
      </c>
    </row>
    <row r="298" spans="1:5" ht="13.5" thickBot="1" x14ac:dyDescent="0.25">
      <c r="A298" s="499" t="s">
        <v>30</v>
      </c>
      <c r="B298" s="499">
        <v>297</v>
      </c>
      <c r="C298" s="500" t="s">
        <v>903</v>
      </c>
      <c r="D298" s="499">
        <v>1456</v>
      </c>
      <c r="E298" s="499" t="s">
        <v>847</v>
      </c>
    </row>
    <row r="299" spans="1:5" ht="13.5" thickBot="1" x14ac:dyDescent="0.25">
      <c r="A299" s="499" t="s">
        <v>31</v>
      </c>
      <c r="B299" s="499">
        <v>298</v>
      </c>
      <c r="C299" s="500" t="s">
        <v>904</v>
      </c>
      <c r="D299" s="499">
        <v>1416</v>
      </c>
      <c r="E299" s="499" t="s">
        <v>847</v>
      </c>
    </row>
    <row r="300" spans="1:5" ht="13.5" thickBot="1" x14ac:dyDescent="0.25">
      <c r="A300" s="499" t="s">
        <v>32</v>
      </c>
      <c r="B300" s="499">
        <v>300</v>
      </c>
      <c r="C300" s="500" t="s">
        <v>905</v>
      </c>
      <c r="D300" s="499">
        <v>1315</v>
      </c>
      <c r="E300" s="499" t="s">
        <v>847</v>
      </c>
    </row>
    <row r="301" spans="1:5" ht="13.5" thickBot="1" x14ac:dyDescent="0.25">
      <c r="A301" s="499" t="s">
        <v>33</v>
      </c>
      <c r="B301" s="499">
        <v>309</v>
      </c>
      <c r="C301" s="500" t="s">
        <v>906</v>
      </c>
      <c r="D301" s="499">
        <v>1566</v>
      </c>
      <c r="E301" s="499" t="s">
        <v>847</v>
      </c>
    </row>
    <row r="302" spans="1:5" ht="13.5" thickBot="1" x14ac:dyDescent="0.25">
      <c r="A302" s="499" t="s">
        <v>34</v>
      </c>
      <c r="B302" s="499">
        <v>310</v>
      </c>
      <c r="C302" s="500" t="s">
        <v>907</v>
      </c>
      <c r="D302" s="499">
        <v>1401</v>
      </c>
      <c r="E302" s="499" t="s">
        <v>847</v>
      </c>
    </row>
    <row r="303" spans="1:5" ht="13.5" thickBot="1" x14ac:dyDescent="0.25">
      <c r="A303" s="499" t="s">
        <v>36</v>
      </c>
      <c r="B303" s="499">
        <v>311</v>
      </c>
      <c r="C303" s="500" t="s">
        <v>908</v>
      </c>
      <c r="D303" s="499">
        <v>1378</v>
      </c>
      <c r="E303" s="499" t="s">
        <v>847</v>
      </c>
    </row>
    <row r="304" spans="1:5" ht="13.5" thickBot="1" x14ac:dyDescent="0.25">
      <c r="A304" s="499" t="s">
        <v>38</v>
      </c>
      <c r="B304" s="499">
        <v>312</v>
      </c>
      <c r="C304" s="500" t="s">
        <v>909</v>
      </c>
      <c r="D304" s="499">
        <v>1487</v>
      </c>
      <c r="E304" s="499" t="s">
        <v>847</v>
      </c>
    </row>
    <row r="305" spans="1:5" ht="13.5" thickBot="1" x14ac:dyDescent="0.25">
      <c r="A305" s="499" t="s">
        <v>41</v>
      </c>
      <c r="B305" s="499">
        <v>313</v>
      </c>
      <c r="C305" s="500" t="s">
        <v>910</v>
      </c>
      <c r="D305" s="499">
        <v>1497</v>
      </c>
      <c r="E305" s="499" t="s">
        <v>847</v>
      </c>
    </row>
    <row r="306" spans="1:5" ht="13.5" thickBot="1" x14ac:dyDescent="0.25">
      <c r="A306" s="499" t="s">
        <v>43</v>
      </c>
      <c r="B306" s="499">
        <v>316</v>
      </c>
      <c r="C306" s="500" t="s">
        <v>911</v>
      </c>
      <c r="D306" s="499">
        <v>1447</v>
      </c>
      <c r="E306" s="499" t="s">
        <v>847</v>
      </c>
    </row>
    <row r="307" spans="1:5" ht="13.5" thickBot="1" x14ac:dyDescent="0.25">
      <c r="A307" s="499" t="s">
        <v>186</v>
      </c>
      <c r="B307" s="499">
        <v>319</v>
      </c>
      <c r="C307" s="500" t="s">
        <v>912</v>
      </c>
      <c r="D307" s="499">
        <v>1450</v>
      </c>
      <c r="E307" s="499" t="s">
        <v>847</v>
      </c>
    </row>
    <row r="308" spans="1:5" ht="13.5" thickBot="1" x14ac:dyDescent="0.25">
      <c r="A308" s="499" t="s">
        <v>187</v>
      </c>
      <c r="B308" s="499">
        <v>323</v>
      </c>
      <c r="C308" s="500" t="s">
        <v>913</v>
      </c>
      <c r="D308" s="499">
        <v>1500</v>
      </c>
      <c r="E308" s="499" t="s">
        <v>847</v>
      </c>
    </row>
    <row r="309" spans="1:5" ht="13.5" thickBot="1" x14ac:dyDescent="0.25">
      <c r="A309" s="499" t="s">
        <v>188</v>
      </c>
      <c r="B309" s="499">
        <v>369</v>
      </c>
      <c r="C309" s="500" t="s">
        <v>914</v>
      </c>
      <c r="D309" s="499">
        <v>1442</v>
      </c>
      <c r="E309" s="499" t="s">
        <v>847</v>
      </c>
    </row>
    <row r="310" spans="1:5" ht="13.5" thickBot="1" x14ac:dyDescent="0.25">
      <c r="A310" s="499" t="s">
        <v>215</v>
      </c>
      <c r="B310" s="499">
        <v>371</v>
      </c>
      <c r="C310" s="500" t="s">
        <v>915</v>
      </c>
      <c r="D310" s="499">
        <v>1400</v>
      </c>
      <c r="E310" s="499" t="s">
        <v>847</v>
      </c>
    </row>
    <row r="311" spans="1:5" ht="13.5" thickBot="1" x14ac:dyDescent="0.25">
      <c r="A311" s="499" t="s">
        <v>216</v>
      </c>
      <c r="B311" s="499">
        <v>391</v>
      </c>
      <c r="C311" s="500" t="s">
        <v>916</v>
      </c>
      <c r="D311" s="499">
        <v>1408</v>
      </c>
      <c r="E311" s="499" t="s">
        <v>847</v>
      </c>
    </row>
    <row r="312" spans="1:5" ht="13.5" thickBot="1" x14ac:dyDescent="0.25">
      <c r="A312" s="499" t="s">
        <v>217</v>
      </c>
      <c r="B312" s="499">
        <v>397</v>
      </c>
      <c r="C312" s="500" t="s">
        <v>917</v>
      </c>
      <c r="D312" s="499">
        <v>1402</v>
      </c>
      <c r="E312" s="499" t="s">
        <v>847</v>
      </c>
    </row>
    <row r="313" spans="1:5" ht="13.5" thickBot="1" x14ac:dyDescent="0.25">
      <c r="A313" s="499" t="s">
        <v>218</v>
      </c>
      <c r="B313" s="499">
        <v>399</v>
      </c>
      <c r="C313" s="500" t="s">
        <v>918</v>
      </c>
      <c r="D313" s="499">
        <v>1466</v>
      </c>
      <c r="E313" s="499" t="s">
        <v>847</v>
      </c>
    </row>
    <row r="314" spans="1:5" ht="13.5" thickBot="1" x14ac:dyDescent="0.25">
      <c r="A314" s="499" t="s">
        <v>219</v>
      </c>
      <c r="B314" s="499">
        <v>400</v>
      </c>
      <c r="C314" s="500" t="s">
        <v>919</v>
      </c>
      <c r="D314" s="499">
        <v>1393</v>
      </c>
      <c r="E314" s="499" t="s">
        <v>847</v>
      </c>
    </row>
    <row r="315" spans="1:5" ht="13.5" thickBot="1" x14ac:dyDescent="0.25">
      <c r="A315" s="499" t="s">
        <v>220</v>
      </c>
      <c r="B315" s="499">
        <v>401</v>
      </c>
      <c r="C315" s="500" t="s">
        <v>920</v>
      </c>
      <c r="D315" s="499">
        <v>1473</v>
      </c>
      <c r="E315" s="499" t="s">
        <v>847</v>
      </c>
    </row>
    <row r="316" spans="1:5" ht="13.5" thickBot="1" x14ac:dyDescent="0.25">
      <c r="A316" s="499" t="s">
        <v>221</v>
      </c>
      <c r="B316" s="499">
        <v>403</v>
      </c>
      <c r="C316" s="500" t="s">
        <v>921</v>
      </c>
      <c r="D316" s="499">
        <v>1462</v>
      </c>
      <c r="E316" s="499" t="s">
        <v>847</v>
      </c>
    </row>
    <row r="317" spans="1:5" ht="13.5" thickBot="1" x14ac:dyDescent="0.25">
      <c r="A317" s="499" t="s">
        <v>222</v>
      </c>
      <c r="B317" s="499">
        <v>404</v>
      </c>
      <c r="C317" s="500" t="s">
        <v>922</v>
      </c>
      <c r="D317" s="499">
        <v>1395</v>
      </c>
      <c r="E317" s="499" t="s">
        <v>847</v>
      </c>
    </row>
    <row r="318" spans="1:5" ht="13.5" thickBot="1" x14ac:dyDescent="0.25">
      <c r="A318" s="499" t="s">
        <v>403</v>
      </c>
      <c r="B318" s="499">
        <v>405</v>
      </c>
      <c r="C318" s="500" t="s">
        <v>923</v>
      </c>
      <c r="D318" s="499">
        <v>1466</v>
      </c>
      <c r="E318" s="499" t="s">
        <v>847</v>
      </c>
    </row>
    <row r="319" spans="1:5" ht="13.5" thickBot="1" x14ac:dyDescent="0.25">
      <c r="A319" s="499" t="s">
        <v>505</v>
      </c>
      <c r="B319" s="499">
        <v>407</v>
      </c>
      <c r="C319" s="500" t="s">
        <v>924</v>
      </c>
      <c r="D319" s="499">
        <v>1522</v>
      </c>
      <c r="E319" s="499" t="s">
        <v>847</v>
      </c>
    </row>
    <row r="320" spans="1:5" ht="13.5" thickBot="1" x14ac:dyDescent="0.25">
      <c r="A320" s="499" t="s">
        <v>507</v>
      </c>
      <c r="B320" s="499">
        <v>409</v>
      </c>
      <c r="C320" s="500" t="s">
        <v>925</v>
      </c>
      <c r="D320" s="499">
        <v>1404</v>
      </c>
      <c r="E320" s="499" t="s">
        <v>847</v>
      </c>
    </row>
    <row r="321" spans="1:5" ht="13.5" thickBot="1" x14ac:dyDescent="0.25">
      <c r="A321" s="499" t="s">
        <v>589</v>
      </c>
      <c r="B321" s="499">
        <v>414</v>
      </c>
      <c r="C321" s="500" t="s">
        <v>926</v>
      </c>
      <c r="D321" s="499">
        <v>1475</v>
      </c>
      <c r="E321" s="499" t="s">
        <v>847</v>
      </c>
    </row>
    <row r="322" spans="1:5" ht="13.5" thickBot="1" x14ac:dyDescent="0.25">
      <c r="A322" s="499" t="s">
        <v>590</v>
      </c>
      <c r="B322" s="499">
        <v>416</v>
      </c>
      <c r="C322" s="500" t="s">
        <v>927</v>
      </c>
      <c r="D322" s="499">
        <v>1413</v>
      </c>
      <c r="E322" s="499" t="s">
        <v>847</v>
      </c>
    </row>
    <row r="323" spans="1:5" ht="13.5" thickBot="1" x14ac:dyDescent="0.25">
      <c r="A323" s="499" t="s">
        <v>591</v>
      </c>
      <c r="B323" s="499">
        <v>419</v>
      </c>
      <c r="C323" s="500" t="s">
        <v>928</v>
      </c>
      <c r="D323" s="499">
        <v>1437</v>
      </c>
      <c r="E323" s="499" t="s">
        <v>847</v>
      </c>
    </row>
    <row r="324" spans="1:5" ht="13.5" thickBot="1" x14ac:dyDescent="0.25">
      <c r="A324" s="499" t="s">
        <v>594</v>
      </c>
      <c r="B324" s="499">
        <v>421</v>
      </c>
      <c r="C324" s="500" t="s">
        <v>929</v>
      </c>
      <c r="D324" s="499">
        <v>1415</v>
      </c>
      <c r="E324" s="499" t="s">
        <v>847</v>
      </c>
    </row>
    <row r="325" spans="1:5" ht="13.5" thickBot="1" x14ac:dyDescent="0.25">
      <c r="A325" s="499" t="s">
        <v>596</v>
      </c>
      <c r="B325" s="499">
        <v>451</v>
      </c>
      <c r="C325" s="500" t="s">
        <v>930</v>
      </c>
      <c r="D325" s="499">
        <v>1455</v>
      </c>
      <c r="E325" s="499" t="s">
        <v>847</v>
      </c>
    </row>
    <row r="326" spans="1:5" ht="13.5" thickBot="1" x14ac:dyDescent="0.25">
      <c r="A326" s="499" t="s">
        <v>635</v>
      </c>
      <c r="B326" s="499">
        <v>452</v>
      </c>
      <c r="C326" s="500" t="s">
        <v>931</v>
      </c>
      <c r="D326" s="499">
        <v>1429</v>
      </c>
      <c r="E326" s="499" t="s">
        <v>847</v>
      </c>
    </row>
    <row r="327" spans="1:5" ht="13.5" thickBot="1" x14ac:dyDescent="0.25">
      <c r="A327" s="499" t="s">
        <v>636</v>
      </c>
      <c r="B327" s="499">
        <v>454</v>
      </c>
      <c r="C327" s="500" t="s">
        <v>932</v>
      </c>
      <c r="D327" s="499">
        <v>1435</v>
      </c>
      <c r="E327" s="499" t="s">
        <v>847</v>
      </c>
    </row>
    <row r="328" spans="1:5" ht="13.5" thickBot="1" x14ac:dyDescent="0.25">
      <c r="A328" s="499" t="s">
        <v>638</v>
      </c>
      <c r="B328" s="499">
        <v>783</v>
      </c>
      <c r="C328" s="500" t="s">
        <v>933</v>
      </c>
      <c r="D328" s="499">
        <v>1078</v>
      </c>
      <c r="E328" s="499" t="s">
        <v>847</v>
      </c>
    </row>
    <row r="329" spans="1:5" ht="13.5" thickBot="1" x14ac:dyDescent="0.25">
      <c r="A329" s="499" t="s">
        <v>640</v>
      </c>
      <c r="B329" s="499">
        <v>774</v>
      </c>
      <c r="C329" s="500" t="s">
        <v>934</v>
      </c>
      <c r="D329" s="499">
        <v>1646</v>
      </c>
      <c r="E329" s="499" t="s">
        <v>847</v>
      </c>
    </row>
    <row r="330" spans="1:5" ht="13.5" thickBot="1" x14ac:dyDescent="0.25">
      <c r="A330" s="499" t="s">
        <v>641</v>
      </c>
      <c r="B330" s="499">
        <v>878</v>
      </c>
      <c r="C330" s="500" t="s">
        <v>935</v>
      </c>
      <c r="D330" s="499">
        <v>663</v>
      </c>
      <c r="E330" s="499" t="s">
        <v>847</v>
      </c>
    </row>
    <row r="331" spans="1:5" ht="13.5" thickBot="1" x14ac:dyDescent="0.25">
      <c r="A331" s="499" t="s">
        <v>643</v>
      </c>
      <c r="B331" s="499">
        <v>926</v>
      </c>
      <c r="C331" s="500" t="s">
        <v>936</v>
      </c>
      <c r="D331" s="499">
        <v>1185</v>
      </c>
      <c r="E331" s="499" t="s">
        <v>847</v>
      </c>
    </row>
    <row r="332" spans="1:5" ht="13.5" thickBot="1" x14ac:dyDescent="0.25">
      <c r="A332" s="499" t="s">
        <v>644</v>
      </c>
      <c r="B332" s="499">
        <v>977</v>
      </c>
      <c r="C332" s="500" t="s">
        <v>937</v>
      </c>
      <c r="D332" s="499">
        <v>1449</v>
      </c>
      <c r="E332" s="499" t="s">
        <v>847</v>
      </c>
    </row>
    <row r="333" spans="1:5" ht="13.5" thickBot="1" x14ac:dyDescent="0.25">
      <c r="A333" s="499">
        <v>59</v>
      </c>
      <c r="B333" s="499" t="s">
        <v>938</v>
      </c>
      <c r="C333" s="500" t="s">
        <v>939</v>
      </c>
      <c r="D333" s="501"/>
      <c r="E333" s="499"/>
    </row>
    <row r="334" spans="1:5" x14ac:dyDescent="0.2">
      <c r="A334" s="492"/>
      <c r="B334" s="492"/>
      <c r="C334" s="493"/>
      <c r="D334" s="502"/>
      <c r="E334" s="492"/>
    </row>
    <row r="335" spans="1:5" x14ac:dyDescent="0.2">
      <c r="A335" s="503"/>
      <c r="B335" s="503"/>
      <c r="C335" s="503"/>
      <c r="D335" s="503"/>
      <c r="E335" s="503"/>
    </row>
    <row r="336" spans="1:5" x14ac:dyDescent="0.2">
      <c r="A336" s="699" t="s">
        <v>940</v>
      </c>
      <c r="B336" s="699"/>
      <c r="C336" s="699"/>
      <c r="D336" s="699"/>
      <c r="E336" s="699"/>
    </row>
    <row r="337" spans="1:5" x14ac:dyDescent="0.2">
      <c r="A337" s="461"/>
      <c r="B337" s="461"/>
      <c r="C337" s="461"/>
      <c r="D337" s="461"/>
      <c r="E337" s="461"/>
    </row>
    <row r="338" spans="1:5" ht="13.5" thickBot="1" x14ac:dyDescent="0.25"/>
    <row r="339" spans="1:5" ht="21.75" customHeight="1" thickBot="1" x14ac:dyDescent="0.25">
      <c r="A339" s="504" t="s">
        <v>136</v>
      </c>
      <c r="B339" s="505" t="s">
        <v>599</v>
      </c>
      <c r="C339" s="505" t="s">
        <v>1</v>
      </c>
      <c r="D339" s="505" t="s">
        <v>941</v>
      </c>
      <c r="E339" s="505" t="s">
        <v>557</v>
      </c>
    </row>
    <row r="340" spans="1:5" ht="13.5" thickBot="1" x14ac:dyDescent="0.25">
      <c r="A340" s="465" t="s">
        <v>7</v>
      </c>
      <c r="B340" s="466" t="s">
        <v>942</v>
      </c>
      <c r="C340" s="466"/>
      <c r="D340" s="466">
        <v>3072</v>
      </c>
      <c r="E340" s="466" t="s">
        <v>943</v>
      </c>
    </row>
    <row r="341" spans="1:5" ht="13.5" thickBot="1" x14ac:dyDescent="0.25">
      <c r="A341" s="465" t="s">
        <v>10</v>
      </c>
      <c r="B341" s="466" t="s">
        <v>944</v>
      </c>
      <c r="C341" s="466"/>
      <c r="D341" s="466">
        <v>14000</v>
      </c>
      <c r="E341" s="466" t="s">
        <v>945</v>
      </c>
    </row>
    <row r="342" spans="1:5" ht="13.5" thickBot="1" x14ac:dyDescent="0.25">
      <c r="A342" s="465" t="s">
        <v>11</v>
      </c>
      <c r="B342" s="466" t="s">
        <v>946</v>
      </c>
      <c r="C342" s="466"/>
      <c r="D342" s="466">
        <v>74062</v>
      </c>
      <c r="E342" s="466" t="s">
        <v>943</v>
      </c>
    </row>
    <row r="343" spans="1:5" ht="13.5" thickBot="1" x14ac:dyDescent="0.25">
      <c r="A343" s="465" t="s">
        <v>13</v>
      </c>
      <c r="B343" s="466" t="s">
        <v>947</v>
      </c>
      <c r="C343" s="466"/>
      <c r="D343" s="466">
        <v>2742</v>
      </c>
      <c r="E343" s="466" t="s">
        <v>943</v>
      </c>
    </row>
    <row r="344" spans="1:5" ht="13.5" thickBot="1" x14ac:dyDescent="0.25">
      <c r="A344" s="465" t="s">
        <v>14</v>
      </c>
      <c r="B344" s="466" t="s">
        <v>948</v>
      </c>
      <c r="C344" s="466"/>
      <c r="D344" s="466">
        <v>9614</v>
      </c>
      <c r="E344" s="466" t="s">
        <v>943</v>
      </c>
    </row>
    <row r="345" spans="1:5" x14ac:dyDescent="0.2">
      <c r="A345" s="492"/>
      <c r="B345" s="492"/>
      <c r="C345" s="492"/>
      <c r="D345" s="492"/>
      <c r="E345" s="492"/>
    </row>
    <row r="346" spans="1:5" ht="13.5" x14ac:dyDescent="0.2">
      <c r="A346" s="482"/>
    </row>
    <row r="347" spans="1:5" ht="13.5" x14ac:dyDescent="0.25">
      <c r="A347" s="700" t="s">
        <v>949</v>
      </c>
      <c r="B347" s="701"/>
      <c r="C347" s="701"/>
      <c r="D347" s="582">
        <v>518</v>
      </c>
    </row>
    <row r="348" spans="1:5" ht="13.5" x14ac:dyDescent="0.2">
      <c r="A348" s="506" t="s">
        <v>950</v>
      </c>
      <c r="D348" s="583">
        <v>1896874</v>
      </c>
    </row>
    <row r="349" spans="1:5" ht="13.5" x14ac:dyDescent="0.2">
      <c r="A349" s="506" t="s">
        <v>1058</v>
      </c>
      <c r="D349" s="584"/>
    </row>
    <row r="350" spans="1:5" ht="13.5" x14ac:dyDescent="0.25">
      <c r="A350" s="506" t="s">
        <v>951</v>
      </c>
      <c r="D350" s="585">
        <v>82320</v>
      </c>
    </row>
    <row r="351" spans="1:5" ht="30" customHeight="1" x14ac:dyDescent="0.2">
      <c r="A351" s="702" t="s">
        <v>1059</v>
      </c>
      <c r="B351" s="702"/>
      <c r="C351" s="702"/>
    </row>
    <row r="352" spans="1:5" ht="19.5" customHeight="1" x14ac:dyDescent="0.2">
      <c r="A352" s="507"/>
      <c r="B352" s="507"/>
      <c r="C352" s="507"/>
    </row>
    <row r="353" spans="1:5" s="508" customFormat="1" ht="13.5" x14ac:dyDescent="0.2">
      <c r="A353" s="703" t="s">
        <v>952</v>
      </c>
      <c r="B353" s="703"/>
      <c r="C353" s="703"/>
      <c r="D353" s="703"/>
      <c r="E353" s="703"/>
    </row>
    <row r="354" spans="1:5" x14ac:dyDescent="0.2">
      <c r="A354" s="471"/>
    </row>
    <row r="355" spans="1:5" x14ac:dyDescent="0.2">
      <c r="A355" s="697" t="s">
        <v>953</v>
      </c>
      <c r="B355" s="697"/>
      <c r="D355" s="586">
        <v>5193</v>
      </c>
    </row>
    <row r="356" spans="1:5" x14ac:dyDescent="0.2">
      <c r="A356" s="697" t="s">
        <v>954</v>
      </c>
      <c r="B356" s="697"/>
      <c r="D356" s="586">
        <v>1499</v>
      </c>
    </row>
    <row r="357" spans="1:5" ht="12.75" customHeight="1" x14ac:dyDescent="0.2">
      <c r="A357" s="697" t="s">
        <v>955</v>
      </c>
      <c r="B357" s="697"/>
      <c r="D357" s="586">
        <v>4278</v>
      </c>
    </row>
    <row r="358" spans="1:5" x14ac:dyDescent="0.2">
      <c r="A358" s="697" t="s">
        <v>1051</v>
      </c>
      <c r="B358" s="697"/>
      <c r="D358" s="586">
        <v>376012</v>
      </c>
    </row>
    <row r="359" spans="1:5" x14ac:dyDescent="0.2">
      <c r="A359" s="510" t="s">
        <v>956</v>
      </c>
      <c r="B359" s="510"/>
      <c r="D359" s="586" t="s">
        <v>957</v>
      </c>
    </row>
    <row r="360" spans="1:5" x14ac:dyDescent="0.2">
      <c r="A360" s="510" t="s">
        <v>1052</v>
      </c>
      <c r="B360" s="510"/>
      <c r="D360" s="586">
        <v>1958</v>
      </c>
    </row>
    <row r="361" spans="1:5" x14ac:dyDescent="0.2">
      <c r="A361" s="510" t="s">
        <v>1054</v>
      </c>
      <c r="B361" s="510"/>
      <c r="D361" s="586">
        <v>310</v>
      </c>
    </row>
    <row r="362" spans="1:5" ht="13.5" x14ac:dyDescent="0.2">
      <c r="A362" s="510" t="s">
        <v>1053</v>
      </c>
      <c r="B362" s="510"/>
      <c r="D362" s="583">
        <f>SUM(D355:D361)</f>
        <v>389250</v>
      </c>
    </row>
    <row r="363" spans="1:5" ht="13.5" x14ac:dyDescent="0.2">
      <c r="A363" s="591"/>
      <c r="B363" s="591"/>
      <c r="D363" s="583"/>
    </row>
    <row r="364" spans="1:5" ht="13.5" x14ac:dyDescent="0.2">
      <c r="A364" s="591"/>
      <c r="B364" s="591"/>
      <c r="D364" s="583"/>
    </row>
    <row r="365" spans="1:5" x14ac:dyDescent="0.2">
      <c r="A365" s="510"/>
      <c r="B365" s="510"/>
      <c r="D365" s="509"/>
    </row>
    <row r="366" spans="1:5" ht="14.25" thickBot="1" x14ac:dyDescent="0.25">
      <c r="A366" s="703" t="s">
        <v>958</v>
      </c>
      <c r="B366" s="703"/>
      <c r="C366" s="703"/>
      <c r="D366" s="703"/>
      <c r="E366" s="703"/>
    </row>
    <row r="367" spans="1:5" ht="15" thickTop="1" thickBot="1" x14ac:dyDescent="0.25">
      <c r="A367" s="511"/>
      <c r="B367" s="512" t="s">
        <v>46</v>
      </c>
      <c r="C367" s="513" t="s">
        <v>959</v>
      </c>
    </row>
    <row r="368" spans="1:5" ht="14.25" thickBot="1" x14ac:dyDescent="0.25">
      <c r="A368" s="511"/>
      <c r="B368" s="514" t="s">
        <v>960</v>
      </c>
      <c r="C368" s="515">
        <v>190</v>
      </c>
    </row>
    <row r="369" spans="1:5" ht="31.5" customHeight="1" x14ac:dyDescent="0.2">
      <c r="A369" s="704"/>
      <c r="B369" s="705" t="s">
        <v>961</v>
      </c>
      <c r="C369" s="706"/>
    </row>
    <row r="370" spans="1:5" ht="20.25" customHeight="1" x14ac:dyDescent="0.2">
      <c r="A370" s="704"/>
      <c r="B370" s="707" t="s">
        <v>1060</v>
      </c>
      <c r="C370" s="708"/>
    </row>
    <row r="371" spans="1:5" ht="22.5" customHeight="1" thickBot="1" x14ac:dyDescent="0.25">
      <c r="A371" s="704"/>
      <c r="B371" s="709" t="s">
        <v>1061</v>
      </c>
      <c r="C371" s="710"/>
    </row>
    <row r="372" spans="1:5" ht="18" customHeight="1" thickBot="1" x14ac:dyDescent="0.25">
      <c r="A372" s="704"/>
      <c r="B372" s="705" t="s">
        <v>962</v>
      </c>
      <c r="C372" s="706"/>
    </row>
    <row r="373" spans="1:5" ht="20.25" customHeight="1" thickBot="1" x14ac:dyDescent="0.3">
      <c r="A373" s="704"/>
      <c r="B373" s="711" t="s">
        <v>1062</v>
      </c>
      <c r="C373" s="712"/>
      <c r="D373" s="580">
        <v>3190</v>
      </c>
    </row>
    <row r="374" spans="1:5" x14ac:dyDescent="0.2">
      <c r="A374" s="516"/>
    </row>
    <row r="375" spans="1:5" s="517" customFormat="1" ht="25.5" customHeight="1" x14ac:dyDescent="0.2">
      <c r="A375" s="713" t="s">
        <v>963</v>
      </c>
      <c r="B375" s="713"/>
      <c r="C375" s="713"/>
      <c r="D375" s="588">
        <f>D347+D348+D350+D362+D373</f>
        <v>2372152</v>
      </c>
    </row>
    <row r="376" spans="1:5" s="517" customFormat="1" ht="25.5" customHeight="1" x14ac:dyDescent="0.2">
      <c r="A376" s="714" t="s">
        <v>1057</v>
      </c>
      <c r="B376" s="714"/>
      <c r="C376" s="714"/>
      <c r="D376" s="587">
        <v>1020</v>
      </c>
    </row>
    <row r="377" spans="1:5" s="517" customFormat="1" ht="21.75" customHeight="1" x14ac:dyDescent="0.2">
      <c r="A377" s="714" t="s">
        <v>964</v>
      </c>
      <c r="B377" s="714"/>
      <c r="C377" s="714"/>
      <c r="D377" s="587">
        <v>3130</v>
      </c>
    </row>
    <row r="378" spans="1:5" s="517" customFormat="1" ht="16.5" customHeight="1" x14ac:dyDescent="0.2">
      <c r="A378" s="715" t="s">
        <v>966</v>
      </c>
      <c r="B378" s="715"/>
      <c r="C378" s="715"/>
      <c r="D378" s="589"/>
    </row>
    <row r="379" spans="1:5" x14ac:dyDescent="0.2">
      <c r="A379" s="516"/>
      <c r="D379" s="590"/>
    </row>
    <row r="380" spans="1:5" ht="13.5" x14ac:dyDescent="0.2">
      <c r="A380" s="703" t="s">
        <v>967</v>
      </c>
      <c r="B380" s="703"/>
      <c r="C380" s="703"/>
      <c r="D380" s="587">
        <v>462438</v>
      </c>
      <c r="E380" s="517"/>
    </row>
    <row r="381" spans="1:5" ht="6.75" customHeight="1" x14ac:dyDescent="0.2">
      <c r="A381" s="462"/>
    </row>
    <row r="382" spans="1:5" ht="13.5" x14ac:dyDescent="0.2">
      <c r="A382" s="703" t="s">
        <v>968</v>
      </c>
      <c r="B382" s="703"/>
      <c r="C382" s="518">
        <v>228</v>
      </c>
    </row>
    <row r="383" spans="1:5" ht="13.5" x14ac:dyDescent="0.2">
      <c r="A383" s="703" t="s">
        <v>969</v>
      </c>
      <c r="B383" s="703"/>
      <c r="C383" s="518">
        <v>462210</v>
      </c>
    </row>
    <row r="384" spans="1:5" ht="13.5" x14ac:dyDescent="0.2">
      <c r="A384" s="703" t="s">
        <v>970</v>
      </c>
      <c r="B384" s="703"/>
      <c r="D384" s="592">
        <f>+C385+C386+C387+C388+C389</f>
        <v>28670</v>
      </c>
      <c r="E384" s="517"/>
    </row>
    <row r="385" spans="1:6" x14ac:dyDescent="0.2">
      <c r="A385" s="716" t="s">
        <v>971</v>
      </c>
      <c r="B385" s="716"/>
      <c r="C385" s="518">
        <v>19443</v>
      </c>
      <c r="D385" s="593"/>
    </row>
    <row r="386" spans="1:6" x14ac:dyDescent="0.2">
      <c r="A386" s="716" t="s">
        <v>972</v>
      </c>
      <c r="B386" s="716"/>
      <c r="C386" s="518">
        <v>1638</v>
      </c>
      <c r="D386" s="593"/>
    </row>
    <row r="387" spans="1:6" ht="26.25" customHeight="1" x14ac:dyDescent="0.2">
      <c r="A387" s="717" t="s">
        <v>973</v>
      </c>
      <c r="B387" s="717"/>
      <c r="C387" s="518">
        <v>358</v>
      </c>
      <c r="D387" s="593"/>
    </row>
    <row r="388" spans="1:6" x14ac:dyDescent="0.2">
      <c r="A388" s="716" t="s">
        <v>974</v>
      </c>
      <c r="B388" s="716"/>
      <c r="C388" s="518">
        <v>1228</v>
      </c>
      <c r="D388" s="593"/>
    </row>
    <row r="389" spans="1:6" x14ac:dyDescent="0.2">
      <c r="A389" s="716" t="s">
        <v>975</v>
      </c>
      <c r="B389" s="716"/>
      <c r="C389" s="518">
        <v>6003</v>
      </c>
      <c r="D389" s="593"/>
    </row>
    <row r="390" spans="1:6" x14ac:dyDescent="0.2">
      <c r="A390" s="519"/>
      <c r="B390" s="519"/>
      <c r="C390" s="518"/>
      <c r="D390" s="593"/>
    </row>
    <row r="391" spans="1:6" ht="13.5" x14ac:dyDescent="0.2">
      <c r="A391" s="703" t="s">
        <v>976</v>
      </c>
      <c r="B391" s="703"/>
      <c r="C391" s="518"/>
      <c r="D391" s="594">
        <v>147</v>
      </c>
      <c r="E391" s="460" t="s">
        <v>965</v>
      </c>
    </row>
    <row r="392" spans="1:6" x14ac:dyDescent="0.2">
      <c r="A392" s="516"/>
      <c r="D392" s="593"/>
      <c r="E392" s="516"/>
    </row>
    <row r="393" spans="1:6" ht="24" customHeight="1" x14ac:dyDescent="0.2">
      <c r="A393" s="718" t="s">
        <v>977</v>
      </c>
      <c r="B393" s="718"/>
      <c r="D393" s="594">
        <v>-36</v>
      </c>
      <c r="E393" s="517" t="s">
        <v>978</v>
      </c>
    </row>
    <row r="394" spans="1:6" ht="13.5" x14ac:dyDescent="0.2">
      <c r="A394" s="482"/>
      <c r="D394" s="593"/>
    </row>
    <row r="395" spans="1:6" ht="15.75" x14ac:dyDescent="0.25">
      <c r="A395" s="696" t="s">
        <v>979</v>
      </c>
      <c r="B395" s="696"/>
      <c r="C395" s="696"/>
      <c r="D395" s="595">
        <f>+D375+D377+D380+D384+D393+D391+D376</f>
        <v>2867521</v>
      </c>
      <c r="E395" s="520" t="s">
        <v>965</v>
      </c>
      <c r="F395" s="143"/>
    </row>
    <row r="396" spans="1:6" ht="13.5" x14ac:dyDescent="0.2">
      <c r="A396" s="703" t="s">
        <v>980</v>
      </c>
      <c r="B396" s="703"/>
      <c r="D396" s="594">
        <f>C397+C398+C399+C400+C401</f>
        <v>913812</v>
      </c>
      <c r="E396" s="517" t="s">
        <v>965</v>
      </c>
    </row>
    <row r="397" spans="1:6" x14ac:dyDescent="0.2">
      <c r="A397" s="716" t="s">
        <v>981</v>
      </c>
      <c r="B397" s="716"/>
      <c r="C397" s="522">
        <v>959721</v>
      </c>
    </row>
    <row r="398" spans="1:6" x14ac:dyDescent="0.2">
      <c r="A398" s="519" t="s">
        <v>982</v>
      </c>
      <c r="B398" s="523"/>
      <c r="C398" s="522">
        <v>-3234</v>
      </c>
    </row>
    <row r="399" spans="1:6" ht="25.5" customHeight="1" x14ac:dyDescent="0.2">
      <c r="A399" s="720" t="s">
        <v>983</v>
      </c>
      <c r="B399" s="720"/>
      <c r="C399" s="518">
        <v>63665</v>
      </c>
    </row>
    <row r="400" spans="1:6" ht="13.5" x14ac:dyDescent="0.2">
      <c r="A400" s="716" t="s">
        <v>984</v>
      </c>
      <c r="B400" s="716"/>
      <c r="C400" s="518">
        <v>-301905</v>
      </c>
      <c r="E400" s="524"/>
    </row>
    <row r="401" spans="1:6" x14ac:dyDescent="0.2">
      <c r="A401" s="716" t="s">
        <v>985</v>
      </c>
      <c r="B401" s="716"/>
      <c r="C401" s="518">
        <v>195565</v>
      </c>
    </row>
    <row r="402" spans="1:6" ht="13.5" x14ac:dyDescent="0.2">
      <c r="A402" s="703" t="s">
        <v>986</v>
      </c>
      <c r="B402" s="703"/>
      <c r="D402" s="594">
        <f>C403+C404+C405+C406</f>
        <v>125980</v>
      </c>
      <c r="E402" s="517" t="s">
        <v>965</v>
      </c>
    </row>
    <row r="403" spans="1:6" x14ac:dyDescent="0.2">
      <c r="A403" s="716" t="s">
        <v>987</v>
      </c>
      <c r="B403" s="716"/>
      <c r="C403" s="518">
        <v>2897</v>
      </c>
      <c r="D403" s="517"/>
      <c r="E403" s="517"/>
    </row>
    <row r="404" spans="1:6" ht="13.5" x14ac:dyDescent="0.2">
      <c r="A404" s="519" t="s">
        <v>988</v>
      </c>
      <c r="B404" s="506"/>
      <c r="C404" s="518">
        <v>39599</v>
      </c>
      <c r="D404" s="517"/>
      <c r="E404" s="517"/>
    </row>
    <row r="405" spans="1:6" ht="22.5" customHeight="1" x14ac:dyDescent="0.2">
      <c r="A405" s="717" t="s">
        <v>989</v>
      </c>
      <c r="B405" s="717"/>
      <c r="C405" s="518">
        <v>5539</v>
      </c>
    </row>
    <row r="406" spans="1:6" x14ac:dyDescent="0.2">
      <c r="A406" s="721" t="s">
        <v>1063</v>
      </c>
      <c r="B406" s="721"/>
      <c r="C406" s="460">
        <v>77945</v>
      </c>
      <c r="D406" s="516"/>
      <c r="E406" s="516"/>
    </row>
    <row r="407" spans="1:6" ht="13.5" x14ac:dyDescent="0.2">
      <c r="A407" s="719" t="s">
        <v>990</v>
      </c>
      <c r="B407" s="719"/>
      <c r="D407" s="594">
        <f>C408+C409</f>
        <v>1827729</v>
      </c>
      <c r="E407" s="517" t="s">
        <v>965</v>
      </c>
    </row>
    <row r="408" spans="1:6" ht="21" customHeight="1" x14ac:dyDescent="0.2">
      <c r="A408" s="717" t="s">
        <v>991</v>
      </c>
      <c r="B408" s="717"/>
      <c r="C408" s="518">
        <v>7447</v>
      </c>
      <c r="D408" s="593"/>
      <c r="E408" s="516"/>
    </row>
    <row r="409" spans="1:6" ht="21.75" customHeight="1" x14ac:dyDescent="0.2">
      <c r="A409" s="717" t="s">
        <v>992</v>
      </c>
      <c r="B409" s="717"/>
      <c r="C409" s="518">
        <v>1820282</v>
      </c>
      <c r="D409" s="593"/>
    </row>
    <row r="410" spans="1:6" x14ac:dyDescent="0.2">
      <c r="A410" s="516"/>
      <c r="D410" s="596"/>
    </row>
    <row r="411" spans="1:6" ht="15.75" x14ac:dyDescent="0.25">
      <c r="A411" s="696" t="s">
        <v>993</v>
      </c>
      <c r="B411" s="696"/>
      <c r="C411" s="696"/>
      <c r="D411" s="597">
        <f>+D396+D402+D407</f>
        <v>2867521</v>
      </c>
      <c r="E411" s="520" t="s">
        <v>965</v>
      </c>
      <c r="F411" s="143"/>
    </row>
    <row r="412" spans="1:6" ht="13.5" x14ac:dyDescent="0.2">
      <c r="A412" s="482"/>
    </row>
    <row r="413" spans="1:6" ht="13.5" x14ac:dyDescent="0.2">
      <c r="A413" s="482"/>
    </row>
    <row r="414" spans="1:6" ht="13.5" x14ac:dyDescent="0.2">
      <c r="A414" s="482"/>
    </row>
    <row r="415" spans="1:6" x14ac:dyDescent="0.2">
      <c r="A415" s="516"/>
    </row>
    <row r="416" spans="1:6" x14ac:dyDescent="0.2">
      <c r="A416" s="516"/>
    </row>
    <row r="417" spans="1:5" x14ac:dyDescent="0.2">
      <c r="A417" s="516"/>
    </row>
    <row r="418" spans="1:5" ht="13.5" x14ac:dyDescent="0.2">
      <c r="A418" s="524"/>
    </row>
    <row r="419" spans="1:5" ht="13.5" x14ac:dyDescent="0.2">
      <c r="A419" s="524"/>
    </row>
    <row r="420" spans="1:5" x14ac:dyDescent="0.2">
      <c r="A420" s="525"/>
    </row>
    <row r="421" spans="1:5" x14ac:dyDescent="0.2">
      <c r="A421" s="526"/>
      <c r="C421" s="526"/>
    </row>
    <row r="422" spans="1:5" x14ac:dyDescent="0.2">
      <c r="B422" s="526"/>
      <c r="C422" s="526"/>
    </row>
    <row r="423" spans="1:5" x14ac:dyDescent="0.2">
      <c r="A423" s="526"/>
    </row>
    <row r="424" spans="1:5" x14ac:dyDescent="0.2">
      <c r="A424" s="527"/>
    </row>
    <row r="425" spans="1:5" x14ac:dyDescent="0.2">
      <c r="A425" s="526"/>
    </row>
    <row r="426" spans="1:5" x14ac:dyDescent="0.2">
      <c r="A426" s="516"/>
    </row>
    <row r="427" spans="1:5" x14ac:dyDescent="0.2">
      <c r="A427" s="527"/>
    </row>
    <row r="428" spans="1:5" x14ac:dyDescent="0.2">
      <c r="A428" s="527"/>
    </row>
    <row r="429" spans="1:5" x14ac:dyDescent="0.2">
      <c r="A429" s="527"/>
    </row>
    <row r="430" spans="1:5" x14ac:dyDescent="0.2">
      <c r="A430" s="528"/>
    </row>
    <row r="431" spans="1:5" x14ac:dyDescent="0.2">
      <c r="A431" s="528"/>
      <c r="E431" s="528"/>
    </row>
    <row r="432" spans="1:5" ht="13.5" x14ac:dyDescent="0.2">
      <c r="A432" s="524"/>
    </row>
    <row r="433" spans="1:5" x14ac:dyDescent="0.2">
      <c r="A433" s="528"/>
      <c r="C433" s="528"/>
      <c r="E433" s="528"/>
    </row>
    <row r="434" spans="1:5" x14ac:dyDescent="0.2">
      <c r="A434" s="528"/>
    </row>
    <row r="435" spans="1:5" x14ac:dyDescent="0.2">
      <c r="A435" s="528"/>
    </row>
    <row r="436" spans="1:5" x14ac:dyDescent="0.2">
      <c r="A436" s="528"/>
    </row>
    <row r="437" spans="1:5" x14ac:dyDescent="0.2">
      <c r="A437" s="528"/>
      <c r="B437" s="528"/>
    </row>
    <row r="438" spans="1:5" x14ac:dyDescent="0.2">
      <c r="A438" s="528"/>
      <c r="B438" s="528"/>
    </row>
    <row r="439" spans="1:5" x14ac:dyDescent="0.2">
      <c r="A439" s="528"/>
    </row>
    <row r="440" spans="1:5" ht="13.5" x14ac:dyDescent="0.2">
      <c r="A440" s="524"/>
      <c r="E440" s="524"/>
    </row>
    <row r="441" spans="1:5" x14ac:dyDescent="0.2">
      <c r="A441" s="525"/>
    </row>
    <row r="442" spans="1:5" ht="13.5" x14ac:dyDescent="0.2">
      <c r="A442" s="524"/>
    </row>
    <row r="443" spans="1:5" x14ac:dyDescent="0.2">
      <c r="A443" s="528"/>
    </row>
    <row r="444" spans="1:5" x14ac:dyDescent="0.2">
      <c r="A444" s="528"/>
    </row>
    <row r="445" spans="1:5" ht="13.5" x14ac:dyDescent="0.2">
      <c r="A445" s="524"/>
    </row>
    <row r="446" spans="1:5" ht="13.5" x14ac:dyDescent="0.2">
      <c r="A446" s="524"/>
    </row>
    <row r="447" spans="1:5" ht="13.5" x14ac:dyDescent="0.2">
      <c r="A447" s="524"/>
    </row>
    <row r="448" spans="1:5" ht="13.5" x14ac:dyDescent="0.2">
      <c r="A448" s="524"/>
    </row>
    <row r="449" spans="1:5" ht="13.5" x14ac:dyDescent="0.2">
      <c r="A449" s="529"/>
    </row>
    <row r="450" spans="1:5" x14ac:dyDescent="0.2">
      <c r="A450" s="528"/>
    </row>
    <row r="451" spans="1:5" x14ac:dyDescent="0.2">
      <c r="A451" s="528"/>
    </row>
    <row r="452" spans="1:5" x14ac:dyDescent="0.2">
      <c r="A452" s="521"/>
    </row>
    <row r="453" spans="1:5" x14ac:dyDescent="0.2">
      <c r="A453" s="521"/>
      <c r="D453" s="521"/>
    </row>
    <row r="454" spans="1:5" x14ac:dyDescent="0.2">
      <c r="A454" s="521"/>
      <c r="B454" s="521"/>
      <c r="C454" s="521"/>
    </row>
    <row r="455" spans="1:5" x14ac:dyDescent="0.2">
      <c r="A455" s="528"/>
    </row>
    <row r="456" spans="1:5" x14ac:dyDescent="0.2">
      <c r="A456" s="528"/>
    </row>
    <row r="457" spans="1:5" x14ac:dyDescent="0.2">
      <c r="A457" s="528"/>
    </row>
    <row r="458" spans="1:5" ht="13.5" x14ac:dyDescent="0.2">
      <c r="A458" s="524"/>
      <c r="E458" s="524"/>
    </row>
    <row r="459" spans="1:5" x14ac:dyDescent="0.2">
      <c r="A459" s="530"/>
    </row>
    <row r="460" spans="1:5" x14ac:dyDescent="0.2">
      <c r="A460" s="525"/>
    </row>
    <row r="461" spans="1:5" x14ac:dyDescent="0.2">
      <c r="A461" s="525"/>
    </row>
    <row r="462" spans="1:5" x14ac:dyDescent="0.2">
      <c r="A462" s="528"/>
    </row>
  </sheetData>
  <mergeCells count="54">
    <mergeCell ref="A407:B407"/>
    <mergeCell ref="A408:B408"/>
    <mergeCell ref="A409:B409"/>
    <mergeCell ref="A411:C411"/>
    <mergeCell ref="A399:B399"/>
    <mergeCell ref="A400:B400"/>
    <mergeCell ref="A401:B401"/>
    <mergeCell ref="A402:B402"/>
    <mergeCell ref="A403:B403"/>
    <mergeCell ref="A405:B405"/>
    <mergeCell ref="A406:B406"/>
    <mergeCell ref="A397:B397"/>
    <mergeCell ref="A384:B384"/>
    <mergeCell ref="A385:B385"/>
    <mergeCell ref="A386:B386"/>
    <mergeCell ref="A387:B387"/>
    <mergeCell ref="A388:B388"/>
    <mergeCell ref="A389:B389"/>
    <mergeCell ref="A391:B391"/>
    <mergeCell ref="A393:B393"/>
    <mergeCell ref="A395:C395"/>
    <mergeCell ref="A396:B396"/>
    <mergeCell ref="A383:B383"/>
    <mergeCell ref="A366:E366"/>
    <mergeCell ref="A369:A373"/>
    <mergeCell ref="B369:C369"/>
    <mergeCell ref="B370:C370"/>
    <mergeCell ref="B371:C371"/>
    <mergeCell ref="B372:C372"/>
    <mergeCell ref="B373:C373"/>
    <mergeCell ref="A375:C375"/>
    <mergeCell ref="A377:C377"/>
    <mergeCell ref="A378:C378"/>
    <mergeCell ref="A380:C380"/>
    <mergeCell ref="A382:B382"/>
    <mergeCell ref="A376:C376"/>
    <mergeCell ref="A358:B358"/>
    <mergeCell ref="A238:E238"/>
    <mergeCell ref="A263:E264"/>
    <mergeCell ref="A272:E272"/>
    <mergeCell ref="A273:E273"/>
    <mergeCell ref="A336:E336"/>
    <mergeCell ref="A347:C347"/>
    <mergeCell ref="A351:C351"/>
    <mergeCell ref="A353:E353"/>
    <mergeCell ref="A355:B355"/>
    <mergeCell ref="A356:B356"/>
    <mergeCell ref="A357:B357"/>
    <mergeCell ref="A228:E228"/>
    <mergeCell ref="A3:E3"/>
    <mergeCell ref="A4:E4"/>
    <mergeCell ref="A5:E5"/>
    <mergeCell ref="A6:E6"/>
    <mergeCell ref="A58:E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workbookViewId="0">
      <selection activeCell="G17" sqref="G17"/>
    </sheetView>
  </sheetViews>
  <sheetFormatPr defaultRowHeight="15.75" x14ac:dyDescent="0.25"/>
  <cols>
    <col min="1" max="4" width="4.85546875" style="14" customWidth="1"/>
    <col min="5" max="5" width="46.7109375" style="14" customWidth="1"/>
    <col min="6" max="6" width="10.140625" style="14" customWidth="1"/>
    <col min="7" max="8" width="11.42578125" style="14" customWidth="1"/>
    <col min="9" max="16384" width="9.140625" style="14"/>
  </cols>
  <sheetData>
    <row r="1" spans="1:8" x14ac:dyDescent="0.25">
      <c r="A1" s="665" t="s">
        <v>426</v>
      </c>
      <c r="B1" s="665"/>
      <c r="C1" s="665"/>
      <c r="D1" s="665"/>
      <c r="E1" s="665"/>
      <c r="F1" s="665"/>
      <c r="G1" s="665"/>
      <c r="H1" s="424"/>
    </row>
    <row r="2" spans="1:8" ht="14.25" customHeight="1" thickBot="1" x14ac:dyDescent="0.3">
      <c r="G2" s="171" t="s">
        <v>159</v>
      </c>
      <c r="H2" s="171"/>
    </row>
    <row r="3" spans="1:8" ht="18.75" customHeight="1" x14ac:dyDescent="0.25">
      <c r="A3" s="177" t="s">
        <v>1</v>
      </c>
      <c r="B3" s="178" t="s">
        <v>50</v>
      </c>
      <c r="C3" s="179" t="s">
        <v>51</v>
      </c>
      <c r="D3" s="178" t="s">
        <v>52</v>
      </c>
      <c r="E3" s="172" t="s">
        <v>53</v>
      </c>
      <c r="F3" s="180"/>
      <c r="G3" s="185"/>
      <c r="H3" s="317"/>
    </row>
    <row r="4" spans="1:8" ht="19.5" customHeight="1" thickBot="1" x14ac:dyDescent="0.3">
      <c r="A4" s="174" t="s">
        <v>54</v>
      </c>
      <c r="B4" s="182" t="s">
        <v>55</v>
      </c>
      <c r="C4" s="182" t="s">
        <v>56</v>
      </c>
      <c r="D4" s="175" t="s">
        <v>57</v>
      </c>
      <c r="E4" s="175"/>
      <c r="F4" s="183" t="s">
        <v>58</v>
      </c>
      <c r="G4" s="430" t="s">
        <v>521</v>
      </c>
      <c r="H4" s="428" t="s">
        <v>522</v>
      </c>
    </row>
    <row r="5" spans="1:8" ht="20.25" customHeight="1" x14ac:dyDescent="0.25">
      <c r="A5" s="184"/>
      <c r="B5" s="185"/>
      <c r="C5" s="185"/>
      <c r="D5" s="185"/>
      <c r="E5" s="181" t="s">
        <v>59</v>
      </c>
      <c r="F5" s="185"/>
      <c r="G5" s="431"/>
      <c r="H5" s="429"/>
    </row>
    <row r="6" spans="1:8" ht="8.25" customHeight="1" x14ac:dyDescent="0.25">
      <c r="A6" s="210"/>
      <c r="B6" s="211"/>
      <c r="C6" s="211"/>
      <c r="D6" s="211"/>
      <c r="E6" s="212"/>
      <c r="F6" s="211"/>
      <c r="G6" s="342"/>
      <c r="H6" s="429"/>
    </row>
    <row r="7" spans="1:8" ht="17.25" customHeight="1" x14ac:dyDescent="0.25">
      <c r="A7" s="76"/>
      <c r="B7" s="42"/>
      <c r="C7" s="42">
        <v>1</v>
      </c>
      <c r="D7" s="42"/>
      <c r="E7" s="186" t="s">
        <v>60</v>
      </c>
      <c r="F7" s="42"/>
      <c r="G7" s="42"/>
      <c r="H7" s="443"/>
    </row>
    <row r="8" spans="1:8" ht="17.25" customHeight="1" x14ac:dyDescent="0.25">
      <c r="A8" s="76"/>
      <c r="B8" s="42"/>
      <c r="C8" s="42"/>
      <c r="D8" s="42">
        <v>1</v>
      </c>
      <c r="E8" s="42" t="s">
        <v>252</v>
      </c>
      <c r="F8" s="87">
        <f>+'3. sz. m. (mód) '!F86</f>
        <v>34562</v>
      </c>
      <c r="G8" s="87">
        <f>+'3. sz. m. (mód) '!G86</f>
        <v>42162</v>
      </c>
      <c r="H8" s="100">
        <f>+'3. sz. m. (mód) '!H86</f>
        <v>47104</v>
      </c>
    </row>
    <row r="9" spans="1:8" ht="17.25" customHeight="1" x14ac:dyDescent="0.25">
      <c r="A9" s="76"/>
      <c r="B9" s="42"/>
      <c r="C9" s="42"/>
      <c r="D9" s="42">
        <v>2</v>
      </c>
      <c r="E9" s="42" t="s">
        <v>61</v>
      </c>
      <c r="F9" s="87">
        <f t="shared" ref="F9" si="0">SUM(F10:F12)</f>
        <v>25118</v>
      </c>
      <c r="G9" s="303">
        <f t="shared" ref="G9:H9" si="1">SUM(G10:G12)</f>
        <v>26018</v>
      </c>
      <c r="H9" s="100">
        <f t="shared" si="1"/>
        <v>42226</v>
      </c>
    </row>
    <row r="10" spans="1:8" ht="17.25" customHeight="1" x14ac:dyDescent="0.25">
      <c r="A10" s="76"/>
      <c r="B10" s="42"/>
      <c r="C10" s="42"/>
      <c r="D10" s="42"/>
      <c r="E10" s="42" t="s">
        <v>172</v>
      </c>
      <c r="F10" s="87">
        <f>+'3. sz. m. (mód) '!F11</f>
        <v>20618</v>
      </c>
      <c r="G10" s="303">
        <f>+'3. sz. m. (mód) '!G11</f>
        <v>21518</v>
      </c>
      <c r="H10" s="100">
        <f>+'3. sz. m. (mód) '!H11</f>
        <v>36329</v>
      </c>
    </row>
    <row r="11" spans="1:8" ht="17.25" customHeight="1" x14ac:dyDescent="0.25">
      <c r="A11" s="76"/>
      <c r="B11" s="42"/>
      <c r="C11" s="42"/>
      <c r="D11" s="42"/>
      <c r="E11" s="42" t="s">
        <v>173</v>
      </c>
      <c r="F11" s="87">
        <f>+'3. sz. m. (mód) '!F12</f>
        <v>3800</v>
      </c>
      <c r="G11" s="303">
        <f>+'3. sz. m. (mód) '!G12</f>
        <v>3800</v>
      </c>
      <c r="H11" s="100">
        <f>+'3. sz. m. (mód) '!H12</f>
        <v>4699</v>
      </c>
    </row>
    <row r="12" spans="1:8" ht="17.25" customHeight="1" x14ac:dyDescent="0.25">
      <c r="A12" s="76"/>
      <c r="B12" s="42"/>
      <c r="C12" s="42"/>
      <c r="D12" s="42"/>
      <c r="E12" s="42" t="s">
        <v>183</v>
      </c>
      <c r="F12" s="87">
        <f>+'3. sz. m. (mód) '!F13</f>
        <v>700</v>
      </c>
      <c r="G12" s="303">
        <f>+'3. sz. m. (mód) '!G13</f>
        <v>700</v>
      </c>
      <c r="H12" s="100">
        <f>+'3. sz. m. (mód) '!H13</f>
        <v>1198</v>
      </c>
    </row>
    <row r="13" spans="1:8" ht="12.75" customHeight="1" x14ac:dyDescent="0.25">
      <c r="A13" s="187"/>
      <c r="B13" s="42"/>
      <c r="C13" s="42"/>
      <c r="D13" s="42"/>
      <c r="E13" s="42"/>
      <c r="F13" s="87"/>
      <c r="G13" s="303"/>
      <c r="H13" s="435"/>
    </row>
    <row r="14" spans="1:8" ht="17.25" customHeight="1" x14ac:dyDescent="0.25">
      <c r="A14" s="76"/>
      <c r="B14" s="88"/>
      <c r="C14" s="42">
        <v>2</v>
      </c>
      <c r="D14" s="88"/>
      <c r="E14" s="188" t="s">
        <v>62</v>
      </c>
      <c r="F14" s="42"/>
      <c r="G14" s="303"/>
      <c r="H14" s="435"/>
    </row>
    <row r="15" spans="1:8" ht="17.25" customHeight="1" x14ac:dyDescent="0.25">
      <c r="A15" s="76"/>
      <c r="B15" s="42"/>
      <c r="C15" s="42"/>
      <c r="D15" s="42">
        <v>1</v>
      </c>
      <c r="E15" s="145" t="s">
        <v>270</v>
      </c>
      <c r="F15" s="42">
        <f>+'3. sz. m. (mód) '!F88</f>
        <v>145686</v>
      </c>
      <c r="G15" s="303">
        <f>+'3. sz. m. (mód) '!G88</f>
        <v>147062</v>
      </c>
      <c r="H15" s="100">
        <f>+'3. sz. m. (mód) '!H88</f>
        <v>147081</v>
      </c>
    </row>
    <row r="16" spans="1:8" ht="17.25" customHeight="1" x14ac:dyDescent="0.25">
      <c r="A16" s="76"/>
      <c r="B16" s="42"/>
      <c r="C16" s="42"/>
      <c r="D16" s="42">
        <v>2</v>
      </c>
      <c r="E16" s="42" t="s">
        <v>174</v>
      </c>
      <c r="F16" s="87">
        <f>+'3. sz. m. (mód) '!F100</f>
        <v>117796</v>
      </c>
      <c r="G16" s="303">
        <f>+'3. sz. m. (mód) '!G100</f>
        <v>53611</v>
      </c>
      <c r="H16" s="100">
        <f>+'3. sz. m. (mód) '!H100</f>
        <v>41076</v>
      </c>
    </row>
    <row r="17" spans="1:8" ht="17.25" customHeight="1" x14ac:dyDescent="0.25">
      <c r="A17" s="173"/>
      <c r="B17" s="51"/>
      <c r="C17" s="51"/>
      <c r="D17" s="42"/>
      <c r="E17" s="149" t="s">
        <v>254</v>
      </c>
      <c r="F17" s="91">
        <f>+'3. sz. m. (mód) '!F101</f>
        <v>16561</v>
      </c>
      <c r="G17" s="303">
        <f>+'3. sz. m. (mód) '!G101</f>
        <v>16561</v>
      </c>
      <c r="H17" s="100">
        <f>+'3. sz. m. (mód) '!H101</f>
        <v>3719</v>
      </c>
    </row>
    <row r="18" spans="1:8" ht="39" customHeight="1" x14ac:dyDescent="0.25">
      <c r="A18" s="173"/>
      <c r="B18" s="51"/>
      <c r="C18" s="51"/>
      <c r="D18" s="51">
        <v>3</v>
      </c>
      <c r="E18" s="145" t="s">
        <v>1007</v>
      </c>
      <c r="F18" s="91">
        <f>+'3. sz. m. (mód) '!F89</f>
        <v>0</v>
      </c>
      <c r="G18" s="303">
        <f>+'3. sz. m. (mód) '!G89</f>
        <v>16</v>
      </c>
      <c r="H18" s="100">
        <f>+'3. sz. m. (mód) '!H89</f>
        <v>7737</v>
      </c>
    </row>
    <row r="19" spans="1:8" ht="39" customHeight="1" x14ac:dyDescent="0.25">
      <c r="A19" s="173"/>
      <c r="B19" s="51"/>
      <c r="C19" s="51"/>
      <c r="D19" s="51">
        <v>4</v>
      </c>
      <c r="E19" s="564" t="s">
        <v>1008</v>
      </c>
      <c r="F19" s="91"/>
      <c r="G19" s="303"/>
      <c r="H19" s="100">
        <f>+'3. sz. m. (mód) '!H94</f>
        <v>5539</v>
      </c>
    </row>
    <row r="20" spans="1:8" ht="17.25" customHeight="1" x14ac:dyDescent="0.25">
      <c r="A20" s="75"/>
      <c r="B20" s="97"/>
      <c r="C20" s="97"/>
      <c r="D20" s="51"/>
      <c r="E20" s="97" t="s">
        <v>63</v>
      </c>
      <c r="F20" s="94">
        <f t="shared" ref="F20" si="2">SUM(F15:F18)</f>
        <v>280043</v>
      </c>
      <c r="G20" s="432">
        <f t="shared" ref="G20" si="3">SUM(G15:G18)</f>
        <v>217250</v>
      </c>
      <c r="H20" s="445">
        <f>SUM(H15:H19)</f>
        <v>205152</v>
      </c>
    </row>
    <row r="21" spans="1:8" ht="15" customHeight="1" x14ac:dyDescent="0.25">
      <c r="A21" s="187"/>
      <c r="B21" s="88"/>
      <c r="C21" s="88"/>
      <c r="D21" s="88"/>
      <c r="E21" s="142"/>
      <c r="F21" s="89"/>
      <c r="G21" s="303"/>
      <c r="H21" s="100"/>
    </row>
    <row r="22" spans="1:8" ht="17.25" customHeight="1" x14ac:dyDescent="0.25">
      <c r="A22" s="76"/>
      <c r="B22" s="42"/>
      <c r="C22" s="42">
        <v>3</v>
      </c>
      <c r="D22" s="42"/>
      <c r="E22" s="189" t="s">
        <v>64</v>
      </c>
      <c r="F22" s="87"/>
      <c r="G22" s="87"/>
      <c r="H22" s="450"/>
    </row>
    <row r="23" spans="1:8" ht="13.5" customHeight="1" x14ac:dyDescent="0.25">
      <c r="A23" s="76"/>
      <c r="B23" s="42"/>
      <c r="C23" s="42"/>
      <c r="D23" s="42"/>
      <c r="E23" s="42"/>
      <c r="F23" s="87"/>
      <c r="G23" s="87"/>
      <c r="H23" s="435"/>
    </row>
    <row r="24" spans="1:8" ht="17.25" customHeight="1" x14ac:dyDescent="0.25">
      <c r="A24" s="76"/>
      <c r="B24" s="42"/>
      <c r="C24" s="42"/>
      <c r="D24" s="42">
        <v>1</v>
      </c>
      <c r="E24" s="42" t="s">
        <v>385</v>
      </c>
      <c r="F24" s="87">
        <f>+'3. sz. m. (mód) '!F98</f>
        <v>1566</v>
      </c>
      <c r="G24" s="87">
        <f>+'3. sz. m. (mód) '!G98</f>
        <v>1636</v>
      </c>
      <c r="H24" s="100">
        <f>+'3. sz. m. (mód) '!H98</f>
        <v>0</v>
      </c>
    </row>
    <row r="25" spans="1:8" ht="17.25" customHeight="1" x14ac:dyDescent="0.25">
      <c r="A25" s="76"/>
      <c r="B25" s="42"/>
      <c r="C25" s="42"/>
      <c r="D25" s="42">
        <v>2</v>
      </c>
      <c r="E25" s="42" t="s">
        <v>65</v>
      </c>
      <c r="F25" s="87">
        <f>+'3. sz. m. (mód) '!F99</f>
        <v>8000</v>
      </c>
      <c r="G25" s="87">
        <f>+'3. sz. m. (mód) '!G99</f>
        <v>8000</v>
      </c>
      <c r="H25" s="100">
        <f>+'3. sz. m. (mód) '!H99</f>
        <v>7819</v>
      </c>
    </row>
    <row r="26" spans="1:8" ht="17.25" customHeight="1" x14ac:dyDescent="0.25">
      <c r="A26" s="76"/>
      <c r="B26" s="42"/>
      <c r="C26" s="88"/>
      <c r="D26" s="42"/>
      <c r="E26" s="88" t="s">
        <v>48</v>
      </c>
      <c r="F26" s="89">
        <f t="shared" ref="F26" si="4">SUM(F24:F25)</f>
        <v>9566</v>
      </c>
      <c r="G26" s="89">
        <f t="shared" ref="G26:H26" si="5">SUM(G24:G25)</f>
        <v>9636</v>
      </c>
      <c r="H26" s="445">
        <f t="shared" si="5"/>
        <v>7819</v>
      </c>
    </row>
    <row r="27" spans="1:8" ht="13.5" customHeight="1" x14ac:dyDescent="0.25">
      <c r="A27" s="190"/>
      <c r="B27" s="191"/>
      <c r="C27" s="191"/>
      <c r="D27" s="191"/>
      <c r="E27" s="192"/>
      <c r="F27" s="192"/>
      <c r="G27" s="87"/>
      <c r="H27" s="100"/>
    </row>
    <row r="28" spans="1:8" ht="17.25" customHeight="1" x14ac:dyDescent="0.25">
      <c r="A28" s="190"/>
      <c r="B28" s="191"/>
      <c r="C28" s="87">
        <v>4</v>
      </c>
      <c r="D28" s="191"/>
      <c r="E28" s="189" t="s">
        <v>66</v>
      </c>
      <c r="F28" s="89"/>
      <c r="G28" s="87"/>
      <c r="H28" s="435"/>
    </row>
    <row r="29" spans="1:8" ht="15" customHeight="1" x14ac:dyDescent="0.25">
      <c r="A29" s="190"/>
      <c r="B29" s="191"/>
      <c r="C29" s="42"/>
      <c r="D29" s="191"/>
      <c r="E29" s="193"/>
      <c r="F29" s="87"/>
      <c r="G29" s="87"/>
      <c r="H29" s="100"/>
    </row>
    <row r="30" spans="1:8" ht="17.25" customHeight="1" x14ac:dyDescent="0.25">
      <c r="A30" s="194"/>
      <c r="B30" s="87"/>
      <c r="C30" s="87"/>
      <c r="D30" s="87">
        <v>1</v>
      </c>
      <c r="E30" s="42" t="s">
        <v>67</v>
      </c>
      <c r="F30" s="87">
        <f>+'3. sz. m. (mód) '!F90</f>
        <v>345576</v>
      </c>
      <c r="G30" s="87">
        <f>+'3. sz. m. (mód) '!G90</f>
        <v>388300</v>
      </c>
      <c r="H30" s="100">
        <f>+'3. sz. m. (mód) '!H90</f>
        <v>373435</v>
      </c>
    </row>
    <row r="31" spans="1:8" ht="17.25" customHeight="1" x14ac:dyDescent="0.25">
      <c r="A31" s="194"/>
      <c r="B31" s="87"/>
      <c r="C31" s="87"/>
      <c r="D31" s="87">
        <v>2</v>
      </c>
      <c r="E31" s="42" t="s">
        <v>68</v>
      </c>
      <c r="F31" s="87">
        <f>+'3. sz. m. (mód) '!F102</f>
        <v>0</v>
      </c>
      <c r="G31" s="87">
        <f>+'3. sz. m. (mód) '!G102</f>
        <v>6368</v>
      </c>
      <c r="H31" s="100">
        <f>+'3. sz. m. (mód) '!H102</f>
        <v>110</v>
      </c>
    </row>
    <row r="32" spans="1:8" ht="17.25" customHeight="1" x14ac:dyDescent="0.25">
      <c r="A32" s="194"/>
      <c r="B32" s="87"/>
      <c r="C32" s="87"/>
      <c r="D32" s="87"/>
      <c r="E32" s="199" t="s">
        <v>48</v>
      </c>
      <c r="F32" s="89">
        <f t="shared" ref="F32" si="6">SUM(F30:F31)</f>
        <v>345576</v>
      </c>
      <c r="G32" s="89">
        <f t="shared" ref="G32:H32" si="7">SUM(G30:G31)</f>
        <v>394668</v>
      </c>
      <c r="H32" s="445">
        <f t="shared" si="7"/>
        <v>373545</v>
      </c>
    </row>
    <row r="33" spans="1:8" ht="15.75" customHeight="1" x14ac:dyDescent="0.25">
      <c r="A33" s="187"/>
      <c r="B33" s="19"/>
      <c r="C33" s="19"/>
      <c r="D33" s="88"/>
      <c r="E33" s="88"/>
      <c r="F33" s="88" t="s">
        <v>212</v>
      </c>
      <c r="G33" s="87" t="s">
        <v>212</v>
      </c>
      <c r="H33" s="435"/>
    </row>
    <row r="34" spans="1:8" ht="17.25" customHeight="1" x14ac:dyDescent="0.25">
      <c r="A34" s="194"/>
      <c r="B34" s="87"/>
      <c r="C34" s="87">
        <v>5</v>
      </c>
      <c r="D34" s="87"/>
      <c r="E34" s="198" t="s">
        <v>69</v>
      </c>
      <c r="F34" s="87"/>
      <c r="G34" s="87"/>
      <c r="H34" s="100"/>
    </row>
    <row r="35" spans="1:8" ht="14.25" customHeight="1" x14ac:dyDescent="0.25">
      <c r="A35" s="194"/>
      <c r="B35" s="87"/>
      <c r="C35" s="87"/>
      <c r="D35" s="87"/>
      <c r="E35" s="199"/>
      <c r="F35" s="89"/>
      <c r="G35" s="87"/>
      <c r="H35" s="450"/>
    </row>
    <row r="36" spans="1:8" ht="17.25" customHeight="1" x14ac:dyDescent="0.25">
      <c r="A36" s="194"/>
      <c r="B36" s="87"/>
      <c r="C36" s="96"/>
      <c r="D36" s="96">
        <v>1</v>
      </c>
      <c r="E36" s="200" t="s">
        <v>70</v>
      </c>
      <c r="F36" s="87">
        <f t="shared" ref="F36" si="8">SUM(F37:F38)</f>
        <v>807206</v>
      </c>
      <c r="G36" s="87">
        <f t="shared" ref="G36:H36" si="9">SUM(G37:G38)</f>
        <v>806056</v>
      </c>
      <c r="H36" s="100">
        <f t="shared" si="9"/>
        <v>806057</v>
      </c>
    </row>
    <row r="37" spans="1:8" ht="17.25" customHeight="1" x14ac:dyDescent="0.25">
      <c r="A37" s="194"/>
      <c r="B37" s="87"/>
      <c r="C37" s="96"/>
      <c r="D37" s="96"/>
      <c r="E37" s="200" t="s">
        <v>162</v>
      </c>
      <c r="F37" s="87">
        <f>+'3. sz. m. (mód) '!F103</f>
        <v>735467</v>
      </c>
      <c r="G37" s="87">
        <f>+'3. sz. m. (mód) '!G103</f>
        <v>735647</v>
      </c>
      <c r="H37" s="100">
        <f>+'3. sz. m. (mód) '!H103</f>
        <v>735647</v>
      </c>
    </row>
    <row r="38" spans="1:8" ht="17.25" customHeight="1" x14ac:dyDescent="0.25">
      <c r="A38" s="194"/>
      <c r="B38" s="87"/>
      <c r="C38" s="96"/>
      <c r="D38" s="96"/>
      <c r="E38" s="200" t="s">
        <v>161</v>
      </c>
      <c r="F38" s="87">
        <f>+'3. sz. m. (mód) '!F91</f>
        <v>71739</v>
      </c>
      <c r="G38" s="87">
        <f>+'3. sz. m. (mód) '!G91</f>
        <v>70409</v>
      </c>
      <c r="H38" s="100">
        <f>+'3. sz. m. (mód) '!H91</f>
        <v>70410</v>
      </c>
    </row>
    <row r="39" spans="1:8" ht="12.75" customHeight="1" x14ac:dyDescent="0.25">
      <c r="A39" s="194"/>
      <c r="B39" s="87"/>
      <c r="C39" s="42"/>
      <c r="D39" s="42"/>
      <c r="E39" s="42"/>
      <c r="F39" s="42"/>
      <c r="G39" s="87"/>
      <c r="H39" s="100"/>
    </row>
    <row r="40" spans="1:8" ht="17.25" customHeight="1" x14ac:dyDescent="0.25">
      <c r="A40" s="194"/>
      <c r="B40" s="87"/>
      <c r="C40" s="42">
        <v>6</v>
      </c>
      <c r="D40" s="42"/>
      <c r="E40" s="227" t="s">
        <v>503</v>
      </c>
      <c r="F40" s="42"/>
      <c r="G40" s="87"/>
      <c r="H40" s="100"/>
    </row>
    <row r="41" spans="1:8" ht="17.25" customHeight="1" x14ac:dyDescent="0.25">
      <c r="A41" s="194"/>
      <c r="B41" s="87"/>
      <c r="C41" s="42"/>
      <c r="D41" s="42"/>
      <c r="E41" s="200" t="s">
        <v>162</v>
      </c>
      <c r="F41" s="42">
        <f>+'3. sz. m. (mód) '!F105</f>
        <v>279</v>
      </c>
      <c r="G41" s="87">
        <f>+'3. sz. m. (mód) '!G105</f>
        <v>1164</v>
      </c>
      <c r="H41" s="100">
        <f>+'3. sz. m. (mód) '!H105</f>
        <v>1027</v>
      </c>
    </row>
    <row r="42" spans="1:8" ht="17.25" customHeight="1" x14ac:dyDescent="0.25">
      <c r="A42" s="194"/>
      <c r="B42" s="87"/>
      <c r="C42" s="42"/>
      <c r="D42" s="42"/>
      <c r="E42" s="200" t="s">
        <v>161</v>
      </c>
      <c r="F42" s="42">
        <f>+'3. sz. m. (mód) '!F92</f>
        <v>125919</v>
      </c>
      <c r="G42" s="87">
        <f>+'3. sz. m. (mód) '!G92</f>
        <v>131015</v>
      </c>
      <c r="H42" s="100">
        <f>+'3. sz. m. (mód) '!H92</f>
        <v>113332</v>
      </c>
    </row>
    <row r="43" spans="1:8" ht="14.25" customHeight="1" x14ac:dyDescent="0.25">
      <c r="A43" s="194"/>
      <c r="B43" s="87"/>
      <c r="C43" s="42"/>
      <c r="D43" s="42"/>
      <c r="E43" s="200"/>
      <c r="F43" s="42"/>
      <c r="G43" s="87"/>
      <c r="H43" s="450"/>
    </row>
    <row r="44" spans="1:8" ht="17.25" customHeight="1" x14ac:dyDescent="0.25">
      <c r="A44" s="194"/>
      <c r="B44" s="87"/>
      <c r="C44" s="42">
        <v>7</v>
      </c>
      <c r="D44" s="42"/>
      <c r="E44" s="390" t="s">
        <v>504</v>
      </c>
      <c r="F44" s="42"/>
      <c r="G44" s="87">
        <v>30000</v>
      </c>
      <c r="H44" s="100">
        <v>30000</v>
      </c>
    </row>
    <row r="45" spans="1:8" ht="13.5" customHeight="1" x14ac:dyDescent="0.25">
      <c r="A45" s="194"/>
      <c r="B45" s="87"/>
      <c r="C45" s="42"/>
      <c r="D45" s="42"/>
      <c r="E45" s="390"/>
      <c r="F45" s="42"/>
      <c r="G45" s="87"/>
      <c r="H45" s="435"/>
    </row>
    <row r="46" spans="1:8" ht="17.25" customHeight="1" x14ac:dyDescent="0.25">
      <c r="A46" s="194"/>
      <c r="B46" s="87"/>
      <c r="C46" s="42">
        <v>8</v>
      </c>
      <c r="D46" s="42"/>
      <c r="E46" s="390" t="s">
        <v>510</v>
      </c>
      <c r="F46" s="42"/>
      <c r="G46" s="87">
        <f>+'3. sz. m. (mód) '!G106</f>
        <v>80000</v>
      </c>
      <c r="H46" s="100">
        <f>+'3. sz. m. (mód) '!H106</f>
        <v>80000</v>
      </c>
    </row>
    <row r="47" spans="1:8" ht="14.25" customHeight="1" x14ac:dyDescent="0.25">
      <c r="A47" s="194"/>
      <c r="B47" s="87"/>
      <c r="C47" s="42"/>
      <c r="D47" s="42"/>
      <c r="E47" s="46"/>
      <c r="F47" s="42"/>
      <c r="G47" s="87"/>
      <c r="H47" s="435"/>
    </row>
    <row r="48" spans="1:8" ht="17.25" customHeight="1" x14ac:dyDescent="0.25">
      <c r="A48" s="201"/>
      <c r="B48" s="89"/>
      <c r="C48" s="88"/>
      <c r="D48" s="88"/>
      <c r="E48" s="226" t="s">
        <v>60</v>
      </c>
      <c r="F48" s="88">
        <f>+F8+F9+F15+F30+F38+F18+F42</f>
        <v>748600</v>
      </c>
      <c r="G48" s="89">
        <f t="shared" ref="G48" si="10">+G8+G9+G15+G30+G38+G18+G42+G44</f>
        <v>834982</v>
      </c>
      <c r="H48" s="445">
        <f>+H8+H9+H15+H30+H38+H18+H42+H44+H19</f>
        <v>836864</v>
      </c>
    </row>
    <row r="49" spans="1:8" ht="17.25" customHeight="1" x14ac:dyDescent="0.25">
      <c r="A49" s="194"/>
      <c r="B49" s="87"/>
      <c r="C49" s="42"/>
      <c r="D49" s="42"/>
      <c r="E49" s="88" t="s">
        <v>175</v>
      </c>
      <c r="F49" s="88">
        <f t="shared" ref="F49" si="11">+F16+F24+F25+F31+F37+F41</f>
        <v>863108</v>
      </c>
      <c r="G49" s="89">
        <f>+G16+G24+G25+G31+G37+G41+G46</f>
        <v>886426</v>
      </c>
      <c r="H49" s="445">
        <f>+H16+H24+H25+H31+H37+H41+H46</f>
        <v>865679</v>
      </c>
    </row>
    <row r="50" spans="1:8" ht="17.25" customHeight="1" x14ac:dyDescent="0.25">
      <c r="A50" s="223"/>
      <c r="B50" s="96"/>
      <c r="C50" s="46"/>
      <c r="D50" s="46"/>
      <c r="E50" s="281" t="s">
        <v>247</v>
      </c>
      <c r="F50" s="262">
        <f t="shared" ref="F50" si="12">-F42-F41</f>
        <v>-126198</v>
      </c>
      <c r="G50" s="89">
        <f t="shared" ref="G50:H50" si="13">-G42-G41</f>
        <v>-132179</v>
      </c>
      <c r="H50" s="445">
        <f t="shared" si="13"/>
        <v>-114359</v>
      </c>
    </row>
    <row r="51" spans="1:8" ht="12.75" customHeight="1" x14ac:dyDescent="0.25">
      <c r="A51" s="223"/>
      <c r="B51" s="96"/>
      <c r="C51" s="46"/>
      <c r="D51" s="46"/>
      <c r="E51" s="285"/>
      <c r="F51" s="46"/>
      <c r="G51" s="87"/>
      <c r="H51" s="100"/>
    </row>
    <row r="52" spans="1:8" ht="17.25" customHeight="1" x14ac:dyDescent="0.25">
      <c r="A52" s="223"/>
      <c r="B52" s="96"/>
      <c r="C52" s="46"/>
      <c r="D52" s="46"/>
      <c r="E52" s="228" t="s">
        <v>44</v>
      </c>
      <c r="F52" s="262">
        <f t="shared" ref="F52" si="14">+F48+F49+F50</f>
        <v>1485510</v>
      </c>
      <c r="G52" s="89">
        <f t="shared" ref="G52" si="15">+G48+G49+G50</f>
        <v>1589229</v>
      </c>
      <c r="H52" s="445">
        <f>+H48+H49+H50</f>
        <v>1588184</v>
      </c>
    </row>
    <row r="53" spans="1:8" ht="8.25" customHeight="1" x14ac:dyDescent="0.25">
      <c r="A53" s="194"/>
      <c r="B53" s="87"/>
      <c r="C53" s="42"/>
      <c r="D53" s="42"/>
      <c r="E53" s="417"/>
      <c r="F53" s="189"/>
      <c r="G53" s="303"/>
      <c r="H53" s="100"/>
    </row>
    <row r="54" spans="1:8" ht="17.25" customHeight="1" x14ac:dyDescent="0.25">
      <c r="A54" s="223"/>
      <c r="B54" s="96"/>
      <c r="C54" s="46"/>
      <c r="D54" s="87"/>
      <c r="E54" s="186" t="s">
        <v>249</v>
      </c>
      <c r="F54" s="227"/>
      <c r="G54" s="87"/>
      <c r="H54" s="100"/>
    </row>
    <row r="55" spans="1:8" ht="17.25" customHeight="1" x14ac:dyDescent="0.25">
      <c r="A55" s="223"/>
      <c r="B55" s="96"/>
      <c r="C55" s="46"/>
      <c r="D55" s="87"/>
      <c r="E55" s="195"/>
      <c r="F55" s="227"/>
      <c r="G55" s="87"/>
      <c r="H55" s="100"/>
    </row>
    <row r="56" spans="1:8" ht="17.25" customHeight="1" x14ac:dyDescent="0.25">
      <c r="A56" s="223"/>
      <c r="B56" s="96"/>
      <c r="C56" s="46"/>
      <c r="D56" s="87">
        <v>1</v>
      </c>
      <c r="E56" s="195" t="s">
        <v>250</v>
      </c>
      <c r="F56" s="227">
        <f>+'4 sz. m.(mód) '!G556-'2. sz. m. (mód)'!F48-F50-F41+'4 sz. m.(mód) '!G587</f>
        <v>0</v>
      </c>
      <c r="G56" s="89">
        <f>+'4 sz. m.(mód) '!H556-'2. sz. m. (mód)'!G48-G50-G41+'4 sz. m.(mód) '!H587</f>
        <v>0</v>
      </c>
      <c r="H56" s="434"/>
    </row>
    <row r="57" spans="1:8" ht="17.25" customHeight="1" x14ac:dyDescent="0.25">
      <c r="A57" s="223"/>
      <c r="B57" s="96"/>
      <c r="C57" s="46"/>
      <c r="D57" s="91">
        <v>2</v>
      </c>
      <c r="E57" s="197" t="s">
        <v>251</v>
      </c>
      <c r="F57" s="227">
        <f>+'4 sz. m.(mód) '!G572+'4 sz. m.(mód) '!G584-'2. sz. m. (mód)'!F49+F41+'4 sz. m.(mód) '!G588</f>
        <v>0</v>
      </c>
      <c r="G57" s="89">
        <f>+'4 sz. m.(mód) '!H572+'4 sz. m.(mód) '!H584-'2. sz. m. (mód)'!G49+G41+'4 sz. m.(mód) '!H588</f>
        <v>0</v>
      </c>
      <c r="H57" s="434"/>
    </row>
    <row r="58" spans="1:8" ht="17.25" customHeight="1" thickBot="1" x14ac:dyDescent="0.3">
      <c r="A58" s="202"/>
      <c r="B58" s="203"/>
      <c r="C58" s="203"/>
      <c r="D58" s="203"/>
      <c r="E58" s="204"/>
      <c r="F58" s="203"/>
      <c r="G58" s="203"/>
      <c r="H58" s="433"/>
    </row>
    <row r="59" spans="1:8" x14ac:dyDescent="0.25">
      <c r="A59" s="67"/>
      <c r="B59" s="67"/>
      <c r="C59" s="67"/>
      <c r="D59" s="67"/>
      <c r="F59" s="171"/>
      <c r="G59" s="205"/>
      <c r="H59" s="205"/>
    </row>
  </sheetData>
  <mergeCells count="1">
    <mergeCell ref="A1:G1"/>
  </mergeCells>
  <phoneticPr fontId="2" type="noConversion"/>
  <conditionalFormatting sqref="D36:F36">
    <cfRule type="cellIs" dxfId="11" priority="37" stopIfTrue="1" operator="equal">
      <formula>"f51"</formula>
    </cfRule>
  </conditionalFormatting>
  <conditionalFormatting sqref="G8:H8">
    <cfRule type="cellIs" dxfId="10" priority="19" operator="equal">
      <formula>#REF!</formula>
    </cfRule>
  </conditionalFormatting>
  <conditionalFormatting sqref="G9:H57">
    <cfRule type="cellIs" dxfId="9" priority="18" operator="equal">
      <formula>#REF!</formula>
    </cfRule>
  </conditionalFormatting>
  <printOptions horizontalCentered="1"/>
  <pageMargins left="0.19685039370078741" right="0.19685039370078741" top="0.35433070866141736" bottom="0.35433070866141736" header="3.937007874015748E-2" footer="0.11811023622047245"/>
  <pageSetup paperSize="9" scale="70" orientation="portrait" horizontalDpi="300" verticalDpi="300" r:id="rId1"/>
  <headerFooter alignWithMargins="0">
    <oddHeader>&amp;R2.melléklet a 9/2019.(V.29.))
önkormányzati rendelethez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H35"/>
  <sheetViews>
    <sheetView workbookViewId="0">
      <selection activeCell="C28" sqref="C28"/>
    </sheetView>
  </sheetViews>
  <sheetFormatPr defaultRowHeight="12.75" x14ac:dyDescent="0.2"/>
  <cols>
    <col min="1" max="1" width="43.140625" style="531" customWidth="1"/>
    <col min="2" max="2" width="9.140625" style="531"/>
    <col min="3" max="3" width="7.85546875" style="531" customWidth="1"/>
    <col min="4" max="4" width="9.140625" style="531"/>
    <col min="5" max="5" width="6.5703125" style="531" customWidth="1"/>
    <col min="6" max="6" width="3.7109375" style="531" customWidth="1"/>
    <col min="7" max="7" width="8.7109375" style="531" customWidth="1"/>
    <col min="8" max="8" width="2.7109375" style="531" customWidth="1"/>
    <col min="9" max="9" width="12.5703125" style="531" customWidth="1"/>
    <col min="10" max="10" width="17.5703125" style="531" customWidth="1"/>
    <col min="11" max="256" width="9.140625" style="531"/>
    <col min="257" max="257" width="43.140625" style="531" customWidth="1"/>
    <col min="258" max="258" width="9.140625" style="531"/>
    <col min="259" max="259" width="7.85546875" style="531" customWidth="1"/>
    <col min="260" max="260" width="9.140625" style="531"/>
    <col min="261" max="261" width="6.5703125" style="531" customWidth="1"/>
    <col min="262" max="262" width="9.140625" style="531"/>
    <col min="263" max="263" width="8.7109375" style="531" customWidth="1"/>
    <col min="264" max="264" width="11.42578125" style="531" bestFit="1" customWidth="1"/>
    <col min="265" max="265" width="6.5703125" style="531" customWidth="1"/>
    <col min="266" max="266" width="17.5703125" style="531" customWidth="1"/>
    <col min="267" max="512" width="9.140625" style="531"/>
    <col min="513" max="513" width="43.140625" style="531" customWidth="1"/>
    <col min="514" max="514" width="9.140625" style="531"/>
    <col min="515" max="515" width="7.85546875" style="531" customWidth="1"/>
    <col min="516" max="516" width="9.140625" style="531"/>
    <col min="517" max="517" width="6.5703125" style="531" customWidth="1"/>
    <col min="518" max="518" width="9.140625" style="531"/>
    <col min="519" max="519" width="8.7109375" style="531" customWidth="1"/>
    <col min="520" max="520" width="11.42578125" style="531" bestFit="1" customWidth="1"/>
    <col min="521" max="521" width="6.5703125" style="531" customWidth="1"/>
    <col min="522" max="522" width="17.5703125" style="531" customWidth="1"/>
    <col min="523" max="768" width="9.140625" style="531"/>
    <col min="769" max="769" width="43.140625" style="531" customWidth="1"/>
    <col min="770" max="770" width="9.140625" style="531"/>
    <col min="771" max="771" width="7.85546875" style="531" customWidth="1"/>
    <col min="772" max="772" width="9.140625" style="531"/>
    <col min="773" max="773" width="6.5703125" style="531" customWidth="1"/>
    <col min="774" max="774" width="9.140625" style="531"/>
    <col min="775" max="775" width="8.7109375" style="531" customWidth="1"/>
    <col min="776" max="776" width="11.42578125" style="531" bestFit="1" customWidth="1"/>
    <col min="777" max="777" width="6.5703125" style="531" customWidth="1"/>
    <col min="778" max="778" width="17.5703125" style="531" customWidth="1"/>
    <col min="779" max="1024" width="9.140625" style="531"/>
    <col min="1025" max="1025" width="43.140625" style="531" customWidth="1"/>
    <col min="1026" max="1026" width="9.140625" style="531"/>
    <col min="1027" max="1027" width="7.85546875" style="531" customWidth="1"/>
    <col min="1028" max="1028" width="9.140625" style="531"/>
    <col min="1029" max="1029" width="6.5703125" style="531" customWidth="1"/>
    <col min="1030" max="1030" width="9.140625" style="531"/>
    <col min="1031" max="1031" width="8.7109375" style="531" customWidth="1"/>
    <col min="1032" max="1032" width="11.42578125" style="531" bestFit="1" customWidth="1"/>
    <col min="1033" max="1033" width="6.5703125" style="531" customWidth="1"/>
    <col min="1034" max="1034" width="17.5703125" style="531" customWidth="1"/>
    <col min="1035" max="1280" width="9.140625" style="531"/>
    <col min="1281" max="1281" width="43.140625" style="531" customWidth="1"/>
    <col min="1282" max="1282" width="9.140625" style="531"/>
    <col min="1283" max="1283" width="7.85546875" style="531" customWidth="1"/>
    <col min="1284" max="1284" width="9.140625" style="531"/>
    <col min="1285" max="1285" width="6.5703125" style="531" customWidth="1"/>
    <col min="1286" max="1286" width="9.140625" style="531"/>
    <col min="1287" max="1287" width="8.7109375" style="531" customWidth="1"/>
    <col min="1288" max="1288" width="11.42578125" style="531" bestFit="1" customWidth="1"/>
    <col min="1289" max="1289" width="6.5703125" style="531" customWidth="1"/>
    <col min="1290" max="1290" width="17.5703125" style="531" customWidth="1"/>
    <col min="1291" max="1536" width="9.140625" style="531"/>
    <col min="1537" max="1537" width="43.140625" style="531" customWidth="1"/>
    <col min="1538" max="1538" width="9.140625" style="531"/>
    <col min="1539" max="1539" width="7.85546875" style="531" customWidth="1"/>
    <col min="1540" max="1540" width="9.140625" style="531"/>
    <col min="1541" max="1541" width="6.5703125" style="531" customWidth="1"/>
    <col min="1542" max="1542" width="9.140625" style="531"/>
    <col min="1543" max="1543" width="8.7109375" style="531" customWidth="1"/>
    <col min="1544" max="1544" width="11.42578125" style="531" bestFit="1" customWidth="1"/>
    <col min="1545" max="1545" width="6.5703125" style="531" customWidth="1"/>
    <col min="1546" max="1546" width="17.5703125" style="531" customWidth="1"/>
    <col min="1547" max="1792" width="9.140625" style="531"/>
    <col min="1793" max="1793" width="43.140625" style="531" customWidth="1"/>
    <col min="1794" max="1794" width="9.140625" style="531"/>
    <col min="1795" max="1795" width="7.85546875" style="531" customWidth="1"/>
    <col min="1796" max="1796" width="9.140625" style="531"/>
    <col min="1797" max="1797" width="6.5703125" style="531" customWidth="1"/>
    <col min="1798" max="1798" width="9.140625" style="531"/>
    <col min="1799" max="1799" width="8.7109375" style="531" customWidth="1"/>
    <col min="1800" max="1800" width="11.42578125" style="531" bestFit="1" customWidth="1"/>
    <col min="1801" max="1801" width="6.5703125" style="531" customWidth="1"/>
    <col min="1802" max="1802" width="17.5703125" style="531" customWidth="1"/>
    <col min="1803" max="2048" width="9.140625" style="531"/>
    <col min="2049" max="2049" width="43.140625" style="531" customWidth="1"/>
    <col min="2050" max="2050" width="9.140625" style="531"/>
    <col min="2051" max="2051" width="7.85546875" style="531" customWidth="1"/>
    <col min="2052" max="2052" width="9.140625" style="531"/>
    <col min="2053" max="2053" width="6.5703125" style="531" customWidth="1"/>
    <col min="2054" max="2054" width="9.140625" style="531"/>
    <col min="2055" max="2055" width="8.7109375" style="531" customWidth="1"/>
    <col min="2056" max="2056" width="11.42578125" style="531" bestFit="1" customWidth="1"/>
    <col min="2057" max="2057" width="6.5703125" style="531" customWidth="1"/>
    <col min="2058" max="2058" width="17.5703125" style="531" customWidth="1"/>
    <col min="2059" max="2304" width="9.140625" style="531"/>
    <col min="2305" max="2305" width="43.140625" style="531" customWidth="1"/>
    <col min="2306" max="2306" width="9.140625" style="531"/>
    <col min="2307" max="2307" width="7.85546875" style="531" customWidth="1"/>
    <col min="2308" max="2308" width="9.140625" style="531"/>
    <col min="2309" max="2309" width="6.5703125" style="531" customWidth="1"/>
    <col min="2310" max="2310" width="9.140625" style="531"/>
    <col min="2311" max="2311" width="8.7109375" style="531" customWidth="1"/>
    <col min="2312" max="2312" width="11.42578125" style="531" bestFit="1" customWidth="1"/>
    <col min="2313" max="2313" width="6.5703125" style="531" customWidth="1"/>
    <col min="2314" max="2314" width="17.5703125" style="531" customWidth="1"/>
    <col min="2315" max="2560" width="9.140625" style="531"/>
    <col min="2561" max="2561" width="43.140625" style="531" customWidth="1"/>
    <col min="2562" max="2562" width="9.140625" style="531"/>
    <col min="2563" max="2563" width="7.85546875" style="531" customWidth="1"/>
    <col min="2564" max="2564" width="9.140625" style="531"/>
    <col min="2565" max="2565" width="6.5703125" style="531" customWidth="1"/>
    <col min="2566" max="2566" width="9.140625" style="531"/>
    <col min="2567" max="2567" width="8.7109375" style="531" customWidth="1"/>
    <col min="2568" max="2568" width="11.42578125" style="531" bestFit="1" customWidth="1"/>
    <col min="2569" max="2569" width="6.5703125" style="531" customWidth="1"/>
    <col min="2570" max="2570" width="17.5703125" style="531" customWidth="1"/>
    <col min="2571" max="2816" width="9.140625" style="531"/>
    <col min="2817" max="2817" width="43.140625" style="531" customWidth="1"/>
    <col min="2818" max="2818" width="9.140625" style="531"/>
    <col min="2819" max="2819" width="7.85546875" style="531" customWidth="1"/>
    <col min="2820" max="2820" width="9.140625" style="531"/>
    <col min="2821" max="2821" width="6.5703125" style="531" customWidth="1"/>
    <col min="2822" max="2822" width="9.140625" style="531"/>
    <col min="2823" max="2823" width="8.7109375" style="531" customWidth="1"/>
    <col min="2824" max="2824" width="11.42578125" style="531" bestFit="1" customWidth="1"/>
    <col min="2825" max="2825" width="6.5703125" style="531" customWidth="1"/>
    <col min="2826" max="2826" width="17.5703125" style="531" customWidth="1"/>
    <col min="2827" max="3072" width="9.140625" style="531"/>
    <col min="3073" max="3073" width="43.140625" style="531" customWidth="1"/>
    <col min="3074" max="3074" width="9.140625" style="531"/>
    <col min="3075" max="3075" width="7.85546875" style="531" customWidth="1"/>
    <col min="3076" max="3076" width="9.140625" style="531"/>
    <col min="3077" max="3077" width="6.5703125" style="531" customWidth="1"/>
    <col min="3078" max="3078" width="9.140625" style="531"/>
    <col min="3079" max="3079" width="8.7109375" style="531" customWidth="1"/>
    <col min="3080" max="3080" width="11.42578125" style="531" bestFit="1" customWidth="1"/>
    <col min="3081" max="3081" width="6.5703125" style="531" customWidth="1"/>
    <col min="3082" max="3082" width="17.5703125" style="531" customWidth="1"/>
    <col min="3083" max="3328" width="9.140625" style="531"/>
    <col min="3329" max="3329" width="43.140625" style="531" customWidth="1"/>
    <col min="3330" max="3330" width="9.140625" style="531"/>
    <col min="3331" max="3331" width="7.85546875" style="531" customWidth="1"/>
    <col min="3332" max="3332" width="9.140625" style="531"/>
    <col min="3333" max="3333" width="6.5703125" style="531" customWidth="1"/>
    <col min="3334" max="3334" width="9.140625" style="531"/>
    <col min="3335" max="3335" width="8.7109375" style="531" customWidth="1"/>
    <col min="3336" max="3336" width="11.42578125" style="531" bestFit="1" customWidth="1"/>
    <col min="3337" max="3337" width="6.5703125" style="531" customWidth="1"/>
    <col min="3338" max="3338" width="17.5703125" style="531" customWidth="1"/>
    <col min="3339" max="3584" width="9.140625" style="531"/>
    <col min="3585" max="3585" width="43.140625" style="531" customWidth="1"/>
    <col min="3586" max="3586" width="9.140625" style="531"/>
    <col min="3587" max="3587" width="7.85546875" style="531" customWidth="1"/>
    <col min="3588" max="3588" width="9.140625" style="531"/>
    <col min="3589" max="3589" width="6.5703125" style="531" customWidth="1"/>
    <col min="3590" max="3590" width="9.140625" style="531"/>
    <col min="3591" max="3591" width="8.7109375" style="531" customWidth="1"/>
    <col min="3592" max="3592" width="11.42578125" style="531" bestFit="1" customWidth="1"/>
    <col min="3593" max="3593" width="6.5703125" style="531" customWidth="1"/>
    <col min="3594" max="3594" width="17.5703125" style="531" customWidth="1"/>
    <col min="3595" max="3840" width="9.140625" style="531"/>
    <col min="3841" max="3841" width="43.140625" style="531" customWidth="1"/>
    <col min="3842" max="3842" width="9.140625" style="531"/>
    <col min="3843" max="3843" width="7.85546875" style="531" customWidth="1"/>
    <col min="3844" max="3844" width="9.140625" style="531"/>
    <col min="3845" max="3845" width="6.5703125" style="531" customWidth="1"/>
    <col min="3846" max="3846" width="9.140625" style="531"/>
    <col min="3847" max="3847" width="8.7109375" style="531" customWidth="1"/>
    <col min="3848" max="3848" width="11.42578125" style="531" bestFit="1" customWidth="1"/>
    <col min="3849" max="3849" width="6.5703125" style="531" customWidth="1"/>
    <col min="3850" max="3850" width="17.5703125" style="531" customWidth="1"/>
    <col min="3851" max="4096" width="9.140625" style="531"/>
    <col min="4097" max="4097" width="43.140625" style="531" customWidth="1"/>
    <col min="4098" max="4098" width="9.140625" style="531"/>
    <col min="4099" max="4099" width="7.85546875" style="531" customWidth="1"/>
    <col min="4100" max="4100" width="9.140625" style="531"/>
    <col min="4101" max="4101" width="6.5703125" style="531" customWidth="1"/>
    <col min="4102" max="4102" width="9.140625" style="531"/>
    <col min="4103" max="4103" width="8.7109375" style="531" customWidth="1"/>
    <col min="4104" max="4104" width="11.42578125" style="531" bestFit="1" customWidth="1"/>
    <col min="4105" max="4105" width="6.5703125" style="531" customWidth="1"/>
    <col min="4106" max="4106" width="17.5703125" style="531" customWidth="1"/>
    <col min="4107" max="4352" width="9.140625" style="531"/>
    <col min="4353" max="4353" width="43.140625" style="531" customWidth="1"/>
    <col min="4354" max="4354" width="9.140625" style="531"/>
    <col min="4355" max="4355" width="7.85546875" style="531" customWidth="1"/>
    <col min="4356" max="4356" width="9.140625" style="531"/>
    <col min="4357" max="4357" width="6.5703125" style="531" customWidth="1"/>
    <col min="4358" max="4358" width="9.140625" style="531"/>
    <col min="4359" max="4359" width="8.7109375" style="531" customWidth="1"/>
    <col min="4360" max="4360" width="11.42578125" style="531" bestFit="1" customWidth="1"/>
    <col min="4361" max="4361" width="6.5703125" style="531" customWidth="1"/>
    <col min="4362" max="4362" width="17.5703125" style="531" customWidth="1"/>
    <col min="4363" max="4608" width="9.140625" style="531"/>
    <col min="4609" max="4609" width="43.140625" style="531" customWidth="1"/>
    <col min="4610" max="4610" width="9.140625" style="531"/>
    <col min="4611" max="4611" width="7.85546875" style="531" customWidth="1"/>
    <col min="4612" max="4612" width="9.140625" style="531"/>
    <col min="4613" max="4613" width="6.5703125" style="531" customWidth="1"/>
    <col min="4614" max="4614" width="9.140625" style="531"/>
    <col min="4615" max="4615" width="8.7109375" style="531" customWidth="1"/>
    <col min="4616" max="4616" width="11.42578125" style="531" bestFit="1" customWidth="1"/>
    <col min="4617" max="4617" width="6.5703125" style="531" customWidth="1"/>
    <col min="4618" max="4618" width="17.5703125" style="531" customWidth="1"/>
    <col min="4619" max="4864" width="9.140625" style="531"/>
    <col min="4865" max="4865" width="43.140625" style="531" customWidth="1"/>
    <col min="4866" max="4866" width="9.140625" style="531"/>
    <col min="4867" max="4867" width="7.85546875" style="531" customWidth="1"/>
    <col min="4868" max="4868" width="9.140625" style="531"/>
    <col min="4869" max="4869" width="6.5703125" style="531" customWidth="1"/>
    <col min="4870" max="4870" width="9.140625" style="531"/>
    <col min="4871" max="4871" width="8.7109375" style="531" customWidth="1"/>
    <col min="4872" max="4872" width="11.42578125" style="531" bestFit="1" customWidth="1"/>
    <col min="4873" max="4873" width="6.5703125" style="531" customWidth="1"/>
    <col min="4874" max="4874" width="17.5703125" style="531" customWidth="1"/>
    <col min="4875" max="5120" width="9.140625" style="531"/>
    <col min="5121" max="5121" width="43.140625" style="531" customWidth="1"/>
    <col min="5122" max="5122" width="9.140625" style="531"/>
    <col min="5123" max="5123" width="7.85546875" style="531" customWidth="1"/>
    <col min="5124" max="5124" width="9.140625" style="531"/>
    <col min="5125" max="5125" width="6.5703125" style="531" customWidth="1"/>
    <col min="5126" max="5126" width="9.140625" style="531"/>
    <col min="5127" max="5127" width="8.7109375" style="531" customWidth="1"/>
    <col min="5128" max="5128" width="11.42578125" style="531" bestFit="1" customWidth="1"/>
    <col min="5129" max="5129" width="6.5703125" style="531" customWidth="1"/>
    <col min="5130" max="5130" width="17.5703125" style="531" customWidth="1"/>
    <col min="5131" max="5376" width="9.140625" style="531"/>
    <col min="5377" max="5377" width="43.140625" style="531" customWidth="1"/>
    <col min="5378" max="5378" width="9.140625" style="531"/>
    <col min="5379" max="5379" width="7.85546875" style="531" customWidth="1"/>
    <col min="5380" max="5380" width="9.140625" style="531"/>
    <col min="5381" max="5381" width="6.5703125" style="531" customWidth="1"/>
    <col min="5382" max="5382" width="9.140625" style="531"/>
    <col min="5383" max="5383" width="8.7109375" style="531" customWidth="1"/>
    <col min="5384" max="5384" width="11.42578125" style="531" bestFit="1" customWidth="1"/>
    <col min="5385" max="5385" width="6.5703125" style="531" customWidth="1"/>
    <col min="5386" max="5386" width="17.5703125" style="531" customWidth="1"/>
    <col min="5387" max="5632" width="9.140625" style="531"/>
    <col min="5633" max="5633" width="43.140625" style="531" customWidth="1"/>
    <col min="5634" max="5634" width="9.140625" style="531"/>
    <col min="5635" max="5635" width="7.85546875" style="531" customWidth="1"/>
    <col min="5636" max="5636" width="9.140625" style="531"/>
    <col min="5637" max="5637" width="6.5703125" style="531" customWidth="1"/>
    <col min="5638" max="5638" width="9.140625" style="531"/>
    <col min="5639" max="5639" width="8.7109375" style="531" customWidth="1"/>
    <col min="5640" max="5640" width="11.42578125" style="531" bestFit="1" customWidth="1"/>
    <col min="5641" max="5641" width="6.5703125" style="531" customWidth="1"/>
    <col min="5642" max="5642" width="17.5703125" style="531" customWidth="1"/>
    <col min="5643" max="5888" width="9.140625" style="531"/>
    <col min="5889" max="5889" width="43.140625" style="531" customWidth="1"/>
    <col min="5890" max="5890" width="9.140625" style="531"/>
    <col min="5891" max="5891" width="7.85546875" style="531" customWidth="1"/>
    <col min="5892" max="5892" width="9.140625" style="531"/>
    <col min="5893" max="5893" width="6.5703125" style="531" customWidth="1"/>
    <col min="5894" max="5894" width="9.140625" style="531"/>
    <col min="5895" max="5895" width="8.7109375" style="531" customWidth="1"/>
    <col min="5896" max="5896" width="11.42578125" style="531" bestFit="1" customWidth="1"/>
    <col min="5897" max="5897" width="6.5703125" style="531" customWidth="1"/>
    <col min="5898" max="5898" width="17.5703125" style="531" customWidth="1"/>
    <col min="5899" max="6144" width="9.140625" style="531"/>
    <col min="6145" max="6145" width="43.140625" style="531" customWidth="1"/>
    <col min="6146" max="6146" width="9.140625" style="531"/>
    <col min="6147" max="6147" width="7.85546875" style="531" customWidth="1"/>
    <col min="6148" max="6148" width="9.140625" style="531"/>
    <col min="6149" max="6149" width="6.5703125" style="531" customWidth="1"/>
    <col min="6150" max="6150" width="9.140625" style="531"/>
    <col min="6151" max="6151" width="8.7109375" style="531" customWidth="1"/>
    <col min="6152" max="6152" width="11.42578125" style="531" bestFit="1" customWidth="1"/>
    <col min="6153" max="6153" width="6.5703125" style="531" customWidth="1"/>
    <col min="6154" max="6154" width="17.5703125" style="531" customWidth="1"/>
    <col min="6155" max="6400" width="9.140625" style="531"/>
    <col min="6401" max="6401" width="43.140625" style="531" customWidth="1"/>
    <col min="6402" max="6402" width="9.140625" style="531"/>
    <col min="6403" max="6403" width="7.85546875" style="531" customWidth="1"/>
    <col min="6404" max="6404" width="9.140625" style="531"/>
    <col min="6405" max="6405" width="6.5703125" style="531" customWidth="1"/>
    <col min="6406" max="6406" width="9.140625" style="531"/>
    <col min="6407" max="6407" width="8.7109375" style="531" customWidth="1"/>
    <col min="6408" max="6408" width="11.42578125" style="531" bestFit="1" customWidth="1"/>
    <col min="6409" max="6409" width="6.5703125" style="531" customWidth="1"/>
    <col min="6410" max="6410" width="17.5703125" style="531" customWidth="1"/>
    <col min="6411" max="6656" width="9.140625" style="531"/>
    <col min="6657" max="6657" width="43.140625" style="531" customWidth="1"/>
    <col min="6658" max="6658" width="9.140625" style="531"/>
    <col min="6659" max="6659" width="7.85546875" style="531" customWidth="1"/>
    <col min="6660" max="6660" width="9.140625" style="531"/>
    <col min="6661" max="6661" width="6.5703125" style="531" customWidth="1"/>
    <col min="6662" max="6662" width="9.140625" style="531"/>
    <col min="6663" max="6663" width="8.7109375" style="531" customWidth="1"/>
    <col min="6664" max="6664" width="11.42578125" style="531" bestFit="1" customWidth="1"/>
    <col min="6665" max="6665" width="6.5703125" style="531" customWidth="1"/>
    <col min="6666" max="6666" width="17.5703125" style="531" customWidth="1"/>
    <col min="6667" max="6912" width="9.140625" style="531"/>
    <col min="6913" max="6913" width="43.140625" style="531" customWidth="1"/>
    <col min="6914" max="6914" width="9.140625" style="531"/>
    <col min="6915" max="6915" width="7.85546875" style="531" customWidth="1"/>
    <col min="6916" max="6916" width="9.140625" style="531"/>
    <col min="6917" max="6917" width="6.5703125" style="531" customWidth="1"/>
    <col min="6918" max="6918" width="9.140625" style="531"/>
    <col min="6919" max="6919" width="8.7109375" style="531" customWidth="1"/>
    <col min="6920" max="6920" width="11.42578125" style="531" bestFit="1" customWidth="1"/>
    <col min="6921" max="6921" width="6.5703125" style="531" customWidth="1"/>
    <col min="6922" max="6922" width="17.5703125" style="531" customWidth="1"/>
    <col min="6923" max="7168" width="9.140625" style="531"/>
    <col min="7169" max="7169" width="43.140625" style="531" customWidth="1"/>
    <col min="7170" max="7170" width="9.140625" style="531"/>
    <col min="7171" max="7171" width="7.85546875" style="531" customWidth="1"/>
    <col min="7172" max="7172" width="9.140625" style="531"/>
    <col min="7173" max="7173" width="6.5703125" style="531" customWidth="1"/>
    <col min="7174" max="7174" width="9.140625" style="531"/>
    <col min="7175" max="7175" width="8.7109375" style="531" customWidth="1"/>
    <col min="7176" max="7176" width="11.42578125" style="531" bestFit="1" customWidth="1"/>
    <col min="7177" max="7177" width="6.5703125" style="531" customWidth="1"/>
    <col min="7178" max="7178" width="17.5703125" style="531" customWidth="1"/>
    <col min="7179" max="7424" width="9.140625" style="531"/>
    <col min="7425" max="7425" width="43.140625" style="531" customWidth="1"/>
    <col min="7426" max="7426" width="9.140625" style="531"/>
    <col min="7427" max="7427" width="7.85546875" style="531" customWidth="1"/>
    <col min="7428" max="7428" width="9.140625" style="531"/>
    <col min="7429" max="7429" width="6.5703125" style="531" customWidth="1"/>
    <col min="7430" max="7430" width="9.140625" style="531"/>
    <col min="7431" max="7431" width="8.7109375" style="531" customWidth="1"/>
    <col min="7432" max="7432" width="11.42578125" style="531" bestFit="1" customWidth="1"/>
    <col min="7433" max="7433" width="6.5703125" style="531" customWidth="1"/>
    <col min="7434" max="7434" width="17.5703125" style="531" customWidth="1"/>
    <col min="7435" max="7680" width="9.140625" style="531"/>
    <col min="7681" max="7681" width="43.140625" style="531" customWidth="1"/>
    <col min="7682" max="7682" width="9.140625" style="531"/>
    <col min="7683" max="7683" width="7.85546875" style="531" customWidth="1"/>
    <col min="7684" max="7684" width="9.140625" style="531"/>
    <col min="7685" max="7685" width="6.5703125" style="531" customWidth="1"/>
    <col min="7686" max="7686" width="9.140625" style="531"/>
    <col min="7687" max="7687" width="8.7109375" style="531" customWidth="1"/>
    <col min="7688" max="7688" width="11.42578125" style="531" bestFit="1" customWidth="1"/>
    <col min="7689" max="7689" width="6.5703125" style="531" customWidth="1"/>
    <col min="7690" max="7690" width="17.5703125" style="531" customWidth="1"/>
    <col min="7691" max="7936" width="9.140625" style="531"/>
    <col min="7937" max="7937" width="43.140625" style="531" customWidth="1"/>
    <col min="7938" max="7938" width="9.140625" style="531"/>
    <col min="7939" max="7939" width="7.85546875" style="531" customWidth="1"/>
    <col min="7940" max="7940" width="9.140625" style="531"/>
    <col min="7941" max="7941" width="6.5703125" style="531" customWidth="1"/>
    <col min="7942" max="7942" width="9.140625" style="531"/>
    <col min="7943" max="7943" width="8.7109375" style="531" customWidth="1"/>
    <col min="7944" max="7944" width="11.42578125" style="531" bestFit="1" customWidth="1"/>
    <col min="7945" max="7945" width="6.5703125" style="531" customWidth="1"/>
    <col min="7946" max="7946" width="17.5703125" style="531" customWidth="1"/>
    <col min="7947" max="8192" width="9.140625" style="531"/>
    <col min="8193" max="8193" width="43.140625" style="531" customWidth="1"/>
    <col min="8194" max="8194" width="9.140625" style="531"/>
    <col min="8195" max="8195" width="7.85546875" style="531" customWidth="1"/>
    <col min="8196" max="8196" width="9.140625" style="531"/>
    <col min="8197" max="8197" width="6.5703125" style="531" customWidth="1"/>
    <col min="8198" max="8198" width="9.140625" style="531"/>
    <col min="8199" max="8199" width="8.7109375" style="531" customWidth="1"/>
    <col min="8200" max="8200" width="11.42578125" style="531" bestFit="1" customWidth="1"/>
    <col min="8201" max="8201" width="6.5703125" style="531" customWidth="1"/>
    <col min="8202" max="8202" width="17.5703125" style="531" customWidth="1"/>
    <col min="8203" max="8448" width="9.140625" style="531"/>
    <col min="8449" max="8449" width="43.140625" style="531" customWidth="1"/>
    <col min="8450" max="8450" width="9.140625" style="531"/>
    <col min="8451" max="8451" width="7.85546875" style="531" customWidth="1"/>
    <col min="8452" max="8452" width="9.140625" style="531"/>
    <col min="8453" max="8453" width="6.5703125" style="531" customWidth="1"/>
    <col min="8454" max="8454" width="9.140625" style="531"/>
    <col min="8455" max="8455" width="8.7109375" style="531" customWidth="1"/>
    <col min="8456" max="8456" width="11.42578125" style="531" bestFit="1" customWidth="1"/>
    <col min="8457" max="8457" width="6.5703125" style="531" customWidth="1"/>
    <col min="8458" max="8458" width="17.5703125" style="531" customWidth="1"/>
    <col min="8459" max="8704" width="9.140625" style="531"/>
    <col min="8705" max="8705" width="43.140625" style="531" customWidth="1"/>
    <col min="8706" max="8706" width="9.140625" style="531"/>
    <col min="8707" max="8707" width="7.85546875" style="531" customWidth="1"/>
    <col min="8708" max="8708" width="9.140625" style="531"/>
    <col min="8709" max="8709" width="6.5703125" style="531" customWidth="1"/>
    <col min="8710" max="8710" width="9.140625" style="531"/>
    <col min="8711" max="8711" width="8.7109375" style="531" customWidth="1"/>
    <col min="8712" max="8712" width="11.42578125" style="531" bestFit="1" customWidth="1"/>
    <col min="8713" max="8713" width="6.5703125" style="531" customWidth="1"/>
    <col min="8714" max="8714" width="17.5703125" style="531" customWidth="1"/>
    <col min="8715" max="8960" width="9.140625" style="531"/>
    <col min="8961" max="8961" width="43.140625" style="531" customWidth="1"/>
    <col min="8962" max="8962" width="9.140625" style="531"/>
    <col min="8963" max="8963" width="7.85546875" style="531" customWidth="1"/>
    <col min="8964" max="8964" width="9.140625" style="531"/>
    <col min="8965" max="8965" width="6.5703125" style="531" customWidth="1"/>
    <col min="8966" max="8966" width="9.140625" style="531"/>
    <col min="8967" max="8967" width="8.7109375" style="531" customWidth="1"/>
    <col min="8968" max="8968" width="11.42578125" style="531" bestFit="1" customWidth="1"/>
    <col min="8969" max="8969" width="6.5703125" style="531" customWidth="1"/>
    <col min="8970" max="8970" width="17.5703125" style="531" customWidth="1"/>
    <col min="8971" max="9216" width="9.140625" style="531"/>
    <col min="9217" max="9217" width="43.140625" style="531" customWidth="1"/>
    <col min="9218" max="9218" width="9.140625" style="531"/>
    <col min="9219" max="9219" width="7.85546875" style="531" customWidth="1"/>
    <col min="9220" max="9220" width="9.140625" style="531"/>
    <col min="9221" max="9221" width="6.5703125" style="531" customWidth="1"/>
    <col min="9222" max="9222" width="9.140625" style="531"/>
    <col min="9223" max="9223" width="8.7109375" style="531" customWidth="1"/>
    <col min="9224" max="9224" width="11.42578125" style="531" bestFit="1" customWidth="1"/>
    <col min="9225" max="9225" width="6.5703125" style="531" customWidth="1"/>
    <col min="9226" max="9226" width="17.5703125" style="531" customWidth="1"/>
    <col min="9227" max="9472" width="9.140625" style="531"/>
    <col min="9473" max="9473" width="43.140625" style="531" customWidth="1"/>
    <col min="9474" max="9474" width="9.140625" style="531"/>
    <col min="9475" max="9475" width="7.85546875" style="531" customWidth="1"/>
    <col min="9476" max="9476" width="9.140625" style="531"/>
    <col min="9477" max="9477" width="6.5703125" style="531" customWidth="1"/>
    <col min="9478" max="9478" width="9.140625" style="531"/>
    <col min="9479" max="9479" width="8.7109375" style="531" customWidth="1"/>
    <col min="9480" max="9480" width="11.42578125" style="531" bestFit="1" customWidth="1"/>
    <col min="9481" max="9481" width="6.5703125" style="531" customWidth="1"/>
    <col min="9482" max="9482" width="17.5703125" style="531" customWidth="1"/>
    <col min="9483" max="9728" width="9.140625" style="531"/>
    <col min="9729" max="9729" width="43.140625" style="531" customWidth="1"/>
    <col min="9730" max="9730" width="9.140625" style="531"/>
    <col min="9731" max="9731" width="7.85546875" style="531" customWidth="1"/>
    <col min="9732" max="9732" width="9.140625" style="531"/>
    <col min="9733" max="9733" width="6.5703125" style="531" customWidth="1"/>
    <col min="9734" max="9734" width="9.140625" style="531"/>
    <col min="9735" max="9735" width="8.7109375" style="531" customWidth="1"/>
    <col min="9736" max="9736" width="11.42578125" style="531" bestFit="1" customWidth="1"/>
    <col min="9737" max="9737" width="6.5703125" style="531" customWidth="1"/>
    <col min="9738" max="9738" width="17.5703125" style="531" customWidth="1"/>
    <col min="9739" max="9984" width="9.140625" style="531"/>
    <col min="9985" max="9985" width="43.140625" style="531" customWidth="1"/>
    <col min="9986" max="9986" width="9.140625" style="531"/>
    <col min="9987" max="9987" width="7.85546875" style="531" customWidth="1"/>
    <col min="9988" max="9988" width="9.140625" style="531"/>
    <col min="9989" max="9989" width="6.5703125" style="531" customWidth="1"/>
    <col min="9990" max="9990" width="9.140625" style="531"/>
    <col min="9991" max="9991" width="8.7109375" style="531" customWidth="1"/>
    <col min="9992" max="9992" width="11.42578125" style="531" bestFit="1" customWidth="1"/>
    <col min="9993" max="9993" width="6.5703125" style="531" customWidth="1"/>
    <col min="9994" max="9994" width="17.5703125" style="531" customWidth="1"/>
    <col min="9995" max="10240" width="9.140625" style="531"/>
    <col min="10241" max="10241" width="43.140625" style="531" customWidth="1"/>
    <col min="10242" max="10242" width="9.140625" style="531"/>
    <col min="10243" max="10243" width="7.85546875" style="531" customWidth="1"/>
    <col min="10244" max="10244" width="9.140625" style="531"/>
    <col min="10245" max="10245" width="6.5703125" style="531" customWidth="1"/>
    <col min="10246" max="10246" width="9.140625" style="531"/>
    <col min="10247" max="10247" width="8.7109375" style="531" customWidth="1"/>
    <col min="10248" max="10248" width="11.42578125" style="531" bestFit="1" customWidth="1"/>
    <col min="10249" max="10249" width="6.5703125" style="531" customWidth="1"/>
    <col min="10250" max="10250" width="17.5703125" style="531" customWidth="1"/>
    <col min="10251" max="10496" width="9.140625" style="531"/>
    <col min="10497" max="10497" width="43.140625" style="531" customWidth="1"/>
    <col min="10498" max="10498" width="9.140625" style="531"/>
    <col min="10499" max="10499" width="7.85546875" style="531" customWidth="1"/>
    <col min="10500" max="10500" width="9.140625" style="531"/>
    <col min="10501" max="10501" width="6.5703125" style="531" customWidth="1"/>
    <col min="10502" max="10502" width="9.140625" style="531"/>
    <col min="10503" max="10503" width="8.7109375" style="531" customWidth="1"/>
    <col min="10504" max="10504" width="11.42578125" style="531" bestFit="1" customWidth="1"/>
    <col min="10505" max="10505" width="6.5703125" style="531" customWidth="1"/>
    <col min="10506" max="10506" width="17.5703125" style="531" customWidth="1"/>
    <col min="10507" max="10752" width="9.140625" style="531"/>
    <col min="10753" max="10753" width="43.140625" style="531" customWidth="1"/>
    <col min="10754" max="10754" width="9.140625" style="531"/>
    <col min="10755" max="10755" width="7.85546875" style="531" customWidth="1"/>
    <col min="10756" max="10756" width="9.140625" style="531"/>
    <col min="10757" max="10757" width="6.5703125" style="531" customWidth="1"/>
    <col min="10758" max="10758" width="9.140625" style="531"/>
    <col min="10759" max="10759" width="8.7109375" style="531" customWidth="1"/>
    <col min="10760" max="10760" width="11.42578125" style="531" bestFit="1" customWidth="1"/>
    <col min="10761" max="10761" width="6.5703125" style="531" customWidth="1"/>
    <col min="10762" max="10762" width="17.5703125" style="531" customWidth="1"/>
    <col min="10763" max="11008" width="9.140625" style="531"/>
    <col min="11009" max="11009" width="43.140625" style="531" customWidth="1"/>
    <col min="11010" max="11010" width="9.140625" style="531"/>
    <col min="11011" max="11011" width="7.85546875" style="531" customWidth="1"/>
    <col min="11012" max="11012" width="9.140625" style="531"/>
    <col min="11013" max="11013" width="6.5703125" style="531" customWidth="1"/>
    <col min="11014" max="11014" width="9.140625" style="531"/>
    <col min="11015" max="11015" width="8.7109375" style="531" customWidth="1"/>
    <col min="11016" max="11016" width="11.42578125" style="531" bestFit="1" customWidth="1"/>
    <col min="11017" max="11017" width="6.5703125" style="531" customWidth="1"/>
    <col min="11018" max="11018" width="17.5703125" style="531" customWidth="1"/>
    <col min="11019" max="11264" width="9.140625" style="531"/>
    <col min="11265" max="11265" width="43.140625" style="531" customWidth="1"/>
    <col min="11266" max="11266" width="9.140625" style="531"/>
    <col min="11267" max="11267" width="7.85546875" style="531" customWidth="1"/>
    <col min="11268" max="11268" width="9.140625" style="531"/>
    <col min="11269" max="11269" width="6.5703125" style="531" customWidth="1"/>
    <col min="11270" max="11270" width="9.140625" style="531"/>
    <col min="11271" max="11271" width="8.7109375" style="531" customWidth="1"/>
    <col min="11272" max="11272" width="11.42578125" style="531" bestFit="1" customWidth="1"/>
    <col min="11273" max="11273" width="6.5703125" style="531" customWidth="1"/>
    <col min="11274" max="11274" width="17.5703125" style="531" customWidth="1"/>
    <col min="11275" max="11520" width="9.140625" style="531"/>
    <col min="11521" max="11521" width="43.140625" style="531" customWidth="1"/>
    <col min="11522" max="11522" width="9.140625" style="531"/>
    <col min="11523" max="11523" width="7.85546875" style="531" customWidth="1"/>
    <col min="11524" max="11524" width="9.140625" style="531"/>
    <col min="11525" max="11525" width="6.5703125" style="531" customWidth="1"/>
    <col min="11526" max="11526" width="9.140625" style="531"/>
    <col min="11527" max="11527" width="8.7109375" style="531" customWidth="1"/>
    <col min="11528" max="11528" width="11.42578125" style="531" bestFit="1" customWidth="1"/>
    <col min="11529" max="11529" width="6.5703125" style="531" customWidth="1"/>
    <col min="11530" max="11530" width="17.5703125" style="531" customWidth="1"/>
    <col min="11531" max="11776" width="9.140625" style="531"/>
    <col min="11777" max="11777" width="43.140625" style="531" customWidth="1"/>
    <col min="11778" max="11778" width="9.140625" style="531"/>
    <col min="11779" max="11779" width="7.85546875" style="531" customWidth="1"/>
    <col min="11780" max="11780" width="9.140625" style="531"/>
    <col min="11781" max="11781" width="6.5703125" style="531" customWidth="1"/>
    <col min="11782" max="11782" width="9.140625" style="531"/>
    <col min="11783" max="11783" width="8.7109375" style="531" customWidth="1"/>
    <col min="11784" max="11784" width="11.42578125" style="531" bestFit="1" customWidth="1"/>
    <col min="11785" max="11785" width="6.5703125" style="531" customWidth="1"/>
    <col min="11786" max="11786" width="17.5703125" style="531" customWidth="1"/>
    <col min="11787" max="12032" width="9.140625" style="531"/>
    <col min="12033" max="12033" width="43.140625" style="531" customWidth="1"/>
    <col min="12034" max="12034" width="9.140625" style="531"/>
    <col min="12035" max="12035" width="7.85546875" style="531" customWidth="1"/>
    <col min="12036" max="12036" width="9.140625" style="531"/>
    <col min="12037" max="12037" width="6.5703125" style="531" customWidth="1"/>
    <col min="12038" max="12038" width="9.140625" style="531"/>
    <col min="12039" max="12039" width="8.7109375" style="531" customWidth="1"/>
    <col min="12040" max="12040" width="11.42578125" style="531" bestFit="1" customWidth="1"/>
    <col min="12041" max="12041" width="6.5703125" style="531" customWidth="1"/>
    <col min="12042" max="12042" width="17.5703125" style="531" customWidth="1"/>
    <col min="12043" max="12288" width="9.140625" style="531"/>
    <col min="12289" max="12289" width="43.140625" style="531" customWidth="1"/>
    <col min="12290" max="12290" width="9.140625" style="531"/>
    <col min="12291" max="12291" width="7.85546875" style="531" customWidth="1"/>
    <col min="12292" max="12292" width="9.140625" style="531"/>
    <col min="12293" max="12293" width="6.5703125" style="531" customWidth="1"/>
    <col min="12294" max="12294" width="9.140625" style="531"/>
    <col min="12295" max="12295" width="8.7109375" style="531" customWidth="1"/>
    <col min="12296" max="12296" width="11.42578125" style="531" bestFit="1" customWidth="1"/>
    <col min="12297" max="12297" width="6.5703125" style="531" customWidth="1"/>
    <col min="12298" max="12298" width="17.5703125" style="531" customWidth="1"/>
    <col min="12299" max="12544" width="9.140625" style="531"/>
    <col min="12545" max="12545" width="43.140625" style="531" customWidth="1"/>
    <col min="12546" max="12546" width="9.140625" style="531"/>
    <col min="12547" max="12547" width="7.85546875" style="531" customWidth="1"/>
    <col min="12548" max="12548" width="9.140625" style="531"/>
    <col min="12549" max="12549" width="6.5703125" style="531" customWidth="1"/>
    <col min="12550" max="12550" width="9.140625" style="531"/>
    <col min="12551" max="12551" width="8.7109375" style="531" customWidth="1"/>
    <col min="12552" max="12552" width="11.42578125" style="531" bestFit="1" customWidth="1"/>
    <col min="12553" max="12553" width="6.5703125" style="531" customWidth="1"/>
    <col min="12554" max="12554" width="17.5703125" style="531" customWidth="1"/>
    <col min="12555" max="12800" width="9.140625" style="531"/>
    <col min="12801" max="12801" width="43.140625" style="531" customWidth="1"/>
    <col min="12802" max="12802" width="9.140625" style="531"/>
    <col min="12803" max="12803" width="7.85546875" style="531" customWidth="1"/>
    <col min="12804" max="12804" width="9.140625" style="531"/>
    <col min="12805" max="12805" width="6.5703125" style="531" customWidth="1"/>
    <col min="12806" max="12806" width="9.140625" style="531"/>
    <col min="12807" max="12807" width="8.7109375" style="531" customWidth="1"/>
    <col min="12808" max="12808" width="11.42578125" style="531" bestFit="1" customWidth="1"/>
    <col min="12809" max="12809" width="6.5703125" style="531" customWidth="1"/>
    <col min="12810" max="12810" width="17.5703125" style="531" customWidth="1"/>
    <col min="12811" max="13056" width="9.140625" style="531"/>
    <col min="13057" max="13057" width="43.140625" style="531" customWidth="1"/>
    <col min="13058" max="13058" width="9.140625" style="531"/>
    <col min="13059" max="13059" width="7.85546875" style="531" customWidth="1"/>
    <col min="13060" max="13060" width="9.140625" style="531"/>
    <col min="13061" max="13061" width="6.5703125" style="531" customWidth="1"/>
    <col min="13062" max="13062" width="9.140625" style="531"/>
    <col min="13063" max="13063" width="8.7109375" style="531" customWidth="1"/>
    <col min="13064" max="13064" width="11.42578125" style="531" bestFit="1" customWidth="1"/>
    <col min="13065" max="13065" width="6.5703125" style="531" customWidth="1"/>
    <col min="13066" max="13066" width="17.5703125" style="531" customWidth="1"/>
    <col min="13067" max="13312" width="9.140625" style="531"/>
    <col min="13313" max="13313" width="43.140625" style="531" customWidth="1"/>
    <col min="13314" max="13314" width="9.140625" style="531"/>
    <col min="13315" max="13315" width="7.85546875" style="531" customWidth="1"/>
    <col min="13316" max="13316" width="9.140625" style="531"/>
    <col min="13317" max="13317" width="6.5703125" style="531" customWidth="1"/>
    <col min="13318" max="13318" width="9.140625" style="531"/>
    <col min="13319" max="13319" width="8.7109375" style="531" customWidth="1"/>
    <col min="13320" max="13320" width="11.42578125" style="531" bestFit="1" customWidth="1"/>
    <col min="13321" max="13321" width="6.5703125" style="531" customWidth="1"/>
    <col min="13322" max="13322" width="17.5703125" style="531" customWidth="1"/>
    <col min="13323" max="13568" width="9.140625" style="531"/>
    <col min="13569" max="13569" width="43.140625" style="531" customWidth="1"/>
    <col min="13570" max="13570" width="9.140625" style="531"/>
    <col min="13571" max="13571" width="7.85546875" style="531" customWidth="1"/>
    <col min="13572" max="13572" width="9.140625" style="531"/>
    <col min="13573" max="13573" width="6.5703125" style="531" customWidth="1"/>
    <col min="13574" max="13574" width="9.140625" style="531"/>
    <col min="13575" max="13575" width="8.7109375" style="531" customWidth="1"/>
    <col min="13576" max="13576" width="11.42578125" style="531" bestFit="1" customWidth="1"/>
    <col min="13577" max="13577" width="6.5703125" style="531" customWidth="1"/>
    <col min="13578" max="13578" width="17.5703125" style="531" customWidth="1"/>
    <col min="13579" max="13824" width="9.140625" style="531"/>
    <col min="13825" max="13825" width="43.140625" style="531" customWidth="1"/>
    <col min="13826" max="13826" width="9.140625" style="531"/>
    <col min="13827" max="13827" width="7.85546875" style="531" customWidth="1"/>
    <col min="13828" max="13828" width="9.140625" style="531"/>
    <col min="13829" max="13829" width="6.5703125" style="531" customWidth="1"/>
    <col min="13830" max="13830" width="9.140625" style="531"/>
    <col min="13831" max="13831" width="8.7109375" style="531" customWidth="1"/>
    <col min="13832" max="13832" width="11.42578125" style="531" bestFit="1" customWidth="1"/>
    <col min="13833" max="13833" width="6.5703125" style="531" customWidth="1"/>
    <col min="13834" max="13834" width="17.5703125" style="531" customWidth="1"/>
    <col min="13835" max="14080" width="9.140625" style="531"/>
    <col min="14081" max="14081" width="43.140625" style="531" customWidth="1"/>
    <col min="14082" max="14082" width="9.140625" style="531"/>
    <col min="14083" max="14083" width="7.85546875" style="531" customWidth="1"/>
    <col min="14084" max="14084" width="9.140625" style="531"/>
    <col min="14085" max="14085" width="6.5703125" style="531" customWidth="1"/>
    <col min="14086" max="14086" width="9.140625" style="531"/>
    <col min="14087" max="14087" width="8.7109375" style="531" customWidth="1"/>
    <col min="14088" max="14088" width="11.42578125" style="531" bestFit="1" customWidth="1"/>
    <col min="14089" max="14089" width="6.5703125" style="531" customWidth="1"/>
    <col min="14090" max="14090" width="17.5703125" style="531" customWidth="1"/>
    <col min="14091" max="14336" width="9.140625" style="531"/>
    <col min="14337" max="14337" width="43.140625" style="531" customWidth="1"/>
    <col min="14338" max="14338" width="9.140625" style="531"/>
    <col min="14339" max="14339" width="7.85546875" style="531" customWidth="1"/>
    <col min="14340" max="14340" width="9.140625" style="531"/>
    <col min="14341" max="14341" width="6.5703125" style="531" customWidth="1"/>
    <col min="14342" max="14342" width="9.140625" style="531"/>
    <col min="14343" max="14343" width="8.7109375" style="531" customWidth="1"/>
    <col min="14344" max="14344" width="11.42578125" style="531" bestFit="1" customWidth="1"/>
    <col min="14345" max="14345" width="6.5703125" style="531" customWidth="1"/>
    <col min="14346" max="14346" width="17.5703125" style="531" customWidth="1"/>
    <col min="14347" max="14592" width="9.140625" style="531"/>
    <col min="14593" max="14593" width="43.140625" style="531" customWidth="1"/>
    <col min="14594" max="14594" width="9.140625" style="531"/>
    <col min="14595" max="14595" width="7.85546875" style="531" customWidth="1"/>
    <col min="14596" max="14596" width="9.140625" style="531"/>
    <col min="14597" max="14597" width="6.5703125" style="531" customWidth="1"/>
    <col min="14598" max="14598" width="9.140625" style="531"/>
    <col min="14599" max="14599" width="8.7109375" style="531" customWidth="1"/>
    <col min="14600" max="14600" width="11.42578125" style="531" bestFit="1" customWidth="1"/>
    <col min="14601" max="14601" width="6.5703125" style="531" customWidth="1"/>
    <col min="14602" max="14602" width="17.5703125" style="531" customWidth="1"/>
    <col min="14603" max="14848" width="9.140625" style="531"/>
    <col min="14849" max="14849" width="43.140625" style="531" customWidth="1"/>
    <col min="14850" max="14850" width="9.140625" style="531"/>
    <col min="14851" max="14851" width="7.85546875" style="531" customWidth="1"/>
    <col min="14852" max="14852" width="9.140625" style="531"/>
    <col min="14853" max="14853" width="6.5703125" style="531" customWidth="1"/>
    <col min="14854" max="14854" width="9.140625" style="531"/>
    <col min="14855" max="14855" width="8.7109375" style="531" customWidth="1"/>
    <col min="14856" max="14856" width="11.42578125" style="531" bestFit="1" customWidth="1"/>
    <col min="14857" max="14857" width="6.5703125" style="531" customWidth="1"/>
    <col min="14858" max="14858" width="17.5703125" style="531" customWidth="1"/>
    <col min="14859" max="15104" width="9.140625" style="531"/>
    <col min="15105" max="15105" width="43.140625" style="531" customWidth="1"/>
    <col min="15106" max="15106" width="9.140625" style="531"/>
    <col min="15107" max="15107" width="7.85546875" style="531" customWidth="1"/>
    <col min="15108" max="15108" width="9.140625" style="531"/>
    <col min="15109" max="15109" width="6.5703125" style="531" customWidth="1"/>
    <col min="15110" max="15110" width="9.140625" style="531"/>
    <col min="15111" max="15111" width="8.7109375" style="531" customWidth="1"/>
    <col min="15112" max="15112" width="11.42578125" style="531" bestFit="1" customWidth="1"/>
    <col min="15113" max="15113" width="6.5703125" style="531" customWidth="1"/>
    <col min="15114" max="15114" width="17.5703125" style="531" customWidth="1"/>
    <col min="15115" max="15360" width="9.140625" style="531"/>
    <col min="15361" max="15361" width="43.140625" style="531" customWidth="1"/>
    <col min="15362" max="15362" width="9.140625" style="531"/>
    <col min="15363" max="15363" width="7.85546875" style="531" customWidth="1"/>
    <col min="15364" max="15364" width="9.140625" style="531"/>
    <col min="15365" max="15365" width="6.5703125" style="531" customWidth="1"/>
    <col min="15366" max="15366" width="9.140625" style="531"/>
    <col min="15367" max="15367" width="8.7109375" style="531" customWidth="1"/>
    <col min="15368" max="15368" width="11.42578125" style="531" bestFit="1" customWidth="1"/>
    <col min="15369" max="15369" width="6.5703125" style="531" customWidth="1"/>
    <col min="15370" max="15370" width="17.5703125" style="531" customWidth="1"/>
    <col min="15371" max="15616" width="9.140625" style="531"/>
    <col min="15617" max="15617" width="43.140625" style="531" customWidth="1"/>
    <col min="15618" max="15618" width="9.140625" style="531"/>
    <col min="15619" max="15619" width="7.85546875" style="531" customWidth="1"/>
    <col min="15620" max="15620" width="9.140625" style="531"/>
    <col min="15621" max="15621" width="6.5703125" style="531" customWidth="1"/>
    <col min="15622" max="15622" width="9.140625" style="531"/>
    <col min="15623" max="15623" width="8.7109375" style="531" customWidth="1"/>
    <col min="15624" max="15624" width="11.42578125" style="531" bestFit="1" customWidth="1"/>
    <col min="15625" max="15625" width="6.5703125" style="531" customWidth="1"/>
    <col min="15626" max="15626" width="17.5703125" style="531" customWidth="1"/>
    <col min="15627" max="15872" width="9.140625" style="531"/>
    <col min="15873" max="15873" width="43.140625" style="531" customWidth="1"/>
    <col min="15874" max="15874" width="9.140625" style="531"/>
    <col min="15875" max="15875" width="7.85546875" style="531" customWidth="1"/>
    <col min="15876" max="15876" width="9.140625" style="531"/>
    <col min="15877" max="15877" width="6.5703125" style="531" customWidth="1"/>
    <col min="15878" max="15878" width="9.140625" style="531"/>
    <col min="15879" max="15879" width="8.7109375" style="531" customWidth="1"/>
    <col min="15880" max="15880" width="11.42578125" style="531" bestFit="1" customWidth="1"/>
    <col min="15881" max="15881" width="6.5703125" style="531" customWidth="1"/>
    <col min="15882" max="15882" width="17.5703125" style="531" customWidth="1"/>
    <col min="15883" max="16128" width="9.140625" style="531"/>
    <col min="16129" max="16129" width="43.140625" style="531" customWidth="1"/>
    <col min="16130" max="16130" width="9.140625" style="531"/>
    <col min="16131" max="16131" width="7.85546875" style="531" customWidth="1"/>
    <col min="16132" max="16132" width="9.140625" style="531"/>
    <col min="16133" max="16133" width="6.5703125" style="531" customWidth="1"/>
    <col min="16134" max="16134" width="9.140625" style="531"/>
    <col min="16135" max="16135" width="8.7109375" style="531" customWidth="1"/>
    <col min="16136" max="16136" width="11.42578125" style="531" bestFit="1" customWidth="1"/>
    <col min="16137" max="16137" width="6.5703125" style="531" customWidth="1"/>
    <col min="16138" max="16138" width="17.5703125" style="531" customWidth="1"/>
    <col min="16139" max="16384" width="9.140625" style="531"/>
  </cols>
  <sheetData>
    <row r="1" spans="1:11" x14ac:dyDescent="0.2">
      <c r="J1" s="532"/>
    </row>
    <row r="2" spans="1:11" ht="15" x14ac:dyDescent="0.25">
      <c r="A2" s="722"/>
      <c r="B2" s="722"/>
      <c r="C2" s="722"/>
      <c r="D2" s="722"/>
      <c r="E2" s="722"/>
      <c r="F2" s="722"/>
      <c r="G2" s="722"/>
      <c r="H2" s="722"/>
      <c r="I2" s="722"/>
      <c r="J2" s="722"/>
    </row>
    <row r="3" spans="1:11" ht="18.75" x14ac:dyDescent="0.3">
      <c r="A3" s="723" t="s">
        <v>994</v>
      </c>
      <c r="B3" s="723"/>
      <c r="C3" s="723"/>
      <c r="D3" s="723"/>
      <c r="E3" s="723"/>
      <c r="F3" s="723"/>
      <c r="G3" s="723"/>
      <c r="H3" s="723"/>
      <c r="I3" s="723"/>
      <c r="J3" s="723"/>
    </row>
    <row r="4" spans="1:11" x14ac:dyDescent="0.2">
      <c r="A4" s="724" t="s">
        <v>995</v>
      </c>
      <c r="B4" s="724"/>
      <c r="C4" s="724"/>
      <c r="D4" s="724"/>
      <c r="E4" s="724"/>
      <c r="F4" s="724"/>
      <c r="G4" s="724"/>
      <c r="H4" s="724"/>
      <c r="I4" s="724"/>
      <c r="J4" s="724"/>
    </row>
    <row r="5" spans="1:11" ht="16.5" thickBot="1" x14ac:dyDescent="0.3">
      <c r="A5" s="12"/>
      <c r="B5" s="533"/>
      <c r="C5" s="534"/>
      <c r="D5" s="533"/>
      <c r="E5" s="534"/>
      <c r="F5" s="533"/>
      <c r="G5" s="534"/>
      <c r="H5" s="533"/>
      <c r="I5" s="534"/>
      <c r="J5"/>
    </row>
    <row r="6" spans="1:11" ht="30.75" customHeight="1" x14ac:dyDescent="0.2">
      <c r="A6" s="535" t="s">
        <v>996</v>
      </c>
      <c r="B6" s="725" t="s">
        <v>529</v>
      </c>
      <c r="C6" s="726"/>
      <c r="D6" s="727" t="s">
        <v>997</v>
      </c>
      <c r="E6" s="728"/>
      <c r="F6" s="727" t="s">
        <v>998</v>
      </c>
      <c r="G6" s="728"/>
      <c r="H6" s="727" t="s">
        <v>313</v>
      </c>
      <c r="I6" s="728"/>
      <c r="J6" s="536" t="s">
        <v>168</v>
      </c>
    </row>
    <row r="7" spans="1:11" ht="15.75" x14ac:dyDescent="0.25">
      <c r="A7" s="60" t="s">
        <v>999</v>
      </c>
      <c r="B7" s="733"/>
      <c r="C7" s="734"/>
      <c r="D7" s="733"/>
      <c r="E7" s="734"/>
      <c r="F7" s="733"/>
      <c r="G7" s="734"/>
      <c r="H7" s="733"/>
      <c r="I7" s="734"/>
      <c r="J7" s="537"/>
    </row>
    <row r="8" spans="1:11" ht="15.75" x14ac:dyDescent="0.25">
      <c r="A8" s="60" t="s">
        <v>1000</v>
      </c>
      <c r="B8" s="735">
        <v>807206</v>
      </c>
      <c r="C8" s="735"/>
      <c r="D8" s="735">
        <v>109</v>
      </c>
      <c r="E8" s="735"/>
      <c r="F8" s="735">
        <v>370</v>
      </c>
      <c r="G8" s="735"/>
      <c r="H8" s="736">
        <v>76</v>
      </c>
      <c r="I8" s="737"/>
      <c r="J8" s="538">
        <f>SUM(B8:I8)</f>
        <v>807761</v>
      </c>
    </row>
    <row r="9" spans="1:11" ht="16.5" thickBot="1" x14ac:dyDescent="0.3">
      <c r="A9" s="60" t="s">
        <v>1001</v>
      </c>
      <c r="B9" s="738">
        <v>299</v>
      </c>
      <c r="C9" s="738"/>
      <c r="D9" s="738">
        <v>41</v>
      </c>
      <c r="E9" s="738"/>
      <c r="F9" s="738">
        <v>11</v>
      </c>
      <c r="G9" s="738"/>
      <c r="H9" s="739">
        <v>12</v>
      </c>
      <c r="I9" s="740"/>
      <c r="J9" s="539">
        <f>SUM(B9:I9)</f>
        <v>363</v>
      </c>
    </row>
    <row r="10" spans="1:11" ht="16.5" thickBot="1" x14ac:dyDescent="0.3">
      <c r="A10" s="540" t="s">
        <v>1033</v>
      </c>
      <c r="B10" s="729">
        <f>SUM(B8:C9)</f>
        <v>807505</v>
      </c>
      <c r="C10" s="730"/>
      <c r="D10" s="729">
        <f t="shared" ref="D10" si="0">SUM(D8:E9)</f>
        <v>150</v>
      </c>
      <c r="E10" s="730"/>
      <c r="F10" s="729">
        <f t="shared" ref="F10" si="1">SUM(F8:G9)</f>
        <v>381</v>
      </c>
      <c r="G10" s="730"/>
      <c r="H10" s="731">
        <f t="shared" ref="H10" si="2">SUM(H8:I9)</f>
        <v>88</v>
      </c>
      <c r="I10" s="732"/>
      <c r="J10" s="541">
        <f t="shared" ref="J10" si="3">SUM(B10:I10)</f>
        <v>808124</v>
      </c>
    </row>
    <row r="11" spans="1:11" ht="15.75" x14ac:dyDescent="0.25">
      <c r="A11" s="60"/>
      <c r="B11" s="741"/>
      <c r="C11" s="742"/>
      <c r="D11" s="741"/>
      <c r="E11" s="742"/>
      <c r="F11" s="741"/>
      <c r="G11" s="742"/>
      <c r="H11" s="741"/>
      <c r="I11" s="743"/>
      <c r="J11" s="542"/>
    </row>
    <row r="12" spans="1:11" ht="15.75" x14ac:dyDescent="0.25">
      <c r="A12" s="60" t="s">
        <v>1002</v>
      </c>
      <c r="B12" s="741"/>
      <c r="C12" s="742"/>
      <c r="D12" s="741"/>
      <c r="E12" s="742"/>
      <c r="F12" s="741"/>
      <c r="G12" s="742"/>
      <c r="H12" s="741"/>
      <c r="I12" s="743"/>
      <c r="J12" s="543"/>
    </row>
    <row r="13" spans="1:11" ht="15.75" x14ac:dyDescent="0.25">
      <c r="A13" s="60" t="s">
        <v>1000</v>
      </c>
      <c r="B13" s="757">
        <v>461320</v>
      </c>
      <c r="C13" s="758"/>
      <c r="D13" s="761">
        <v>254</v>
      </c>
      <c r="E13" s="762"/>
      <c r="F13" s="761">
        <v>433</v>
      </c>
      <c r="G13" s="762"/>
      <c r="H13" s="664">
        <v>203</v>
      </c>
      <c r="I13" s="754"/>
      <c r="J13" s="544">
        <f>SUM(B13:I13)</f>
        <v>462210</v>
      </c>
    </row>
    <row r="14" spans="1:11" ht="16.5" thickBot="1" x14ac:dyDescent="0.3">
      <c r="A14" s="60" t="s">
        <v>1001</v>
      </c>
      <c r="B14" s="759">
        <v>228</v>
      </c>
      <c r="C14" s="760"/>
      <c r="D14" s="759"/>
      <c r="E14" s="760"/>
      <c r="F14" s="759"/>
      <c r="G14" s="760"/>
      <c r="H14" s="755"/>
      <c r="I14" s="756"/>
      <c r="J14" s="544">
        <f>SUM(B14:I14)</f>
        <v>228</v>
      </c>
    </row>
    <row r="15" spans="1:11" ht="16.5" thickBot="1" x14ac:dyDescent="0.3">
      <c r="A15" s="540" t="s">
        <v>1034</v>
      </c>
      <c r="B15" s="744">
        <f>SUM(B13:C14)</f>
        <v>461548</v>
      </c>
      <c r="C15" s="745"/>
      <c r="D15" s="744">
        <f t="shared" ref="D15" si="4">SUM(D13:E14)</f>
        <v>254</v>
      </c>
      <c r="E15" s="745"/>
      <c r="F15" s="744">
        <f t="shared" ref="F15" si="5">SUM(F13:G14)</f>
        <v>433</v>
      </c>
      <c r="G15" s="745"/>
      <c r="H15" s="746">
        <f t="shared" ref="H15" si="6">SUM(H13:I14)</f>
        <v>203</v>
      </c>
      <c r="I15" s="747"/>
      <c r="J15" s="545">
        <f>SUM(J13:J14)</f>
        <v>462438</v>
      </c>
      <c r="K15" s="546"/>
    </row>
    <row r="16" spans="1:11" x14ac:dyDescent="0.2">
      <c r="A16" s="534"/>
      <c r="B16" s="748"/>
      <c r="C16" s="749"/>
      <c r="D16" s="748"/>
      <c r="E16" s="749"/>
      <c r="F16" s="748"/>
      <c r="G16" s="749"/>
      <c r="H16" s="748"/>
      <c r="I16" s="749"/>
      <c r="J16" s="547"/>
    </row>
    <row r="17" spans="1:34" x14ac:dyDescent="0.2">
      <c r="A17"/>
      <c r="B17"/>
      <c r="C17"/>
      <c r="D17"/>
      <c r="E17"/>
      <c r="F17"/>
      <c r="G17"/>
      <c r="H17"/>
      <c r="I17"/>
      <c r="J17"/>
    </row>
    <row r="18" spans="1:34" ht="18.75" x14ac:dyDescent="0.3">
      <c r="A18" s="548"/>
      <c r="B18" s="723"/>
      <c r="C18" s="723"/>
      <c r="D18" s="723"/>
      <c r="E18" s="723"/>
      <c r="F18" s="723"/>
      <c r="G18" s="723"/>
      <c r="H18" s="723"/>
      <c r="I18" s="723"/>
      <c r="J18" s="723"/>
    </row>
    <row r="19" spans="1:34" x14ac:dyDescent="0.2">
      <c r="A19" s="534"/>
      <c r="B19" s="724"/>
      <c r="C19" s="724"/>
      <c r="D19" s="724"/>
      <c r="E19" s="724"/>
      <c r="F19" s="724"/>
      <c r="G19" s="724"/>
      <c r="H19" s="724"/>
      <c r="I19" s="724"/>
      <c r="J19" s="724"/>
    </row>
    <row r="20" spans="1:34" x14ac:dyDescent="0.2">
      <c r="A20"/>
      <c r="B20"/>
      <c r="C20"/>
      <c r="D20"/>
      <c r="E20"/>
      <c r="F20"/>
      <c r="G20"/>
      <c r="H20"/>
      <c r="I20"/>
      <c r="J20"/>
    </row>
    <row r="21" spans="1:34" ht="15.75" x14ac:dyDescent="0.25">
      <c r="A21" s="549"/>
      <c r="B21" s="750"/>
      <c r="C21" s="750"/>
      <c r="D21" s="750"/>
      <c r="E21" s="750"/>
      <c r="F21" s="750"/>
      <c r="G21" s="750"/>
      <c r="H21" s="751"/>
      <c r="I21" s="751"/>
      <c r="J21" s="751"/>
    </row>
    <row r="22" spans="1:34" ht="15.75" x14ac:dyDescent="0.25">
      <c r="A22"/>
      <c r="B22" s="12"/>
      <c r="C22"/>
      <c r="D22"/>
      <c r="E22"/>
      <c r="F22"/>
      <c r="G22"/>
      <c r="H22" s="753"/>
      <c r="I22" s="753"/>
      <c r="J22" s="753"/>
    </row>
    <row r="23" spans="1:34" ht="15.75" x14ac:dyDescent="0.25">
      <c r="A23"/>
      <c r="B23" s="12"/>
      <c r="C23"/>
      <c r="D23"/>
      <c r="E23"/>
      <c r="F23"/>
      <c r="G23"/>
      <c r="H23" s="753"/>
      <c r="I23" s="753"/>
      <c r="J23" s="753"/>
    </row>
    <row r="24" spans="1:34" s="550" customFormat="1" ht="15.75" x14ac:dyDescent="0.25">
      <c r="A24"/>
      <c r="B24" s="750"/>
      <c r="C24" s="750"/>
      <c r="D24" s="750"/>
      <c r="E24" s="750"/>
      <c r="F24" s="750"/>
      <c r="G24" s="750"/>
      <c r="H24" s="751"/>
      <c r="I24" s="751"/>
      <c r="J24" s="751"/>
      <c r="K24" s="531"/>
      <c r="L24" s="531"/>
      <c r="M24" s="531"/>
      <c r="N24" s="531"/>
      <c r="O24" s="531"/>
      <c r="P24" s="531"/>
      <c r="Q24" s="531"/>
      <c r="R24" s="531"/>
      <c r="S24" s="531"/>
      <c r="T24" s="531"/>
      <c r="U24" s="531"/>
      <c r="V24" s="531"/>
      <c r="W24" s="531"/>
      <c r="X24" s="531"/>
      <c r="Y24" s="531"/>
      <c r="Z24" s="531"/>
      <c r="AA24" s="531"/>
      <c r="AB24" s="531"/>
      <c r="AC24" s="531"/>
      <c r="AD24" s="531"/>
      <c r="AE24" s="531"/>
      <c r="AF24" s="531"/>
      <c r="AG24" s="531"/>
      <c r="AH24" s="531"/>
    </row>
    <row r="25" spans="1:34" x14ac:dyDescent="0.2">
      <c r="A25"/>
      <c r="B25"/>
      <c r="C25"/>
      <c r="D25"/>
      <c r="E25"/>
      <c r="F25"/>
      <c r="G25"/>
      <c r="H25"/>
      <c r="I25"/>
      <c r="J25"/>
    </row>
    <row r="26" spans="1:34" x14ac:dyDescent="0.2">
      <c r="A26"/>
      <c r="B26"/>
      <c r="C26"/>
      <c r="D26"/>
      <c r="E26"/>
      <c r="F26"/>
      <c r="G26"/>
      <c r="H26"/>
      <c r="I26"/>
      <c r="J26"/>
    </row>
    <row r="27" spans="1:34" x14ac:dyDescent="0.2">
      <c r="A27"/>
      <c r="B27"/>
      <c r="C27"/>
      <c r="D27"/>
      <c r="E27"/>
      <c r="F27"/>
      <c r="G27"/>
      <c r="H27"/>
      <c r="I27"/>
      <c r="J27"/>
    </row>
    <row r="28" spans="1:34" x14ac:dyDescent="0.2">
      <c r="A28"/>
      <c r="B28"/>
      <c r="C28"/>
      <c r="D28"/>
      <c r="E28"/>
      <c r="F28"/>
      <c r="G28"/>
      <c r="H28"/>
      <c r="I28"/>
      <c r="J28"/>
    </row>
    <row r="29" spans="1:34" x14ac:dyDescent="0.2">
      <c r="A29"/>
      <c r="B29"/>
      <c r="C29"/>
      <c r="D29"/>
      <c r="E29"/>
      <c r="F29" s="752"/>
      <c r="G29"/>
      <c r="H29"/>
      <c r="I29"/>
      <c r="J29"/>
    </row>
    <row r="30" spans="1:34" x14ac:dyDescent="0.2">
      <c r="A30"/>
      <c r="B30"/>
      <c r="C30"/>
      <c r="D30"/>
      <c r="E30"/>
      <c r="F30" s="752"/>
      <c r="G30"/>
      <c r="H30"/>
      <c r="I30"/>
      <c r="J30"/>
    </row>
    <row r="31" spans="1:34" x14ac:dyDescent="0.2">
      <c r="A31"/>
      <c r="B31"/>
      <c r="C31"/>
      <c r="D31"/>
      <c r="E31"/>
      <c r="F31"/>
      <c r="G31"/>
      <c r="H31"/>
      <c r="I31"/>
      <c r="J31"/>
    </row>
    <row r="32" spans="1:34" x14ac:dyDescent="0.2">
      <c r="A32"/>
      <c r="B32"/>
      <c r="C32"/>
      <c r="D32"/>
      <c r="E32"/>
      <c r="F32"/>
      <c r="G32"/>
      <c r="H32"/>
      <c r="I32"/>
      <c r="J32"/>
    </row>
    <row r="33" spans="1:10" x14ac:dyDescent="0.2">
      <c r="A33"/>
      <c r="B33"/>
      <c r="C33"/>
      <c r="D33"/>
      <c r="E33"/>
      <c r="F33"/>
      <c r="G33"/>
      <c r="H33"/>
      <c r="I33"/>
      <c r="J33"/>
    </row>
    <row r="34" spans="1:10" x14ac:dyDescent="0.2">
      <c r="A34"/>
      <c r="B34"/>
      <c r="C34"/>
      <c r="D34"/>
      <c r="E34"/>
      <c r="F34"/>
      <c r="G34"/>
      <c r="H34"/>
      <c r="I34"/>
      <c r="J34"/>
    </row>
    <row r="35" spans="1:10" x14ac:dyDescent="0.2">
      <c r="A35"/>
      <c r="B35"/>
      <c r="C35"/>
      <c r="D35"/>
      <c r="E35"/>
      <c r="F35"/>
      <c r="G35"/>
      <c r="H35"/>
      <c r="I35"/>
      <c r="J35"/>
    </row>
  </sheetData>
  <mergeCells count="56">
    <mergeCell ref="H13:I13"/>
    <mergeCell ref="H14:I14"/>
    <mergeCell ref="B13:C13"/>
    <mergeCell ref="B14:C14"/>
    <mergeCell ref="D13:E13"/>
    <mergeCell ref="D14:E14"/>
    <mergeCell ref="F13:G13"/>
    <mergeCell ref="F14:G14"/>
    <mergeCell ref="B24:G24"/>
    <mergeCell ref="H24:J24"/>
    <mergeCell ref="F29:F30"/>
    <mergeCell ref="B18:J18"/>
    <mergeCell ref="B19:J19"/>
    <mergeCell ref="B21:G21"/>
    <mergeCell ref="H21:J21"/>
    <mergeCell ref="H22:J22"/>
    <mergeCell ref="H23:J23"/>
    <mergeCell ref="B15:C15"/>
    <mergeCell ref="D15:E15"/>
    <mergeCell ref="F15:G15"/>
    <mergeCell ref="H15:I15"/>
    <mergeCell ref="B16:C16"/>
    <mergeCell ref="D16:E16"/>
    <mergeCell ref="F16:G16"/>
    <mergeCell ref="H16:I16"/>
    <mergeCell ref="B11:C11"/>
    <mergeCell ref="D11:E11"/>
    <mergeCell ref="F11:G11"/>
    <mergeCell ref="H11:I11"/>
    <mergeCell ref="B12:C12"/>
    <mergeCell ref="D12:E12"/>
    <mergeCell ref="F12:G12"/>
    <mergeCell ref="H12:I12"/>
    <mergeCell ref="B10:C10"/>
    <mergeCell ref="D10:E10"/>
    <mergeCell ref="F10:G10"/>
    <mergeCell ref="H10:I10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A2:J2"/>
    <mergeCell ref="A3:J3"/>
    <mergeCell ref="A4:J4"/>
    <mergeCell ref="B6:C6"/>
    <mergeCell ref="D6:E6"/>
    <mergeCell ref="F6:G6"/>
    <mergeCell ref="H6:I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&amp;R13.melléklet a 9/2019.(V.29.)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6F1E-41D6-4861-8503-295B2A3CAFEB}">
  <dimension ref="A2:D29"/>
  <sheetViews>
    <sheetView tabSelected="1" workbookViewId="0">
      <selection activeCell="C16" sqref="C16"/>
    </sheetView>
  </sheetViews>
  <sheetFormatPr defaultRowHeight="15" x14ac:dyDescent="0.2"/>
  <cols>
    <col min="1" max="1" width="9.140625" style="652"/>
    <col min="2" max="2" width="40.85546875" style="652" customWidth="1"/>
    <col min="3" max="3" width="28.5703125" style="652" customWidth="1"/>
    <col min="4" max="4" width="41.28515625" style="652" customWidth="1"/>
    <col min="5" max="16384" width="9.140625" style="652"/>
  </cols>
  <sheetData>
    <row r="2" spans="1:4" ht="15.75" x14ac:dyDescent="0.25">
      <c r="B2" s="653" t="s">
        <v>1068</v>
      </c>
      <c r="C2" s="653"/>
      <c r="D2" s="653"/>
    </row>
    <row r="3" spans="1:4" ht="15.75" x14ac:dyDescent="0.25">
      <c r="B3" s="653" t="s">
        <v>1072</v>
      </c>
      <c r="C3" s="653"/>
      <c r="D3" s="653"/>
    </row>
    <row r="5" spans="1:4" ht="15.75" thickBot="1" x14ac:dyDescent="0.25">
      <c r="B5" s="654"/>
      <c r="C5" s="654"/>
      <c r="D5" s="663" t="s">
        <v>159</v>
      </c>
    </row>
    <row r="6" spans="1:4" ht="31.5" customHeight="1" thickBot="1" x14ac:dyDescent="0.3">
      <c r="A6" s="655"/>
      <c r="B6" s="656" t="s">
        <v>1069</v>
      </c>
      <c r="C6" s="656" t="s">
        <v>1070</v>
      </c>
      <c r="D6" s="660" t="s">
        <v>1071</v>
      </c>
    </row>
    <row r="7" spans="1:4" x14ac:dyDescent="0.2">
      <c r="A7" s="655"/>
      <c r="B7" s="657"/>
      <c r="C7" s="657"/>
      <c r="D7" s="655"/>
    </row>
    <row r="8" spans="1:4" ht="30" x14ac:dyDescent="0.2">
      <c r="A8" s="655"/>
      <c r="B8" s="658" t="s">
        <v>1073</v>
      </c>
      <c r="C8" s="657">
        <v>3000</v>
      </c>
      <c r="D8" s="655">
        <v>3000</v>
      </c>
    </row>
    <row r="9" spans="1:4" ht="15.75" thickBot="1" x14ac:dyDescent="0.25">
      <c r="A9" s="655"/>
      <c r="B9" s="659"/>
      <c r="C9" s="659"/>
      <c r="D9" s="661"/>
    </row>
    <row r="14" spans="1:4" x14ac:dyDescent="0.2">
      <c r="B14" s="662"/>
    </row>
    <row r="29" spans="4:4" x14ac:dyDescent="0.2">
      <c r="D29" s="66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&amp;R14 melléklet a 9/2019.(V.29.)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workbookViewId="0">
      <selection activeCell="I25" sqref="I25"/>
    </sheetView>
  </sheetViews>
  <sheetFormatPr defaultRowHeight="15.75" x14ac:dyDescent="0.25"/>
  <cols>
    <col min="1" max="1" width="9.7109375" style="12" customWidth="1"/>
    <col min="2" max="2" width="36.5703125" style="12" customWidth="1"/>
    <col min="3" max="3" width="4.85546875" style="12" customWidth="1"/>
    <col min="4" max="4" width="2.140625" style="12" customWidth="1"/>
    <col min="5" max="6" width="6.7109375" style="12" customWidth="1"/>
    <col min="7" max="7" width="4.7109375" style="12" customWidth="1"/>
    <col min="8" max="8" width="22.85546875" style="12" customWidth="1"/>
    <col min="9" max="9" width="16.42578125" style="12" customWidth="1"/>
    <col min="10" max="10" width="6.42578125" style="12" customWidth="1"/>
    <col min="11" max="11" width="11.28515625" style="12" bestFit="1" customWidth="1"/>
    <col min="12" max="16384" width="9.140625" style="12"/>
  </cols>
  <sheetData>
    <row r="1" spans="1:11" x14ac:dyDescent="0.25">
      <c r="A1" s="669" t="s">
        <v>258</v>
      </c>
      <c r="B1" s="669"/>
      <c r="C1" s="669"/>
      <c r="D1" s="669"/>
      <c r="E1" s="669"/>
      <c r="F1" s="669"/>
      <c r="G1" s="669"/>
      <c r="H1" s="669"/>
      <c r="I1" s="669"/>
    </row>
    <row r="2" spans="1:11" ht="16.5" customHeight="1" x14ac:dyDescent="0.25">
      <c r="I2" s="27" t="s">
        <v>170</v>
      </c>
    </row>
    <row r="3" spans="1:11" ht="18.75" customHeight="1" x14ac:dyDescent="0.25">
      <c r="A3" s="20" t="s">
        <v>166</v>
      </c>
      <c r="B3" s="666" t="s">
        <v>171</v>
      </c>
      <c r="C3" s="667"/>
      <c r="D3" s="667"/>
      <c r="E3" s="667"/>
      <c r="F3" s="667"/>
      <c r="G3" s="667"/>
      <c r="H3" s="668"/>
      <c r="I3" s="21" t="s">
        <v>167</v>
      </c>
    </row>
    <row r="4" spans="1:11" ht="18.75" customHeight="1" x14ac:dyDescent="0.25">
      <c r="A4" s="22"/>
      <c r="B4" s="22"/>
      <c r="C4" s="222"/>
      <c r="D4" s="222"/>
      <c r="E4" s="222"/>
      <c r="F4" s="222"/>
      <c r="G4" s="222"/>
      <c r="H4" s="23"/>
      <c r="I4" s="23"/>
    </row>
    <row r="5" spans="1:11" ht="23.25" customHeight="1" x14ac:dyDescent="0.25">
      <c r="A5" s="373" t="s">
        <v>7</v>
      </c>
      <c r="B5" s="12" t="s">
        <v>259</v>
      </c>
      <c r="H5" s="310"/>
      <c r="I5" s="370">
        <v>28350200</v>
      </c>
    </row>
    <row r="6" spans="1:11" ht="23.25" customHeight="1" x14ac:dyDescent="0.25">
      <c r="A6" s="373" t="s">
        <v>10</v>
      </c>
      <c r="B6" s="371" t="s">
        <v>260</v>
      </c>
      <c r="C6" s="371"/>
      <c r="D6" s="371"/>
      <c r="E6" s="371"/>
      <c r="F6" s="371"/>
      <c r="G6" s="371"/>
      <c r="H6" s="357"/>
      <c r="I6" s="370">
        <v>4509060</v>
      </c>
    </row>
    <row r="7" spans="1:11" ht="23.25" customHeight="1" x14ac:dyDescent="0.25">
      <c r="A7" s="374" t="s">
        <v>11</v>
      </c>
      <c r="B7" s="371" t="s">
        <v>261</v>
      </c>
      <c r="C7" s="371"/>
      <c r="D7" s="371"/>
      <c r="E7" s="371"/>
      <c r="F7" s="371"/>
      <c r="G7" s="371"/>
      <c r="H7" s="357"/>
      <c r="I7" s="372">
        <v>5888000</v>
      </c>
    </row>
    <row r="8" spans="1:11" ht="23.25" customHeight="1" x14ac:dyDescent="0.25">
      <c r="A8" s="373" t="s">
        <v>12</v>
      </c>
      <c r="B8" s="371" t="s">
        <v>262</v>
      </c>
      <c r="C8" s="371"/>
      <c r="D8" s="371"/>
      <c r="E8" s="371"/>
      <c r="F8" s="371"/>
      <c r="G8" s="371"/>
      <c r="H8" s="357"/>
      <c r="I8" s="370">
        <v>100000</v>
      </c>
    </row>
    <row r="9" spans="1:11" ht="23.25" customHeight="1" x14ac:dyDescent="0.25">
      <c r="A9" s="373" t="s">
        <v>13</v>
      </c>
      <c r="B9" s="371" t="s">
        <v>263</v>
      </c>
      <c r="C9" s="371"/>
      <c r="D9" s="371"/>
      <c r="E9" s="371"/>
      <c r="F9" s="371"/>
      <c r="G9" s="371"/>
      <c r="H9" s="357"/>
      <c r="I9" s="370">
        <v>3879430</v>
      </c>
    </row>
    <row r="10" spans="1:11" ht="23.25" customHeight="1" x14ac:dyDescent="0.25">
      <c r="A10" s="373" t="s">
        <v>14</v>
      </c>
      <c r="B10" s="371" t="s">
        <v>264</v>
      </c>
      <c r="C10" s="371"/>
      <c r="D10" s="371"/>
      <c r="E10" s="371"/>
      <c r="F10" s="371"/>
      <c r="G10" s="371"/>
      <c r="H10" s="357"/>
      <c r="I10" s="370">
        <v>6000000</v>
      </c>
      <c r="K10" s="14"/>
    </row>
    <row r="11" spans="1:11" ht="23.25" customHeight="1" x14ac:dyDescent="0.25">
      <c r="A11" s="373" t="s">
        <v>15</v>
      </c>
      <c r="B11" s="344" t="s">
        <v>322</v>
      </c>
      <c r="C11" s="371"/>
      <c r="D11" s="371"/>
      <c r="E11" s="371"/>
      <c r="F11" s="371"/>
      <c r="G11" s="371"/>
      <c r="H11" s="371"/>
      <c r="I11" s="42">
        <v>12750</v>
      </c>
      <c r="K11" s="14"/>
    </row>
    <row r="12" spans="1:11" ht="23.25" customHeight="1" x14ac:dyDescent="0.25">
      <c r="A12" s="373" t="s">
        <v>16</v>
      </c>
      <c r="B12" s="371" t="s">
        <v>437</v>
      </c>
      <c r="C12" s="371"/>
      <c r="D12" s="371"/>
      <c r="E12" s="371"/>
      <c r="F12" s="371"/>
      <c r="G12" s="371"/>
      <c r="H12" s="371"/>
      <c r="I12" s="46">
        <v>1041000</v>
      </c>
      <c r="K12" s="14"/>
    </row>
    <row r="13" spans="1:11" ht="23.25" customHeight="1" x14ac:dyDescent="0.25">
      <c r="A13" s="373" t="s">
        <v>17</v>
      </c>
      <c r="B13" s="371" t="s">
        <v>1011</v>
      </c>
      <c r="C13" s="371"/>
      <c r="D13" s="371"/>
      <c r="E13" s="371"/>
      <c r="F13" s="371"/>
      <c r="G13" s="371"/>
      <c r="H13" s="371"/>
      <c r="I13" s="46">
        <v>32330</v>
      </c>
      <c r="K13" s="14"/>
    </row>
    <row r="14" spans="1:11" ht="23.25" customHeight="1" x14ac:dyDescent="0.25">
      <c r="A14" s="670" t="s">
        <v>438</v>
      </c>
      <c r="B14" s="671"/>
      <c r="C14" s="671"/>
      <c r="D14" s="671"/>
      <c r="E14" s="671"/>
      <c r="F14" s="671"/>
      <c r="G14" s="671"/>
      <c r="H14" s="672"/>
      <c r="I14" s="262">
        <f>SUM(I5:I13)</f>
        <v>49812770</v>
      </c>
      <c r="K14" s="14"/>
    </row>
    <row r="15" spans="1:11" ht="23.25" customHeight="1" x14ac:dyDescent="0.25">
      <c r="A15" s="374" t="s">
        <v>18</v>
      </c>
      <c r="B15" s="86" t="s">
        <v>265</v>
      </c>
      <c r="C15" s="86"/>
      <c r="D15" s="86"/>
      <c r="E15" s="86"/>
      <c r="F15" s="86"/>
      <c r="G15" s="86"/>
      <c r="H15" s="86"/>
      <c r="I15" s="42">
        <v>39449068</v>
      </c>
    </row>
    <row r="16" spans="1:11" ht="23.25" customHeight="1" x14ac:dyDescent="0.25">
      <c r="A16" s="374" t="s">
        <v>19</v>
      </c>
      <c r="B16" s="12" t="s">
        <v>266</v>
      </c>
      <c r="I16" s="62">
        <v>5201566</v>
      </c>
      <c r="K16" s="14"/>
    </row>
    <row r="17" spans="1:11" ht="23.25" customHeight="1" x14ac:dyDescent="0.25">
      <c r="A17" s="670" t="s">
        <v>439</v>
      </c>
      <c r="B17" s="671"/>
      <c r="C17" s="671"/>
      <c r="D17" s="671"/>
      <c r="E17" s="671"/>
      <c r="F17" s="671"/>
      <c r="G17" s="671"/>
      <c r="H17" s="672"/>
      <c r="I17" s="88">
        <f>SUM(I15:I16)</f>
        <v>44650634</v>
      </c>
      <c r="K17" s="14"/>
    </row>
    <row r="18" spans="1:11" ht="23.25" customHeight="1" x14ac:dyDescent="0.25">
      <c r="A18" s="374" t="s">
        <v>20</v>
      </c>
      <c r="B18" s="98" t="s">
        <v>445</v>
      </c>
      <c r="C18" s="258"/>
      <c r="D18" s="258"/>
      <c r="E18" s="258"/>
      <c r="F18" s="258"/>
      <c r="G18" s="258"/>
      <c r="H18" s="92"/>
      <c r="I18" s="42">
        <v>20228841</v>
      </c>
    </row>
    <row r="19" spans="1:11" ht="23.25" customHeight="1" x14ac:dyDescent="0.25">
      <c r="A19" s="374" t="s">
        <v>21</v>
      </c>
      <c r="B19" s="245" t="s">
        <v>446</v>
      </c>
      <c r="C19" s="341"/>
      <c r="D19" s="341"/>
      <c r="E19" s="341"/>
      <c r="F19" s="341"/>
      <c r="G19" s="341"/>
      <c r="H19" s="342"/>
      <c r="I19" s="51">
        <v>444600</v>
      </c>
    </row>
    <row r="20" spans="1:11" ht="23.25" customHeight="1" x14ac:dyDescent="0.25">
      <c r="A20" s="374" t="s">
        <v>22</v>
      </c>
      <c r="B20" s="341" t="s">
        <v>267</v>
      </c>
      <c r="C20" s="341"/>
      <c r="D20" s="341"/>
      <c r="E20" s="341"/>
      <c r="F20" s="341"/>
      <c r="G20" s="341"/>
      <c r="H20" s="341"/>
      <c r="I20" s="51">
        <v>16083000</v>
      </c>
    </row>
    <row r="21" spans="1:11" ht="23.25" customHeight="1" x14ac:dyDescent="0.25">
      <c r="A21" s="374" t="s">
        <v>23</v>
      </c>
      <c r="B21" s="363" t="s">
        <v>440</v>
      </c>
      <c r="C21" s="375"/>
      <c r="D21" s="375"/>
      <c r="E21" s="375"/>
      <c r="F21" s="375"/>
      <c r="G21" s="375"/>
      <c r="H21" s="372"/>
      <c r="I21" s="220">
        <v>3400000</v>
      </c>
    </row>
    <row r="22" spans="1:11" ht="23.25" customHeight="1" x14ac:dyDescent="0.25">
      <c r="A22" s="374" t="s">
        <v>24</v>
      </c>
      <c r="B22" s="363" t="s">
        <v>441</v>
      </c>
      <c r="C22" s="375"/>
      <c r="D22" s="375"/>
      <c r="E22" s="375"/>
      <c r="F22" s="375"/>
      <c r="G22" s="375"/>
      <c r="H22" s="372"/>
      <c r="I22" s="42">
        <v>4760960</v>
      </c>
    </row>
    <row r="23" spans="1:11" ht="23.25" customHeight="1" x14ac:dyDescent="0.25">
      <c r="A23" s="374" t="s">
        <v>25</v>
      </c>
      <c r="B23" s="363" t="s">
        <v>443</v>
      </c>
      <c r="C23" s="375"/>
      <c r="D23" s="375"/>
      <c r="E23" s="375"/>
      <c r="F23" s="375"/>
      <c r="G23" s="375"/>
      <c r="H23" s="372"/>
      <c r="I23" s="42">
        <v>2180000</v>
      </c>
    </row>
    <row r="24" spans="1:11" ht="23.25" customHeight="1" x14ac:dyDescent="0.25">
      <c r="A24" s="374" t="s">
        <v>26</v>
      </c>
      <c r="B24" s="363" t="s">
        <v>442</v>
      </c>
      <c r="C24" s="375"/>
      <c r="D24" s="375"/>
      <c r="E24" s="375"/>
      <c r="F24" s="375"/>
      <c r="G24" s="375"/>
      <c r="H24" s="372"/>
      <c r="I24" s="372">
        <v>1445000</v>
      </c>
      <c r="K24" s="14"/>
    </row>
    <row r="25" spans="1:11" ht="23.25" customHeight="1" x14ac:dyDescent="0.25">
      <c r="A25" s="374" t="s">
        <v>27</v>
      </c>
      <c r="B25" s="14" t="s">
        <v>1012</v>
      </c>
      <c r="C25" s="14"/>
      <c r="D25" s="14"/>
      <c r="E25" s="14"/>
      <c r="F25" s="14"/>
      <c r="G25" s="14"/>
      <c r="H25" s="14"/>
      <c r="I25" s="42">
        <v>2174226</v>
      </c>
      <c r="K25" s="14"/>
    </row>
    <row r="26" spans="1:11" ht="23.25" customHeight="1" x14ac:dyDescent="0.25">
      <c r="A26" s="376" t="s">
        <v>444</v>
      </c>
      <c r="B26" s="168"/>
      <c r="C26" s="168"/>
      <c r="D26" s="168"/>
      <c r="E26" s="168"/>
      <c r="F26" s="168"/>
      <c r="G26" s="168"/>
      <c r="H26" s="168"/>
      <c r="I26" s="88">
        <f>SUM(I18:I25)</f>
        <v>50716627</v>
      </c>
      <c r="K26" s="14"/>
    </row>
    <row r="27" spans="1:11" ht="23.25" customHeight="1" x14ac:dyDescent="0.25">
      <c r="A27" s="673" t="s">
        <v>447</v>
      </c>
      <c r="B27" s="674"/>
      <c r="C27" s="674"/>
      <c r="D27" s="674"/>
      <c r="E27" s="674"/>
      <c r="F27" s="674"/>
      <c r="G27" s="674"/>
      <c r="H27" s="675"/>
      <c r="I27" s="18">
        <v>2695135</v>
      </c>
    </row>
    <row r="28" spans="1:11" ht="23.25" customHeight="1" x14ac:dyDescent="0.25">
      <c r="A28" s="98"/>
      <c r="B28" s="225" t="s">
        <v>48</v>
      </c>
      <c r="C28" s="225"/>
      <c r="D28" s="225"/>
      <c r="E28" s="225"/>
      <c r="F28" s="225"/>
      <c r="G28" s="225"/>
      <c r="H28" s="108"/>
      <c r="I28" s="19">
        <f>+I14+I17+I26+I27</f>
        <v>147875166</v>
      </c>
    </row>
    <row r="29" spans="1:11" x14ac:dyDescent="0.25">
      <c r="I29" s="14"/>
    </row>
    <row r="30" spans="1:11" x14ac:dyDescent="0.25">
      <c r="I30" s="14"/>
    </row>
  </sheetData>
  <mergeCells count="5">
    <mergeCell ref="B3:H3"/>
    <mergeCell ref="A1:I1"/>
    <mergeCell ref="A14:H14"/>
    <mergeCell ref="A17:H17"/>
    <mergeCell ref="A27:H27"/>
  </mergeCells>
  <phoneticPr fontId="2" type="noConversion"/>
  <printOptions horizontalCentered="1"/>
  <pageMargins left="0.19685039370078741" right="0.19685039370078741" top="0.98425196850393704" bottom="0.78740157480314965" header="0.51181102362204722" footer="0.51181102362204722"/>
  <pageSetup paperSize="9" scale="90" orientation="portrait" horizontalDpi="300" verticalDpi="300" r:id="rId1"/>
  <headerFooter alignWithMargins="0">
    <oddHeader>&amp;R2/A. melléklet a 9/2019. (V.29.)önkormányzati rendelethez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6"/>
  <sheetViews>
    <sheetView topLeftCell="B1" workbookViewId="0">
      <selection activeCell="H24" sqref="H24"/>
    </sheetView>
  </sheetViews>
  <sheetFormatPr defaultRowHeight="15.75" x14ac:dyDescent="0.25"/>
  <cols>
    <col min="1" max="1" width="4.42578125" style="12" customWidth="1"/>
    <col min="2" max="2" width="9.140625" style="12"/>
    <col min="3" max="3" width="43.85546875" style="12" customWidth="1"/>
    <col min="4" max="4" width="13.5703125" style="12" customWidth="1"/>
    <col min="5" max="5" width="11.42578125" style="12" customWidth="1"/>
    <col min="6" max="6" width="11" style="12" customWidth="1"/>
    <col min="7" max="16384" width="9.140625" style="12"/>
  </cols>
  <sheetData>
    <row r="2" spans="2:7" x14ac:dyDescent="0.25">
      <c r="D2" s="111"/>
    </row>
    <row r="3" spans="2:7" x14ac:dyDescent="0.25">
      <c r="D3" s="111"/>
    </row>
    <row r="5" spans="2:7" x14ac:dyDescent="0.25">
      <c r="C5" s="25" t="s">
        <v>158</v>
      </c>
    </row>
    <row r="6" spans="2:7" x14ac:dyDescent="0.25">
      <c r="C6" s="25" t="s">
        <v>520</v>
      </c>
    </row>
    <row r="7" spans="2:7" x14ac:dyDescent="0.25">
      <c r="C7" s="25"/>
    </row>
    <row r="8" spans="2:7" ht="16.5" thickBot="1" x14ac:dyDescent="0.3">
      <c r="C8" s="25"/>
      <c r="D8" s="27" t="s">
        <v>47</v>
      </c>
    </row>
    <row r="9" spans="2:7" x14ac:dyDescent="0.25">
      <c r="B9" s="7"/>
      <c r="C9" s="7"/>
      <c r="D9" s="7"/>
      <c r="E9" s="7"/>
      <c r="F9" s="7"/>
    </row>
    <row r="10" spans="2:7" x14ac:dyDescent="0.25">
      <c r="B10" s="112" t="s">
        <v>45</v>
      </c>
      <c r="C10" s="112" t="s">
        <v>46</v>
      </c>
      <c r="D10" s="1" t="s">
        <v>209</v>
      </c>
      <c r="E10" s="1" t="s">
        <v>521</v>
      </c>
      <c r="F10" s="1" t="s">
        <v>522</v>
      </c>
    </row>
    <row r="11" spans="2:7" ht="16.5" thickBot="1" x14ac:dyDescent="0.3">
      <c r="B11" s="4"/>
      <c r="C11" s="4"/>
      <c r="D11" s="4" t="s">
        <v>114</v>
      </c>
      <c r="E11" s="4" t="s">
        <v>114</v>
      </c>
      <c r="F11" s="1"/>
      <c r="G11" s="6"/>
    </row>
    <row r="12" spans="2:7" ht="23.25" customHeight="1" x14ac:dyDescent="0.25">
      <c r="B12" s="113"/>
      <c r="C12" s="1"/>
      <c r="D12" s="1"/>
      <c r="E12" s="7"/>
      <c r="F12" s="7"/>
      <c r="G12" s="6"/>
    </row>
    <row r="13" spans="2:7" x14ac:dyDescent="0.25">
      <c r="B13" s="113"/>
      <c r="C13" s="1"/>
      <c r="D13" s="1"/>
      <c r="E13" s="1"/>
      <c r="F13" s="1"/>
      <c r="G13" s="6"/>
    </row>
    <row r="14" spans="2:7" ht="31.5" x14ac:dyDescent="0.25">
      <c r="B14" s="112" t="s">
        <v>7</v>
      </c>
      <c r="C14" s="426" t="s">
        <v>268</v>
      </c>
      <c r="D14" s="126">
        <v>4200</v>
      </c>
      <c r="E14" s="115">
        <v>4200</v>
      </c>
      <c r="F14" s="115">
        <v>4033</v>
      </c>
      <c r="G14" s="6"/>
    </row>
    <row r="15" spans="2:7" x14ac:dyDescent="0.25">
      <c r="B15" s="113"/>
      <c r="C15" s="121" t="s">
        <v>269</v>
      </c>
      <c r="D15" s="170">
        <v>4200</v>
      </c>
      <c r="E15" s="1">
        <v>4200</v>
      </c>
      <c r="F15" s="1">
        <v>4033</v>
      </c>
      <c r="G15" s="6"/>
    </row>
    <row r="16" spans="2:7" x14ac:dyDescent="0.25">
      <c r="B16" s="112"/>
      <c r="C16" s="120"/>
      <c r="D16" s="122"/>
      <c r="E16" s="1"/>
      <c r="F16" s="1"/>
      <c r="G16" s="6"/>
    </row>
    <row r="17" spans="2:7" x14ac:dyDescent="0.25">
      <c r="B17" s="112"/>
      <c r="C17" s="1"/>
      <c r="D17" s="170"/>
      <c r="E17" s="1"/>
      <c r="F17" s="1"/>
      <c r="G17" s="6"/>
    </row>
    <row r="18" spans="2:7" x14ac:dyDescent="0.25">
      <c r="B18" s="112" t="s">
        <v>10</v>
      </c>
      <c r="C18" s="115" t="s">
        <v>237</v>
      </c>
      <c r="D18" s="261">
        <v>9000</v>
      </c>
      <c r="E18" s="115">
        <v>34853</v>
      </c>
      <c r="F18" s="115">
        <f>29337+3540</f>
        <v>32877</v>
      </c>
      <c r="G18" s="6"/>
    </row>
    <row r="19" spans="2:7" x14ac:dyDescent="0.25">
      <c r="B19" s="112"/>
      <c r="C19" s="115"/>
      <c r="D19" s="261"/>
      <c r="E19" s="1"/>
      <c r="F19" s="1"/>
      <c r="G19" s="6"/>
    </row>
    <row r="20" spans="2:7" x14ac:dyDescent="0.25">
      <c r="B20" s="112"/>
      <c r="C20" s="115"/>
      <c r="D20" s="261"/>
      <c r="E20" s="1"/>
      <c r="F20" s="1"/>
      <c r="G20" s="6"/>
    </row>
    <row r="21" spans="2:7" x14ac:dyDescent="0.25">
      <c r="B21" s="112" t="s">
        <v>11</v>
      </c>
      <c r="C21" s="115" t="s">
        <v>238</v>
      </c>
      <c r="D21" s="126">
        <v>330129</v>
      </c>
      <c r="E21" s="115">
        <v>349247</v>
      </c>
      <c r="F21" s="115">
        <f>F22+F23+F24+F25+F26+F28+F27+F29</f>
        <v>335617</v>
      </c>
      <c r="G21" s="6"/>
    </row>
    <row r="22" spans="2:7" x14ac:dyDescent="0.25">
      <c r="B22" s="112"/>
      <c r="C22" s="121" t="s">
        <v>483</v>
      </c>
      <c r="D22" s="378">
        <v>327529</v>
      </c>
      <c r="E22" s="1"/>
      <c r="F22" s="121">
        <v>327529</v>
      </c>
      <c r="G22" s="6"/>
    </row>
    <row r="23" spans="2:7" x14ac:dyDescent="0.25">
      <c r="B23" s="112"/>
      <c r="C23" s="121" t="s">
        <v>1036</v>
      </c>
      <c r="D23" s="126"/>
      <c r="E23" s="1"/>
      <c r="F23" s="121">
        <v>1059</v>
      </c>
      <c r="G23" s="6"/>
    </row>
    <row r="24" spans="2:7" x14ac:dyDescent="0.25">
      <c r="B24" s="112"/>
      <c r="C24" s="121" t="s">
        <v>1037</v>
      </c>
      <c r="E24" s="1"/>
      <c r="F24" s="121">
        <v>4647</v>
      </c>
      <c r="G24" s="6"/>
    </row>
    <row r="25" spans="2:7" x14ac:dyDescent="0.25">
      <c r="B25" s="112"/>
      <c r="C25" s="121" t="s">
        <v>1038</v>
      </c>
      <c r="E25" s="1"/>
      <c r="F25" s="121">
        <v>437</v>
      </c>
    </row>
    <row r="26" spans="2:7" x14ac:dyDescent="0.25">
      <c r="B26" s="112"/>
      <c r="C26" s="121" t="s">
        <v>1040</v>
      </c>
      <c r="E26" s="1"/>
      <c r="F26" s="121">
        <v>640</v>
      </c>
    </row>
    <row r="27" spans="2:7" x14ac:dyDescent="0.25">
      <c r="B27" s="112"/>
      <c r="C27" s="121" t="s">
        <v>1041</v>
      </c>
      <c r="E27" s="1"/>
      <c r="F27" s="121">
        <v>1017</v>
      </c>
    </row>
    <row r="28" spans="2:7" x14ac:dyDescent="0.25">
      <c r="B28" s="112"/>
      <c r="C28" s="121" t="s">
        <v>1039</v>
      </c>
      <c r="D28" s="378"/>
      <c r="E28" s="1"/>
      <c r="F28" s="1">
        <v>38</v>
      </c>
    </row>
    <row r="29" spans="2:7" x14ac:dyDescent="0.25">
      <c r="B29" s="112"/>
      <c r="C29" s="121" t="s">
        <v>1043</v>
      </c>
      <c r="D29" s="378"/>
      <c r="E29" s="1"/>
      <c r="F29" s="1">
        <v>250</v>
      </c>
    </row>
    <row r="30" spans="2:7" x14ac:dyDescent="0.25">
      <c r="B30" s="112"/>
      <c r="C30" s="121"/>
      <c r="D30" s="378"/>
      <c r="E30" s="1"/>
      <c r="F30" s="1"/>
    </row>
    <row r="31" spans="2:7" x14ac:dyDescent="0.25">
      <c r="B31" s="112"/>
      <c r="C31" s="121"/>
      <c r="D31" s="378"/>
      <c r="E31" s="1"/>
      <c r="F31" s="1"/>
    </row>
    <row r="32" spans="2:7" ht="16.5" thickBot="1" x14ac:dyDescent="0.3">
      <c r="B32" s="112" t="s">
        <v>12</v>
      </c>
      <c r="C32" s="115" t="s">
        <v>1044</v>
      </c>
      <c r="D32" s="378"/>
      <c r="E32" s="1"/>
      <c r="F32" s="115">
        <v>908</v>
      </c>
    </row>
    <row r="33" spans="1:6" x14ac:dyDescent="0.25">
      <c r="B33" s="7"/>
      <c r="C33" s="7"/>
      <c r="D33" s="123"/>
      <c r="E33" s="7"/>
      <c r="F33" s="7"/>
    </row>
    <row r="34" spans="1:6" x14ac:dyDescent="0.25">
      <c r="A34" s="26"/>
      <c r="B34" s="115"/>
      <c r="C34" s="124" t="s">
        <v>48</v>
      </c>
      <c r="D34" s="125">
        <f>+D14+D18+D21</f>
        <v>343329</v>
      </c>
      <c r="E34" s="125">
        <f t="shared" ref="E34" si="0">+E14+E18+E21</f>
        <v>388300</v>
      </c>
      <c r="F34" s="125">
        <f>+F14+F18+F21+F32</f>
        <v>373435</v>
      </c>
    </row>
    <row r="35" spans="1:6" ht="16.5" thickBot="1" x14ac:dyDescent="0.3">
      <c r="A35" s="26"/>
      <c r="B35" s="115"/>
      <c r="C35" s="127"/>
      <c r="D35" s="127"/>
      <c r="E35" s="4"/>
      <c r="F35" s="4"/>
    </row>
    <row r="36" spans="1:6" x14ac:dyDescent="0.25">
      <c r="B36" s="11"/>
      <c r="C36" s="11"/>
      <c r="D36" s="11"/>
    </row>
  </sheetData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&amp;R2/B. melléklet a 9/2019. (V.29.)
önkormányzati rendelethez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8"/>
  <sheetViews>
    <sheetView workbookViewId="0">
      <selection activeCell="I21" sqref="I21"/>
    </sheetView>
  </sheetViews>
  <sheetFormatPr defaultRowHeight="15.75" x14ac:dyDescent="0.25"/>
  <cols>
    <col min="1" max="1" width="5.85546875" style="12" customWidth="1"/>
    <col min="2" max="2" width="9.140625" style="12"/>
    <col min="3" max="3" width="39.85546875" style="12" customWidth="1"/>
    <col min="4" max="4" width="11.140625" style="12" customWidth="1"/>
    <col min="5" max="16384" width="9.140625" style="12"/>
  </cols>
  <sheetData>
    <row r="2" spans="2:6" x14ac:dyDescent="0.25">
      <c r="D2" s="111"/>
    </row>
    <row r="3" spans="2:6" x14ac:dyDescent="0.25">
      <c r="D3" s="111"/>
    </row>
    <row r="5" spans="2:6" ht="31.5" customHeight="1" x14ac:dyDescent="0.25">
      <c r="C5" s="676" t="s">
        <v>523</v>
      </c>
      <c r="D5" s="676"/>
      <c r="E5" s="676"/>
      <c r="F5" s="676"/>
    </row>
    <row r="6" spans="2:6" x14ac:dyDescent="0.25">
      <c r="C6" s="25" t="s">
        <v>524</v>
      </c>
    </row>
    <row r="7" spans="2:6" x14ac:dyDescent="0.25">
      <c r="C7" s="25"/>
    </row>
    <row r="8" spans="2:6" ht="16.5" thickBot="1" x14ac:dyDescent="0.3">
      <c r="C8" s="25"/>
      <c r="D8" s="27" t="s">
        <v>47</v>
      </c>
      <c r="E8" s="427"/>
    </row>
    <row r="9" spans="2:6" x14ac:dyDescent="0.25">
      <c r="B9" s="7"/>
      <c r="C9" s="7"/>
      <c r="D9" s="7"/>
      <c r="E9" s="7"/>
      <c r="F9" s="7"/>
    </row>
    <row r="10" spans="2:6" x14ac:dyDescent="0.25">
      <c r="B10" s="112" t="s">
        <v>45</v>
      </c>
      <c r="C10" s="112" t="s">
        <v>46</v>
      </c>
      <c r="D10" s="113" t="s">
        <v>209</v>
      </c>
      <c r="E10" s="1" t="s">
        <v>525</v>
      </c>
      <c r="F10" s="1" t="s">
        <v>522</v>
      </c>
    </row>
    <row r="11" spans="2:6" ht="16.5" thickBot="1" x14ac:dyDescent="0.3">
      <c r="B11" s="4"/>
      <c r="C11" s="4"/>
      <c r="D11" s="4" t="s">
        <v>114</v>
      </c>
      <c r="E11" s="4" t="s">
        <v>114</v>
      </c>
      <c r="F11" s="4"/>
    </row>
    <row r="12" spans="2:6" x14ac:dyDescent="0.25">
      <c r="B12" s="112"/>
      <c r="C12" s="119"/>
      <c r="D12" s="116"/>
      <c r="E12" s="1"/>
      <c r="F12" s="1"/>
    </row>
    <row r="13" spans="2:6" x14ac:dyDescent="0.25">
      <c r="B13" s="112"/>
      <c r="D13" s="116"/>
      <c r="E13" s="1"/>
      <c r="F13" s="1"/>
    </row>
    <row r="14" spans="2:6" x14ac:dyDescent="0.25">
      <c r="B14" s="112" t="s">
        <v>7</v>
      </c>
      <c r="C14" s="119" t="s">
        <v>49</v>
      </c>
      <c r="D14" s="116">
        <v>8000</v>
      </c>
      <c r="E14" s="120">
        <v>8000</v>
      </c>
      <c r="F14" s="120">
        <v>7819</v>
      </c>
    </row>
    <row r="15" spans="2:6" x14ac:dyDescent="0.25">
      <c r="B15" s="112"/>
      <c r="C15" s="119"/>
      <c r="D15" s="116"/>
      <c r="E15" s="120"/>
      <c r="F15" s="120"/>
    </row>
    <row r="16" spans="2:6" x14ac:dyDescent="0.25">
      <c r="B16" s="112" t="s">
        <v>10</v>
      </c>
      <c r="C16" s="120" t="s">
        <v>1046</v>
      </c>
      <c r="D16" s="122">
        <f>12842+3719+350+12000+15000+68503+5382</f>
        <v>117796</v>
      </c>
      <c r="E16" s="120">
        <v>59979</v>
      </c>
      <c r="F16" s="120">
        <v>41186</v>
      </c>
    </row>
    <row r="17" spans="1:6" x14ac:dyDescent="0.25">
      <c r="B17" s="112"/>
      <c r="C17" s="120"/>
      <c r="D17" s="122"/>
      <c r="E17" s="120"/>
      <c r="F17" s="120"/>
    </row>
    <row r="18" spans="1:6" x14ac:dyDescent="0.25">
      <c r="B18" s="112" t="s">
        <v>11</v>
      </c>
      <c r="C18" s="120" t="s">
        <v>375</v>
      </c>
      <c r="D18" s="122">
        <v>1566</v>
      </c>
      <c r="E18" s="120">
        <v>1636</v>
      </c>
      <c r="F18" s="120">
        <v>0</v>
      </c>
    </row>
    <row r="19" spans="1:6" x14ac:dyDescent="0.25">
      <c r="B19" s="112"/>
      <c r="C19" s="120"/>
      <c r="D19" s="122"/>
      <c r="E19" s="120"/>
      <c r="F19" s="120"/>
    </row>
    <row r="20" spans="1:6" x14ac:dyDescent="0.25">
      <c r="B20" s="112" t="s">
        <v>12</v>
      </c>
      <c r="C20" s="120" t="s">
        <v>481</v>
      </c>
      <c r="D20" s="122">
        <v>735467</v>
      </c>
      <c r="E20" s="120">
        <v>735647</v>
      </c>
      <c r="F20" s="120">
        <v>735647</v>
      </c>
    </row>
    <row r="21" spans="1:6" x14ac:dyDescent="0.25">
      <c r="B21" s="112"/>
      <c r="C21" s="120"/>
      <c r="D21" s="122"/>
      <c r="E21" s="120"/>
      <c r="F21" s="120"/>
    </row>
    <row r="22" spans="1:6" x14ac:dyDescent="0.25">
      <c r="B22" s="112" t="s">
        <v>13</v>
      </c>
      <c r="C22" s="120" t="s">
        <v>148</v>
      </c>
      <c r="D22" s="122"/>
      <c r="E22" s="120">
        <v>80000</v>
      </c>
      <c r="F22" s="120">
        <v>80000</v>
      </c>
    </row>
    <row r="23" spans="1:6" x14ac:dyDescent="0.25">
      <c r="B23" s="112"/>
      <c r="C23" s="120"/>
      <c r="D23" s="122"/>
      <c r="E23" s="1"/>
      <c r="F23" s="1"/>
    </row>
    <row r="24" spans="1:6" ht="16.5" thickBot="1" x14ac:dyDescent="0.3">
      <c r="B24" s="1"/>
      <c r="C24" s="1"/>
      <c r="D24" s="122"/>
      <c r="E24" s="4"/>
      <c r="F24" s="4"/>
    </row>
    <row r="25" spans="1:6" x14ac:dyDescent="0.25">
      <c r="B25" s="7"/>
      <c r="C25" s="7"/>
      <c r="D25" s="123"/>
      <c r="E25" s="7"/>
      <c r="F25" s="7"/>
    </row>
    <row r="26" spans="1:6" x14ac:dyDescent="0.25">
      <c r="A26" s="26"/>
      <c r="B26" s="115"/>
      <c r="C26" s="124" t="s">
        <v>48</v>
      </c>
      <c r="D26" s="125">
        <f>SUM(D12:D24)</f>
        <v>862829</v>
      </c>
      <c r="E26" s="125">
        <f>SUM(E12:E24)</f>
        <v>885262</v>
      </c>
      <c r="F26" s="125">
        <f>SUM(F12:F24)</f>
        <v>864652</v>
      </c>
    </row>
    <row r="27" spans="1:6" ht="16.5" thickBot="1" x14ac:dyDescent="0.3">
      <c r="A27" s="26"/>
      <c r="B27" s="115"/>
      <c r="C27" s="127"/>
      <c r="D27" s="125"/>
      <c r="E27" s="4"/>
      <c r="F27" s="4"/>
    </row>
    <row r="28" spans="1:6" x14ac:dyDescent="0.25">
      <c r="B28" s="11"/>
      <c r="C28" s="11"/>
      <c r="D28" s="11"/>
    </row>
  </sheetData>
  <mergeCells count="1">
    <mergeCell ref="C5:F5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&amp;R2/C. melléklet a 9/2019. (V.29.) 
önkormányzati rendelethez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3"/>
  <sheetViews>
    <sheetView workbookViewId="0">
      <selection activeCell="M74" sqref="M74"/>
    </sheetView>
  </sheetViews>
  <sheetFormatPr defaultRowHeight="15.75" x14ac:dyDescent="0.25"/>
  <cols>
    <col min="1" max="1" width="4.85546875" style="12" customWidth="1"/>
    <col min="2" max="2" width="5.7109375" style="12" customWidth="1"/>
    <col min="3" max="3" width="5.140625" style="12" customWidth="1"/>
    <col min="4" max="4" width="5.7109375" style="12" customWidth="1"/>
    <col min="5" max="5" width="51.85546875" style="12" customWidth="1"/>
    <col min="6" max="6" width="10.28515625" style="12" customWidth="1"/>
    <col min="7" max="8" width="10" style="12" customWidth="1"/>
    <col min="9" max="16384" width="9.140625" style="12"/>
  </cols>
  <sheetData>
    <row r="1" spans="1:9" x14ac:dyDescent="0.25">
      <c r="A1" s="669" t="s">
        <v>436</v>
      </c>
      <c r="B1" s="669"/>
      <c r="C1" s="669"/>
      <c r="D1" s="669"/>
      <c r="E1" s="669"/>
      <c r="F1" s="669"/>
      <c r="G1" s="669"/>
      <c r="H1" s="25"/>
    </row>
    <row r="2" spans="1:9" ht="15" customHeight="1" thickBot="1" x14ac:dyDescent="0.3">
      <c r="G2" s="27" t="s">
        <v>159</v>
      </c>
      <c r="H2" s="444"/>
    </row>
    <row r="3" spans="1:9" ht="14.25" customHeight="1" x14ac:dyDescent="0.25">
      <c r="A3" s="128" t="s">
        <v>71</v>
      </c>
      <c r="B3" s="129" t="s">
        <v>72</v>
      </c>
      <c r="C3" s="129" t="s">
        <v>73</v>
      </c>
      <c r="D3" s="129" t="s">
        <v>74</v>
      </c>
      <c r="E3" s="130" t="s">
        <v>53</v>
      </c>
      <c r="F3" s="84"/>
      <c r="G3" s="131"/>
      <c r="H3" s="630"/>
    </row>
    <row r="4" spans="1:9" ht="14.25" customHeight="1" thickBot="1" x14ac:dyDescent="0.3">
      <c r="A4" s="132" t="s">
        <v>54</v>
      </c>
      <c r="B4" s="133" t="s">
        <v>54</v>
      </c>
      <c r="C4" s="133" t="s">
        <v>75</v>
      </c>
      <c r="D4" s="133" t="s">
        <v>76</v>
      </c>
      <c r="E4" s="109"/>
      <c r="F4" s="241" t="s">
        <v>77</v>
      </c>
      <c r="G4" s="436" t="s">
        <v>521</v>
      </c>
      <c r="H4" s="631" t="s">
        <v>522</v>
      </c>
    </row>
    <row r="5" spans="1:9" ht="14.25" customHeight="1" thickBot="1" x14ac:dyDescent="0.3">
      <c r="A5" s="134"/>
      <c r="B5" s="135"/>
      <c r="C5" s="135"/>
      <c r="D5" s="136"/>
      <c r="E5" s="137"/>
      <c r="F5" s="138" t="s">
        <v>78</v>
      </c>
      <c r="G5" s="137"/>
      <c r="H5" s="630"/>
    </row>
    <row r="6" spans="1:9" ht="10.5" customHeight="1" x14ac:dyDescent="0.25">
      <c r="A6" s="139"/>
      <c r="B6" s="140"/>
      <c r="C6" s="140"/>
      <c r="D6" s="27"/>
      <c r="F6" s="25"/>
      <c r="H6" s="632"/>
    </row>
    <row r="7" spans="1:9" ht="17.25" customHeight="1" thickBot="1" x14ac:dyDescent="0.3">
      <c r="A7" s="278" t="s">
        <v>7</v>
      </c>
      <c r="B7" s="264"/>
      <c r="C7" s="264"/>
      <c r="D7" s="265"/>
      <c r="E7" s="354" t="s">
        <v>245</v>
      </c>
      <c r="F7" s="266"/>
      <c r="G7" s="267"/>
      <c r="H7" s="633"/>
    </row>
    <row r="8" spans="1:9" ht="17.25" customHeight="1" thickTop="1" x14ac:dyDescent="0.25">
      <c r="A8" s="49"/>
      <c r="B8" s="15"/>
      <c r="C8" s="263">
        <v>1</v>
      </c>
      <c r="D8" s="15"/>
      <c r="E8" s="143" t="s">
        <v>80</v>
      </c>
      <c r="F8" s="51"/>
      <c r="G8" s="304"/>
      <c r="H8" s="634"/>
    </row>
    <row r="9" spans="1:9" ht="17.25" customHeight="1" x14ac:dyDescent="0.25">
      <c r="A9" s="40"/>
      <c r="B9" s="86"/>
      <c r="C9" s="98"/>
      <c r="D9" s="144">
        <v>1</v>
      </c>
      <c r="E9" s="145" t="s">
        <v>87</v>
      </c>
      <c r="F9" s="551">
        <v>24897</v>
      </c>
      <c r="G9" s="437">
        <f>24897+500+3000+1200+600</f>
        <v>30197</v>
      </c>
      <c r="H9" s="635">
        <v>35711</v>
      </c>
    </row>
    <row r="10" spans="1:9" ht="17.25" customHeight="1" x14ac:dyDescent="0.25">
      <c r="A10" s="40"/>
      <c r="B10" s="86"/>
      <c r="C10" s="98"/>
      <c r="D10" s="144">
        <v>2</v>
      </c>
      <c r="E10" s="145" t="s">
        <v>61</v>
      </c>
      <c r="F10" s="551">
        <f t="shared" ref="F10" si="0">SUM(F11:F13)</f>
        <v>25118</v>
      </c>
      <c r="G10" s="437">
        <f t="shared" ref="G10:H10" si="1">SUM(G11:G13)</f>
        <v>26018</v>
      </c>
      <c r="H10" s="635">
        <f t="shared" si="1"/>
        <v>42226</v>
      </c>
    </row>
    <row r="11" spans="1:9" ht="17.25" customHeight="1" x14ac:dyDescent="0.25">
      <c r="A11" s="40"/>
      <c r="B11" s="86"/>
      <c r="C11" s="98"/>
      <c r="D11" s="144"/>
      <c r="E11" s="145" t="s">
        <v>176</v>
      </c>
      <c r="F11" s="551">
        <v>20618</v>
      </c>
      <c r="G11" s="437">
        <f>20618+400+500</f>
        <v>21518</v>
      </c>
      <c r="H11" s="635">
        <v>36329</v>
      </c>
    </row>
    <row r="12" spans="1:9" ht="17.25" customHeight="1" x14ac:dyDescent="0.25">
      <c r="A12" s="40"/>
      <c r="B12" s="86"/>
      <c r="C12" s="98"/>
      <c r="D12" s="144"/>
      <c r="E12" s="145" t="s">
        <v>173</v>
      </c>
      <c r="F12" s="551">
        <v>3800</v>
      </c>
      <c r="G12" s="437">
        <v>3800</v>
      </c>
      <c r="H12" s="635">
        <v>4699</v>
      </c>
    </row>
    <row r="13" spans="1:9" ht="17.25" customHeight="1" x14ac:dyDescent="0.25">
      <c r="A13" s="40"/>
      <c r="B13" s="86"/>
      <c r="C13" s="98"/>
      <c r="D13" s="144"/>
      <c r="E13" s="145" t="s">
        <v>402</v>
      </c>
      <c r="F13" s="551">
        <v>700</v>
      </c>
      <c r="G13" s="437">
        <v>700</v>
      </c>
      <c r="H13" s="635">
        <v>1198</v>
      </c>
    </row>
    <row r="14" spans="1:9" ht="17.25" customHeight="1" x14ac:dyDescent="0.25">
      <c r="A14" s="40"/>
      <c r="B14" s="86"/>
      <c r="C14" s="98"/>
      <c r="D14" s="144">
        <v>3</v>
      </c>
      <c r="E14" s="145" t="s">
        <v>236</v>
      </c>
      <c r="F14" s="551">
        <f t="shared" ref="F14" si="2">SUM(F15:F18)</f>
        <v>145686</v>
      </c>
      <c r="G14" s="437">
        <f t="shared" ref="G14:H14" si="3">SUM(G15:G18)</f>
        <v>147062</v>
      </c>
      <c r="H14" s="635">
        <f t="shared" si="3"/>
        <v>147081</v>
      </c>
      <c r="I14" s="598"/>
    </row>
    <row r="15" spans="1:9" ht="17.25" customHeight="1" x14ac:dyDescent="0.25">
      <c r="A15" s="40"/>
      <c r="B15" s="86"/>
      <c r="C15" s="98"/>
      <c r="D15" s="144"/>
      <c r="E15" s="145" t="s">
        <v>387</v>
      </c>
      <c r="F15" s="551">
        <v>49781</v>
      </c>
      <c r="G15" s="437">
        <f>49781+32</f>
        <v>49813</v>
      </c>
      <c r="H15" s="635">
        <v>49813</v>
      </c>
    </row>
    <row r="16" spans="1:9" ht="17.25" customHeight="1" x14ac:dyDescent="0.25">
      <c r="A16" s="40"/>
      <c r="B16" s="86"/>
      <c r="C16" s="98"/>
      <c r="D16" s="144"/>
      <c r="E16" s="145" t="s">
        <v>388</v>
      </c>
      <c r="F16" s="551">
        <v>44982</v>
      </c>
      <c r="G16" s="437">
        <f>44982-214-115-600-100-117</f>
        <v>43836</v>
      </c>
      <c r="H16" s="635">
        <v>43855</v>
      </c>
    </row>
    <row r="17" spans="1:10" ht="17.25" customHeight="1" x14ac:dyDescent="0.25">
      <c r="A17" s="40"/>
      <c r="B17" s="86"/>
      <c r="C17" s="98"/>
      <c r="D17" s="144"/>
      <c r="E17" s="145" t="s">
        <v>389</v>
      </c>
      <c r="F17" s="551">
        <v>48388</v>
      </c>
      <c r="G17" s="437">
        <f>48388-209+363+2175</f>
        <v>50717</v>
      </c>
      <c r="H17" s="635">
        <v>50717</v>
      </c>
    </row>
    <row r="18" spans="1:10" ht="17.25" customHeight="1" x14ac:dyDescent="0.25">
      <c r="A18" s="40"/>
      <c r="B18" s="86"/>
      <c r="C18" s="98"/>
      <c r="D18" s="144"/>
      <c r="E18" s="145" t="s">
        <v>390</v>
      </c>
      <c r="F18" s="551">
        <v>2535</v>
      </c>
      <c r="G18" s="437">
        <f>2535+161</f>
        <v>2696</v>
      </c>
      <c r="H18" s="635">
        <v>2696</v>
      </c>
    </row>
    <row r="19" spans="1:10" ht="35.25" customHeight="1" x14ac:dyDescent="0.25">
      <c r="A19" s="40"/>
      <c r="B19" s="86"/>
      <c r="C19" s="98"/>
      <c r="D19" s="144">
        <v>6</v>
      </c>
      <c r="E19" s="145" t="s">
        <v>1007</v>
      </c>
      <c r="F19" s="551">
        <v>0</v>
      </c>
      <c r="G19" s="437">
        <f>320+500+300+1150+300-436+600+423+373+500-4018+4</f>
        <v>16</v>
      </c>
      <c r="H19" s="635">
        <v>7737</v>
      </c>
    </row>
    <row r="20" spans="1:10" ht="17.25" customHeight="1" x14ac:dyDescent="0.25">
      <c r="A20" s="40"/>
      <c r="B20" s="86"/>
      <c r="C20" s="98"/>
      <c r="D20" s="144">
        <v>4</v>
      </c>
      <c r="E20" s="145" t="s">
        <v>1042</v>
      </c>
      <c r="F20" s="551">
        <f>2247+339129</f>
        <v>341376</v>
      </c>
      <c r="G20" s="437">
        <f>2247+339129+949+15240+6165+5393+5323+231-949+640+495+436+540+1059+977+4018+1188-245-2369</f>
        <v>380467</v>
      </c>
      <c r="H20" s="635">
        <v>364844</v>
      </c>
    </row>
    <row r="21" spans="1:10" ht="17.25" customHeight="1" x14ac:dyDescent="0.25">
      <c r="A21" s="40"/>
      <c r="B21" s="86"/>
      <c r="C21" s="98"/>
      <c r="D21" s="144"/>
      <c r="E21" s="379" t="s">
        <v>483</v>
      </c>
      <c r="F21" s="551"/>
      <c r="G21" s="437"/>
      <c r="H21" s="635">
        <v>327529</v>
      </c>
    </row>
    <row r="22" spans="1:10" ht="17.25" customHeight="1" x14ac:dyDescent="0.25">
      <c r="A22" s="40"/>
      <c r="B22" s="86"/>
      <c r="C22" s="98"/>
      <c r="D22" s="144">
        <v>5</v>
      </c>
      <c r="E22" s="145" t="s">
        <v>81</v>
      </c>
      <c r="F22" s="551">
        <v>71739</v>
      </c>
      <c r="G22" s="437">
        <f>71739-1769-180</f>
        <v>69790</v>
      </c>
      <c r="H22" s="635">
        <v>69790</v>
      </c>
    </row>
    <row r="23" spans="1:10" ht="17.25" customHeight="1" x14ac:dyDescent="0.25">
      <c r="A23" s="40"/>
      <c r="B23" s="86"/>
      <c r="C23" s="98"/>
      <c r="D23" s="388">
        <v>8</v>
      </c>
      <c r="E23" s="150" t="s">
        <v>501</v>
      </c>
      <c r="F23" s="551"/>
      <c r="G23" s="437">
        <v>30000</v>
      </c>
      <c r="H23" s="635">
        <v>30000</v>
      </c>
    </row>
    <row r="24" spans="1:10" ht="17.25" customHeight="1" x14ac:dyDescent="0.25">
      <c r="A24" s="40"/>
      <c r="B24" s="86"/>
      <c r="C24" s="98"/>
      <c r="D24" s="388">
        <v>9</v>
      </c>
      <c r="E24" s="150" t="s">
        <v>1008</v>
      </c>
      <c r="F24" s="551"/>
      <c r="G24" s="437"/>
      <c r="H24" s="635">
        <v>5539</v>
      </c>
      <c r="I24" s="598"/>
    </row>
    <row r="25" spans="1:10" ht="17.25" customHeight="1" x14ac:dyDescent="0.25">
      <c r="A25" s="40"/>
      <c r="B25" s="86"/>
      <c r="C25" s="86"/>
      <c r="D25" s="98"/>
      <c r="E25" s="146" t="s">
        <v>63</v>
      </c>
      <c r="F25" s="397">
        <f t="shared" ref="F25" si="4">SUM(F19:F22)+F9+F10+F14</f>
        <v>608816</v>
      </c>
      <c r="G25" s="438">
        <f t="shared" ref="G25" si="5">SUM(G19:G23)+G9+G10+G14</f>
        <v>683550</v>
      </c>
      <c r="H25" s="636">
        <f>SUM(H19:H23)+H9+H10+H14+H24-H21</f>
        <v>702928</v>
      </c>
      <c r="I25" s="598"/>
      <c r="J25" s="12" t="s">
        <v>519</v>
      </c>
    </row>
    <row r="26" spans="1:10" ht="12.75" customHeight="1" x14ac:dyDescent="0.25">
      <c r="A26" s="40"/>
      <c r="B26" s="86"/>
      <c r="C26" s="95"/>
      <c r="D26" s="95"/>
      <c r="E26" s="16"/>
      <c r="F26" s="398"/>
      <c r="G26" s="437"/>
      <c r="H26" s="635"/>
    </row>
    <row r="27" spans="1:10" ht="17.25" customHeight="1" x14ac:dyDescent="0.25">
      <c r="A27" s="40"/>
      <c r="B27" s="98"/>
      <c r="C27" s="144">
        <v>2</v>
      </c>
      <c r="D27" s="147"/>
      <c r="E27" s="148" t="s">
        <v>177</v>
      </c>
      <c r="F27" s="396"/>
      <c r="G27" s="437"/>
      <c r="H27" s="635"/>
    </row>
    <row r="28" spans="1:10" ht="17.25" customHeight="1" x14ac:dyDescent="0.25">
      <c r="A28" s="40"/>
      <c r="B28" s="98"/>
      <c r="C28" s="147"/>
      <c r="D28" s="144">
        <v>1</v>
      </c>
      <c r="E28" s="149" t="s">
        <v>386</v>
      </c>
      <c r="F28" s="551">
        <v>1566</v>
      </c>
      <c r="G28" s="437">
        <f t="shared" ref="G28" si="6">1566+70</f>
        <v>1636</v>
      </c>
      <c r="H28" s="635">
        <v>0</v>
      </c>
    </row>
    <row r="29" spans="1:10" ht="17.25" customHeight="1" x14ac:dyDescent="0.25">
      <c r="A29" s="40"/>
      <c r="B29" s="98"/>
      <c r="C29" s="150"/>
      <c r="D29" s="144">
        <v>2</v>
      </c>
      <c r="E29" s="149" t="s">
        <v>178</v>
      </c>
      <c r="F29" s="551">
        <v>8000</v>
      </c>
      <c r="G29" s="437">
        <v>8000</v>
      </c>
      <c r="H29" s="635">
        <v>7819</v>
      </c>
    </row>
    <row r="30" spans="1:10" ht="17.25" customHeight="1" x14ac:dyDescent="0.25">
      <c r="A30" s="40"/>
      <c r="B30" s="98"/>
      <c r="C30" s="150"/>
      <c r="D30" s="144">
        <v>3</v>
      </c>
      <c r="E30" s="149" t="s">
        <v>179</v>
      </c>
      <c r="F30" s="551">
        <v>117796</v>
      </c>
      <c r="G30" s="437">
        <f>117796-80000+115+15000+600+100</f>
        <v>53611</v>
      </c>
      <c r="H30" s="635">
        <v>41076</v>
      </c>
    </row>
    <row r="31" spans="1:10" ht="17.25" customHeight="1" x14ac:dyDescent="0.25">
      <c r="A31" s="40"/>
      <c r="B31" s="98"/>
      <c r="C31" s="150"/>
      <c r="D31" s="144"/>
      <c r="E31" s="379" t="s">
        <v>483</v>
      </c>
      <c r="F31" s="551">
        <v>16561</v>
      </c>
      <c r="G31" s="437">
        <v>16561</v>
      </c>
      <c r="H31" s="635">
        <v>3719</v>
      </c>
    </row>
    <row r="32" spans="1:10" ht="17.25" customHeight="1" x14ac:dyDescent="0.25">
      <c r="A32" s="40"/>
      <c r="B32" s="98"/>
      <c r="C32" s="150"/>
      <c r="D32" s="144"/>
      <c r="E32" s="379" t="s">
        <v>515</v>
      </c>
      <c r="F32" s="551"/>
      <c r="G32" s="437">
        <f>115+600+100</f>
        <v>815</v>
      </c>
      <c r="H32" s="635">
        <v>795</v>
      </c>
    </row>
    <row r="33" spans="1:8" ht="17.25" customHeight="1" x14ac:dyDescent="0.25">
      <c r="A33" s="40"/>
      <c r="B33" s="98"/>
      <c r="C33" s="150"/>
      <c r="D33" s="144">
        <v>4</v>
      </c>
      <c r="E33" s="150" t="s">
        <v>1045</v>
      </c>
      <c r="F33" s="551">
        <v>0</v>
      </c>
      <c r="G33" s="437">
        <f t="shared" ref="G33" si="7">3176+1244+943+1005</f>
        <v>6368</v>
      </c>
      <c r="H33" s="635">
        <v>110</v>
      </c>
    </row>
    <row r="34" spans="1:8" ht="17.25" customHeight="1" x14ac:dyDescent="0.25">
      <c r="A34" s="40"/>
      <c r="B34" s="98"/>
      <c r="C34" s="151"/>
      <c r="D34" s="144">
        <v>5</v>
      </c>
      <c r="E34" s="152" t="s">
        <v>182</v>
      </c>
      <c r="F34" s="551">
        <v>735467</v>
      </c>
      <c r="G34" s="437">
        <f>735467+180</f>
        <v>735647</v>
      </c>
      <c r="H34" s="635">
        <v>735647</v>
      </c>
    </row>
    <row r="35" spans="1:8" ht="17.25" customHeight="1" x14ac:dyDescent="0.25">
      <c r="A35" s="40"/>
      <c r="B35" s="98"/>
      <c r="C35" s="151"/>
      <c r="D35" s="144">
        <v>6</v>
      </c>
      <c r="E35" s="152" t="s">
        <v>248</v>
      </c>
      <c r="F35" s="551">
        <v>0</v>
      </c>
      <c r="G35" s="437">
        <v>0</v>
      </c>
      <c r="H35" s="635"/>
    </row>
    <row r="36" spans="1:8" ht="17.25" customHeight="1" x14ac:dyDescent="0.25">
      <c r="A36" s="40"/>
      <c r="B36" s="98"/>
      <c r="C36" s="151"/>
      <c r="D36" s="144">
        <v>8</v>
      </c>
      <c r="E36" s="152" t="s">
        <v>506</v>
      </c>
      <c r="F36" s="551"/>
      <c r="G36" s="437">
        <v>80000</v>
      </c>
      <c r="H36" s="635">
        <v>80000</v>
      </c>
    </row>
    <row r="37" spans="1:8" ht="17.25" customHeight="1" x14ac:dyDescent="0.25">
      <c r="A37" s="40"/>
      <c r="B37" s="98"/>
      <c r="C37" s="147"/>
      <c r="D37" s="147"/>
      <c r="E37" s="153" t="s">
        <v>63</v>
      </c>
      <c r="F37" s="552">
        <f>+F28+F29+F30+F33+F34+F35</f>
        <v>862829</v>
      </c>
      <c r="G37" s="438">
        <f>+G28+G29+G30+G33+G34+G35+G36</f>
        <v>885262</v>
      </c>
      <c r="H37" s="636">
        <f>+H28+H29+H30+H33+H34+H35+H36</f>
        <v>864652</v>
      </c>
    </row>
    <row r="38" spans="1:8" ht="12.75" customHeight="1" x14ac:dyDescent="0.25">
      <c r="A38" s="40"/>
      <c r="B38" s="98"/>
      <c r="C38" s="147"/>
      <c r="D38" s="147"/>
      <c r="E38" s="153"/>
      <c r="F38" s="397"/>
      <c r="G38" s="437"/>
      <c r="H38" s="635"/>
    </row>
    <row r="39" spans="1:8" ht="17.25" customHeight="1" x14ac:dyDescent="0.25">
      <c r="A39" s="40"/>
      <c r="B39" s="86"/>
      <c r="C39" s="150"/>
      <c r="D39" s="147"/>
      <c r="E39" s="154" t="s">
        <v>44</v>
      </c>
      <c r="F39" s="399">
        <f t="shared" ref="F39" si="8">SUM(F37+F25)</f>
        <v>1471645</v>
      </c>
      <c r="G39" s="438">
        <f t="shared" ref="G39:H39" si="9">SUM(G37+G25)</f>
        <v>1568812</v>
      </c>
      <c r="H39" s="636">
        <f t="shared" si="9"/>
        <v>1567580</v>
      </c>
    </row>
    <row r="40" spans="1:8" ht="12.75" customHeight="1" x14ac:dyDescent="0.25">
      <c r="A40" s="40"/>
      <c r="B40" s="95"/>
      <c r="C40" s="268"/>
      <c r="D40" s="269"/>
      <c r="E40" s="270"/>
      <c r="F40" s="400"/>
      <c r="G40" s="437"/>
      <c r="H40" s="635"/>
    </row>
    <row r="41" spans="1:8" ht="17.25" customHeight="1" thickBot="1" x14ac:dyDescent="0.3">
      <c r="A41" s="260" t="s">
        <v>10</v>
      </c>
      <c r="B41" s="274"/>
      <c r="C41" s="275"/>
      <c r="D41" s="276"/>
      <c r="E41" s="277" t="s">
        <v>79</v>
      </c>
      <c r="F41" s="401"/>
      <c r="G41" s="439"/>
      <c r="H41" s="637"/>
    </row>
    <row r="42" spans="1:8" ht="12" customHeight="1" thickTop="1" x14ac:dyDescent="0.25">
      <c r="A42" s="49"/>
      <c r="B42" s="15"/>
      <c r="C42" s="271"/>
      <c r="D42" s="272"/>
      <c r="E42" s="273"/>
      <c r="F42" s="402"/>
      <c r="G42" s="440"/>
      <c r="H42" s="638"/>
    </row>
    <row r="43" spans="1:8" ht="17.25" customHeight="1" x14ac:dyDescent="0.25">
      <c r="A43" s="40"/>
      <c r="B43" s="86"/>
      <c r="C43" s="147">
        <v>1</v>
      </c>
      <c r="D43" s="147"/>
      <c r="E43" s="155" t="s">
        <v>60</v>
      </c>
      <c r="F43" s="396"/>
      <c r="G43" s="437"/>
      <c r="H43" s="635"/>
    </row>
    <row r="44" spans="1:8" ht="17.25" customHeight="1" x14ac:dyDescent="0.25">
      <c r="A44" s="40"/>
      <c r="B44" s="86"/>
      <c r="C44" s="147"/>
      <c r="D44" s="156">
        <v>1</v>
      </c>
      <c r="E44" s="149" t="s">
        <v>84</v>
      </c>
      <c r="F44" s="551">
        <v>0</v>
      </c>
      <c r="G44" s="437">
        <v>0</v>
      </c>
      <c r="H44" s="635">
        <v>28</v>
      </c>
    </row>
    <row r="45" spans="1:8" ht="17.25" customHeight="1" x14ac:dyDescent="0.25">
      <c r="A45" s="40"/>
      <c r="B45" s="86"/>
      <c r="C45" s="147"/>
      <c r="D45" s="156">
        <v>4</v>
      </c>
      <c r="E45" s="149" t="s">
        <v>67</v>
      </c>
      <c r="F45" s="551">
        <v>0</v>
      </c>
      <c r="G45" s="437">
        <v>949</v>
      </c>
      <c r="H45" s="635">
        <v>1017</v>
      </c>
    </row>
    <row r="46" spans="1:8" ht="17.25" customHeight="1" x14ac:dyDescent="0.25">
      <c r="A46" s="40"/>
      <c r="B46" s="86"/>
      <c r="C46" s="147"/>
      <c r="D46" s="156">
        <v>5</v>
      </c>
      <c r="E46" s="149" t="s">
        <v>85</v>
      </c>
      <c r="F46" s="551">
        <v>0</v>
      </c>
      <c r="G46" s="437">
        <v>150</v>
      </c>
      <c r="H46" s="635">
        <v>150</v>
      </c>
    </row>
    <row r="47" spans="1:8" ht="17.25" customHeight="1" x14ac:dyDescent="0.25">
      <c r="A47" s="40"/>
      <c r="B47" s="86"/>
      <c r="C47" s="147"/>
      <c r="D47" s="144">
        <v>7</v>
      </c>
      <c r="E47" s="149" t="s">
        <v>86</v>
      </c>
      <c r="F47" s="551">
        <f>+'4 sz. m.(mód) '!G393-'3. sz. m. (mód) '!F44-'3. sz. m. (mód) '!F45-'3. sz. m. (mód) '!F46</f>
        <v>46477</v>
      </c>
      <c r="G47" s="437">
        <f>+'4 sz. m.(mód) '!H393-'3. sz. m. (mód) '!G44-'3. sz. m. (mód) '!G45-'3. sz. m. (mód) '!G46</f>
        <v>50447</v>
      </c>
      <c r="H47" s="635">
        <v>38885</v>
      </c>
    </row>
    <row r="48" spans="1:8" ht="17.25" customHeight="1" x14ac:dyDescent="0.25">
      <c r="A48" s="40"/>
      <c r="B48" s="86"/>
      <c r="C48" s="147"/>
      <c r="D48" s="144"/>
      <c r="E48" s="154" t="s">
        <v>48</v>
      </c>
      <c r="F48" s="552">
        <f t="shared" ref="F48" si="10">SUM(F44:F47)</f>
        <v>46477</v>
      </c>
      <c r="G48" s="438">
        <f t="shared" ref="G48:H48" si="11">SUM(G44:G47)</f>
        <v>51546</v>
      </c>
      <c r="H48" s="636">
        <f t="shared" si="11"/>
        <v>40080</v>
      </c>
    </row>
    <row r="49" spans="1:8" ht="15.75" customHeight="1" x14ac:dyDescent="0.25">
      <c r="A49" s="40"/>
      <c r="B49" s="86"/>
      <c r="C49" s="158"/>
      <c r="D49" s="147"/>
      <c r="E49" s="149"/>
      <c r="F49" s="560"/>
      <c r="G49" s="437"/>
      <c r="H49" s="635"/>
    </row>
    <row r="50" spans="1:8" ht="15.75" customHeight="1" x14ac:dyDescent="0.25">
      <c r="A50" s="40"/>
      <c r="B50" s="86"/>
      <c r="C50" s="160">
        <v>2</v>
      </c>
      <c r="D50" s="160"/>
      <c r="E50" s="155" t="s">
        <v>175</v>
      </c>
      <c r="F50" s="560"/>
      <c r="G50" s="437"/>
      <c r="H50" s="635"/>
    </row>
    <row r="51" spans="1:8" ht="15.75" customHeight="1" x14ac:dyDescent="0.25">
      <c r="A51" s="40"/>
      <c r="B51" s="86"/>
      <c r="C51" s="160"/>
      <c r="D51" s="160">
        <v>7</v>
      </c>
      <c r="E51" s="149" t="s">
        <v>86</v>
      </c>
      <c r="F51" s="560">
        <f>+'4 sz. m.(mód) '!G398</f>
        <v>127</v>
      </c>
      <c r="G51" s="437">
        <f>+'4 sz. m.(mód) '!H398</f>
        <v>127</v>
      </c>
      <c r="H51" s="635">
        <v>85</v>
      </c>
    </row>
    <row r="52" spans="1:8" ht="15.75" customHeight="1" x14ac:dyDescent="0.25">
      <c r="A52" s="40"/>
      <c r="B52" s="86"/>
      <c r="C52" s="158"/>
      <c r="D52" s="147"/>
      <c r="E52" s="149"/>
      <c r="F52" s="560"/>
      <c r="G52" s="437"/>
      <c r="H52" s="635"/>
    </row>
    <row r="53" spans="1:8" ht="17.25" customHeight="1" x14ac:dyDescent="0.25">
      <c r="A53" s="40"/>
      <c r="B53" s="86"/>
      <c r="C53" s="157"/>
      <c r="D53" s="150"/>
      <c r="E53" s="159" t="s">
        <v>44</v>
      </c>
      <c r="F53" s="561">
        <f t="shared" ref="F53" si="12">+F48+F51</f>
        <v>46604</v>
      </c>
      <c r="G53" s="438">
        <f t="shared" ref="G53:H53" si="13">+G48+G51</f>
        <v>51673</v>
      </c>
      <c r="H53" s="636">
        <f t="shared" si="13"/>
        <v>40165</v>
      </c>
    </row>
    <row r="54" spans="1:8" ht="17.25" customHeight="1" x14ac:dyDescent="0.25">
      <c r="A54" s="416"/>
      <c r="B54" s="158"/>
      <c r="C54" s="157"/>
      <c r="D54" s="150"/>
      <c r="E54" s="159"/>
      <c r="F54" s="399"/>
      <c r="G54" s="437"/>
      <c r="H54" s="635"/>
    </row>
    <row r="55" spans="1:8" ht="17.25" customHeight="1" thickBot="1" x14ac:dyDescent="0.3">
      <c r="A55" s="283" t="s">
        <v>11</v>
      </c>
      <c r="B55" s="275"/>
      <c r="C55" s="677" t="s">
        <v>246</v>
      </c>
      <c r="D55" s="677"/>
      <c r="E55" s="677"/>
      <c r="F55" s="403"/>
      <c r="G55" s="439"/>
      <c r="H55" s="637"/>
    </row>
    <row r="56" spans="1:8" ht="12" customHeight="1" thickTop="1" x14ac:dyDescent="0.25">
      <c r="A56" s="57"/>
      <c r="B56" s="271"/>
      <c r="C56" s="280"/>
      <c r="D56" s="280"/>
      <c r="E56" s="279"/>
      <c r="F56" s="404"/>
      <c r="G56" s="440"/>
      <c r="H56" s="638"/>
    </row>
    <row r="57" spans="1:8" ht="17.25" customHeight="1" x14ac:dyDescent="0.25">
      <c r="A57" s="161"/>
      <c r="B57" s="150"/>
      <c r="C57" s="156">
        <v>1</v>
      </c>
      <c r="D57" s="160"/>
      <c r="E57" s="155" t="s">
        <v>60</v>
      </c>
      <c r="F57" s="396"/>
      <c r="G57" s="437"/>
      <c r="H57" s="635"/>
    </row>
    <row r="58" spans="1:8" ht="17.25" customHeight="1" x14ac:dyDescent="0.25">
      <c r="A58" s="161"/>
      <c r="B58" s="150"/>
      <c r="C58" s="160"/>
      <c r="D58" s="156">
        <v>1</v>
      </c>
      <c r="E58" s="149" t="s">
        <v>87</v>
      </c>
      <c r="F58" s="59">
        <v>9665</v>
      </c>
      <c r="G58" s="437">
        <f>9665+1300+1000</f>
        <v>11965</v>
      </c>
      <c r="H58" s="635">
        <v>11365</v>
      </c>
    </row>
    <row r="59" spans="1:8" ht="17.25" customHeight="1" x14ac:dyDescent="0.25">
      <c r="A59" s="162"/>
      <c r="B59" s="147"/>
      <c r="C59" s="160"/>
      <c r="D59" s="156">
        <v>4</v>
      </c>
      <c r="E59" s="149" t="s">
        <v>67</v>
      </c>
      <c r="F59" s="59">
        <v>4200</v>
      </c>
      <c r="G59" s="437">
        <f>4200+1073+1611</f>
        <v>6884</v>
      </c>
      <c r="H59" s="635">
        <v>7574</v>
      </c>
    </row>
    <row r="60" spans="1:8" ht="17.25" customHeight="1" x14ac:dyDescent="0.25">
      <c r="A60" s="161"/>
      <c r="B60" s="150"/>
      <c r="C60" s="160"/>
      <c r="D60" s="156">
        <v>5</v>
      </c>
      <c r="E60" s="149" t="s">
        <v>85</v>
      </c>
      <c r="F60" s="59">
        <v>0</v>
      </c>
      <c r="G60" s="437">
        <v>381</v>
      </c>
      <c r="H60" s="635">
        <v>382</v>
      </c>
    </row>
    <row r="61" spans="1:8" ht="17.25" customHeight="1" x14ac:dyDescent="0.25">
      <c r="A61" s="161"/>
      <c r="B61" s="150"/>
      <c r="C61" s="160"/>
      <c r="D61" s="156">
        <v>7</v>
      </c>
      <c r="E61" s="149" t="s">
        <v>86</v>
      </c>
      <c r="F61" s="59">
        <f>+'4 sz. m.(mód) '!G486-'3. sz. m. (mód) '!F58-'3. sz. m. (mód) '!F59-'3. sz. m. (mód) '!F60</f>
        <v>32063</v>
      </c>
      <c r="G61" s="437">
        <f>+'4 sz. m.(mód) '!H486-'3. sz. m. (mód) '!G58-'3. sz. m. (mód) '!G59-'3. sz. m. (mód) '!G60</f>
        <v>33732</v>
      </c>
      <c r="H61" s="635">
        <v>29998</v>
      </c>
    </row>
    <row r="62" spans="1:8" ht="17.25" customHeight="1" x14ac:dyDescent="0.25">
      <c r="A62" s="161"/>
      <c r="B62" s="150"/>
      <c r="C62" s="160"/>
      <c r="D62" s="156"/>
      <c r="E62" s="154" t="s">
        <v>48</v>
      </c>
      <c r="F62" s="561">
        <f t="shared" ref="F62" si="14">SUM(F58:F61)</f>
        <v>45928</v>
      </c>
      <c r="G62" s="438">
        <f t="shared" ref="G62:H62" si="15">SUM(G58:G61)</f>
        <v>52962</v>
      </c>
      <c r="H62" s="636">
        <f t="shared" si="15"/>
        <v>49319</v>
      </c>
    </row>
    <row r="63" spans="1:8" ht="17.25" customHeight="1" x14ac:dyDescent="0.25">
      <c r="A63" s="161"/>
      <c r="B63" s="150"/>
      <c r="C63" s="160"/>
      <c r="D63" s="160"/>
      <c r="E63" s="149"/>
      <c r="F63" s="59"/>
      <c r="G63" s="437"/>
      <c r="H63" s="635"/>
    </row>
    <row r="64" spans="1:8" ht="17.25" customHeight="1" x14ac:dyDescent="0.25">
      <c r="A64" s="161"/>
      <c r="B64" s="150"/>
      <c r="C64" s="160">
        <v>2</v>
      </c>
      <c r="D64" s="160"/>
      <c r="E64" s="155" t="s">
        <v>175</v>
      </c>
      <c r="F64" s="59"/>
      <c r="G64" s="437"/>
      <c r="H64" s="635"/>
    </row>
    <row r="65" spans="1:9" ht="17.25" customHeight="1" x14ac:dyDescent="0.25">
      <c r="A65" s="161"/>
      <c r="B65" s="150"/>
      <c r="C65" s="160"/>
      <c r="D65" s="160">
        <v>7</v>
      </c>
      <c r="E65" s="149" t="s">
        <v>86</v>
      </c>
      <c r="F65" s="59">
        <f>+'4 sz. m.(mód) '!G491</f>
        <v>152</v>
      </c>
      <c r="G65" s="437">
        <f>+'4 sz. m.(mód) '!H491</f>
        <v>222</v>
      </c>
      <c r="H65" s="635">
        <v>147</v>
      </c>
    </row>
    <row r="66" spans="1:9" ht="17.25" customHeight="1" x14ac:dyDescent="0.25">
      <c r="A66" s="161"/>
      <c r="B66" s="150"/>
      <c r="C66" s="160"/>
      <c r="D66" s="160"/>
      <c r="E66" s="149"/>
      <c r="F66" s="59"/>
      <c r="G66" s="437"/>
      <c r="H66" s="635"/>
    </row>
    <row r="67" spans="1:9" ht="17.25" customHeight="1" thickBot="1" x14ac:dyDescent="0.3">
      <c r="A67" s="603"/>
      <c r="B67" s="269"/>
      <c r="C67" s="389"/>
      <c r="D67" s="149"/>
      <c r="E67" s="159" t="s">
        <v>44</v>
      </c>
      <c r="F67" s="561">
        <f t="shared" ref="F67" si="16">+F62+F65</f>
        <v>46080</v>
      </c>
      <c r="G67" s="438">
        <f t="shared" ref="G67:H67" si="17">+G62+G65</f>
        <v>53184</v>
      </c>
      <c r="H67" s="636">
        <f t="shared" si="17"/>
        <v>49466</v>
      </c>
      <c r="I67" s="598"/>
    </row>
    <row r="68" spans="1:9" ht="17.25" customHeight="1" thickBot="1" x14ac:dyDescent="0.3">
      <c r="A68" s="645"/>
      <c r="B68" s="646"/>
      <c r="C68" s="647"/>
      <c r="D68" s="648"/>
      <c r="E68" s="642"/>
      <c r="F68" s="649"/>
      <c r="G68" s="650"/>
      <c r="H68" s="651"/>
      <c r="I68" s="598"/>
    </row>
    <row r="69" spans="1:9" ht="17.25" customHeight="1" x14ac:dyDescent="0.25">
      <c r="A69" s="60"/>
      <c r="B69" s="16"/>
      <c r="C69" s="16"/>
      <c r="D69" s="16"/>
      <c r="E69" s="16"/>
      <c r="F69" s="398"/>
      <c r="G69" s="440"/>
      <c r="H69" s="638"/>
    </row>
    <row r="70" spans="1:9" ht="17.25" customHeight="1" thickBot="1" x14ac:dyDescent="0.3">
      <c r="A70" s="278" t="s">
        <v>12</v>
      </c>
      <c r="B70" s="274"/>
      <c r="C70" s="678" t="s">
        <v>311</v>
      </c>
      <c r="D70" s="678"/>
      <c r="E70" s="678"/>
      <c r="F70" s="406"/>
      <c r="G70" s="439"/>
      <c r="H70" s="637"/>
    </row>
    <row r="71" spans="1:9" ht="14.25" customHeight="1" thickTop="1" x14ac:dyDescent="0.25">
      <c r="A71" s="103"/>
      <c r="B71" s="104"/>
      <c r="C71" s="104"/>
      <c r="D71" s="104"/>
      <c r="E71" s="104"/>
      <c r="F71" s="407"/>
      <c r="G71" s="440"/>
      <c r="H71" s="638"/>
    </row>
    <row r="72" spans="1:9" ht="17.25" customHeight="1" x14ac:dyDescent="0.25">
      <c r="A72" s="40"/>
      <c r="B72" s="86"/>
      <c r="C72" s="156">
        <v>1</v>
      </c>
      <c r="D72" s="160"/>
      <c r="E72" s="155" t="s">
        <v>60</v>
      </c>
      <c r="F72" s="396"/>
      <c r="G72" s="437"/>
      <c r="H72" s="635"/>
    </row>
    <row r="73" spans="1:9" ht="17.25" customHeight="1" x14ac:dyDescent="0.25">
      <c r="A73" s="40"/>
      <c r="B73" s="86"/>
      <c r="C73" s="160"/>
      <c r="D73" s="156">
        <v>1</v>
      </c>
      <c r="E73" s="149" t="s">
        <v>87</v>
      </c>
      <c r="F73" s="405">
        <v>0</v>
      </c>
      <c r="G73" s="437">
        <v>0</v>
      </c>
      <c r="H73" s="635"/>
    </row>
    <row r="74" spans="1:9" ht="17.25" customHeight="1" x14ac:dyDescent="0.25">
      <c r="A74" s="40"/>
      <c r="B74" s="86"/>
      <c r="C74" s="160"/>
      <c r="D74" s="156">
        <v>5</v>
      </c>
      <c r="E74" s="149" t="s">
        <v>85</v>
      </c>
      <c r="F74" s="405">
        <v>0</v>
      </c>
      <c r="G74" s="437">
        <v>88</v>
      </c>
      <c r="H74" s="635">
        <v>88</v>
      </c>
    </row>
    <row r="75" spans="1:9" ht="17.25" customHeight="1" x14ac:dyDescent="0.25">
      <c r="A75" s="40"/>
      <c r="B75" s="86"/>
      <c r="C75" s="160"/>
      <c r="D75" s="156">
        <v>7</v>
      </c>
      <c r="E75" s="149" t="s">
        <v>86</v>
      </c>
      <c r="F75" s="59">
        <f>+'4 sz. m.(mód) '!G533-'3. sz. m. (mód) '!F73</f>
        <v>47379</v>
      </c>
      <c r="G75" s="437">
        <f>+'4 sz. m.(mód) '!H533-'3. sz. m. (mód) '!G73-G74</f>
        <v>46836</v>
      </c>
      <c r="H75" s="635">
        <v>44449</v>
      </c>
    </row>
    <row r="76" spans="1:9" ht="17.25" customHeight="1" x14ac:dyDescent="0.25">
      <c r="A76" s="40"/>
      <c r="B76" s="86"/>
      <c r="C76" s="160"/>
      <c r="D76" s="156"/>
      <c r="E76" s="154" t="s">
        <v>48</v>
      </c>
      <c r="F76" s="561">
        <f t="shared" ref="F76" si="18">SUM(F73:F75)</f>
        <v>47379</v>
      </c>
      <c r="G76" s="437">
        <f t="shared" ref="G76:H76" si="19">SUM(G73:G75)</f>
        <v>46924</v>
      </c>
      <c r="H76" s="635">
        <f t="shared" si="19"/>
        <v>44537</v>
      </c>
    </row>
    <row r="77" spans="1:9" ht="17.25" customHeight="1" x14ac:dyDescent="0.25">
      <c r="A77" s="40"/>
      <c r="B77" s="86"/>
      <c r="C77" s="160"/>
      <c r="D77" s="156"/>
      <c r="E77" s="154"/>
      <c r="F77" s="59"/>
      <c r="G77" s="437"/>
      <c r="H77" s="635"/>
    </row>
    <row r="78" spans="1:9" ht="17.25" customHeight="1" x14ac:dyDescent="0.25">
      <c r="A78" s="40"/>
      <c r="B78" s="86"/>
      <c r="C78" s="160">
        <v>2</v>
      </c>
      <c r="D78" s="160"/>
      <c r="E78" s="155" t="s">
        <v>175</v>
      </c>
      <c r="F78" s="59"/>
      <c r="G78" s="437"/>
      <c r="H78" s="635"/>
    </row>
    <row r="79" spans="1:9" ht="17.25" customHeight="1" x14ac:dyDescent="0.25">
      <c r="A79" s="40"/>
      <c r="B79" s="86"/>
      <c r="C79" s="160"/>
      <c r="D79" s="160">
        <v>7</v>
      </c>
      <c r="E79" s="149" t="s">
        <v>86</v>
      </c>
      <c r="F79" s="59"/>
      <c r="G79" s="437">
        <f>+'4 sz. m.(mód) '!H538</f>
        <v>815</v>
      </c>
      <c r="H79" s="635">
        <v>795</v>
      </c>
    </row>
    <row r="80" spans="1:9" ht="17.25" customHeight="1" x14ac:dyDescent="0.25">
      <c r="A80" s="40"/>
      <c r="B80" s="86"/>
      <c r="C80" s="160"/>
      <c r="D80" s="160"/>
      <c r="E80" s="149"/>
      <c r="F80" s="59"/>
      <c r="G80" s="437"/>
      <c r="H80" s="635"/>
    </row>
    <row r="81" spans="1:9" ht="17.25" customHeight="1" thickBot="1" x14ac:dyDescent="0.3">
      <c r="A81" s="77"/>
      <c r="B81" s="109"/>
      <c r="C81" s="109"/>
      <c r="D81" s="109"/>
      <c r="E81" s="642" t="s">
        <v>44</v>
      </c>
      <c r="F81" s="578">
        <f t="shared" ref="F81" si="20">+F76+F79</f>
        <v>47379</v>
      </c>
      <c r="G81" s="643">
        <f t="shared" ref="G81:H81" si="21">+G76+G79</f>
        <v>47739</v>
      </c>
      <c r="H81" s="644">
        <f t="shared" si="21"/>
        <v>45332</v>
      </c>
    </row>
    <row r="82" spans="1:9" ht="17.25" customHeight="1" x14ac:dyDescent="0.25">
      <c r="A82" s="49"/>
      <c r="B82" s="15"/>
      <c r="C82" s="15"/>
      <c r="D82" s="15"/>
      <c r="E82" s="15"/>
      <c r="F82" s="641"/>
      <c r="G82" s="440"/>
      <c r="H82" s="638"/>
    </row>
    <row r="83" spans="1:9" ht="17.25" customHeight="1" thickBot="1" x14ac:dyDescent="0.3">
      <c r="A83" s="306"/>
      <c r="B83" s="307"/>
      <c r="C83" s="307"/>
      <c r="D83" s="307"/>
      <c r="E83" s="277" t="s">
        <v>88</v>
      </c>
      <c r="F83" s="409"/>
      <c r="G83" s="439"/>
      <c r="H83" s="637"/>
    </row>
    <row r="84" spans="1:9" ht="15" customHeight="1" thickTop="1" x14ac:dyDescent="0.25">
      <c r="A84" s="288"/>
      <c r="B84" s="280"/>
      <c r="C84" s="280"/>
      <c r="D84" s="280"/>
      <c r="E84" s="289"/>
      <c r="F84" s="410"/>
      <c r="G84" s="440"/>
      <c r="H84" s="638"/>
    </row>
    <row r="85" spans="1:9" ht="17.25" customHeight="1" x14ac:dyDescent="0.25">
      <c r="A85" s="164"/>
      <c r="B85" s="160"/>
      <c r="C85" s="156">
        <v>1</v>
      </c>
      <c r="D85" s="160"/>
      <c r="E85" s="155" t="s">
        <v>60</v>
      </c>
      <c r="F85" s="405"/>
      <c r="G85" s="437"/>
      <c r="H85" s="635"/>
    </row>
    <row r="86" spans="1:9" ht="17.25" customHeight="1" x14ac:dyDescent="0.25">
      <c r="A86" s="164"/>
      <c r="B86" s="160"/>
      <c r="C86" s="160"/>
      <c r="D86" s="156">
        <v>1</v>
      </c>
      <c r="E86" s="149" t="s">
        <v>87</v>
      </c>
      <c r="F86" s="59">
        <f t="shared" ref="F86" si="22">+F9+F58+F44+F73</f>
        <v>34562</v>
      </c>
      <c r="G86" s="437">
        <f t="shared" ref="G86:H86" si="23">+G9+G58+G44+G73</f>
        <v>42162</v>
      </c>
      <c r="H86" s="635">
        <f t="shared" si="23"/>
        <v>47104</v>
      </c>
    </row>
    <row r="87" spans="1:9" ht="17.25" customHeight="1" x14ac:dyDescent="0.25">
      <c r="A87" s="164"/>
      <c r="B87" s="160"/>
      <c r="C87" s="160"/>
      <c r="D87" s="156">
        <v>2</v>
      </c>
      <c r="E87" s="149" t="s">
        <v>61</v>
      </c>
      <c r="F87" s="59">
        <f t="shared" ref="F87" si="24">+F10</f>
        <v>25118</v>
      </c>
      <c r="G87" s="437">
        <f t="shared" ref="G87:H87" si="25">+G10</f>
        <v>26018</v>
      </c>
      <c r="H87" s="635">
        <f t="shared" si="25"/>
        <v>42226</v>
      </c>
      <c r="I87" s="598"/>
    </row>
    <row r="88" spans="1:9" ht="17.25" customHeight="1" x14ac:dyDescent="0.25">
      <c r="A88" s="164"/>
      <c r="B88" s="160"/>
      <c r="C88" s="160"/>
      <c r="D88" s="156">
        <v>3</v>
      </c>
      <c r="E88" s="284" t="s">
        <v>236</v>
      </c>
      <c r="F88" s="59">
        <f t="shared" ref="F88" si="26">+F14</f>
        <v>145686</v>
      </c>
      <c r="G88" s="437">
        <f t="shared" ref="G88:H88" si="27">+G14</f>
        <v>147062</v>
      </c>
      <c r="H88" s="635">
        <f t="shared" si="27"/>
        <v>147081</v>
      </c>
      <c r="I88" s="598"/>
    </row>
    <row r="89" spans="1:9" ht="33" customHeight="1" x14ac:dyDescent="0.25">
      <c r="A89" s="164"/>
      <c r="B89" s="160"/>
      <c r="C89" s="160"/>
      <c r="D89" s="144">
        <v>6</v>
      </c>
      <c r="E89" s="145" t="s">
        <v>1007</v>
      </c>
      <c r="F89" s="59">
        <f t="shared" ref="F89" si="28">+F19</f>
        <v>0</v>
      </c>
      <c r="G89" s="437">
        <f t="shared" ref="G89:H89" si="29">+G19</f>
        <v>16</v>
      </c>
      <c r="H89" s="635">
        <f t="shared" si="29"/>
        <v>7737</v>
      </c>
    </row>
    <row r="90" spans="1:9" ht="17.25" customHeight="1" x14ac:dyDescent="0.25">
      <c r="A90" s="164"/>
      <c r="B90" s="160"/>
      <c r="C90" s="160"/>
      <c r="D90" s="144">
        <v>4</v>
      </c>
      <c r="E90" s="145" t="s">
        <v>1042</v>
      </c>
      <c r="F90" s="59">
        <f t="shared" ref="F90" si="30">+F20+F59+F45</f>
        <v>345576</v>
      </c>
      <c r="G90" s="437">
        <f>+G20+G59+G45</f>
        <v>388300</v>
      </c>
      <c r="H90" s="635">
        <f>+H20+H59+H45</f>
        <v>373435</v>
      </c>
    </row>
    <row r="91" spans="1:9" ht="17.25" customHeight="1" x14ac:dyDescent="0.25">
      <c r="A91" s="164"/>
      <c r="B91" s="160"/>
      <c r="C91" s="160"/>
      <c r="D91" s="144">
        <v>5</v>
      </c>
      <c r="E91" s="145" t="s">
        <v>81</v>
      </c>
      <c r="F91" s="59">
        <f>+F22+F46+F60</f>
        <v>71739</v>
      </c>
      <c r="G91" s="437">
        <f t="shared" ref="G91:H91" si="31">+G22+G46+G60+G74</f>
        <v>70409</v>
      </c>
      <c r="H91" s="635">
        <f t="shared" si="31"/>
        <v>70410</v>
      </c>
    </row>
    <row r="92" spans="1:9" ht="17.25" customHeight="1" x14ac:dyDescent="0.25">
      <c r="A92" s="165"/>
      <c r="B92" s="166"/>
      <c r="C92" s="166"/>
      <c r="D92" s="282">
        <v>7</v>
      </c>
      <c r="E92" s="149" t="s">
        <v>86</v>
      </c>
      <c r="F92" s="176">
        <f t="shared" ref="F92" si="32">+F61+F47+F75</f>
        <v>125919</v>
      </c>
      <c r="G92" s="437">
        <f t="shared" ref="G92:H92" si="33">+G61+G47+G75</f>
        <v>131015</v>
      </c>
      <c r="H92" s="635">
        <f t="shared" si="33"/>
        <v>113332</v>
      </c>
    </row>
    <row r="93" spans="1:9" ht="17.25" customHeight="1" x14ac:dyDescent="0.25">
      <c r="A93" s="165"/>
      <c r="B93" s="166"/>
      <c r="C93" s="166"/>
      <c r="D93" s="282">
        <v>8</v>
      </c>
      <c r="E93" s="389" t="s">
        <v>501</v>
      </c>
      <c r="F93" s="176"/>
      <c r="G93" s="437">
        <f t="shared" ref="G93:H93" si="34">+G23</f>
        <v>30000</v>
      </c>
      <c r="H93" s="635">
        <f t="shared" si="34"/>
        <v>30000</v>
      </c>
    </row>
    <row r="94" spans="1:9" ht="17.25" customHeight="1" x14ac:dyDescent="0.25">
      <c r="A94" s="165"/>
      <c r="B94" s="166"/>
      <c r="C94" s="166"/>
      <c r="D94" s="282">
        <v>9</v>
      </c>
      <c r="E94" s="389" t="s">
        <v>1008</v>
      </c>
      <c r="F94" s="176"/>
      <c r="G94" s="437"/>
      <c r="H94" s="635">
        <f>H24</f>
        <v>5539</v>
      </c>
    </row>
    <row r="95" spans="1:9" ht="17.25" customHeight="1" x14ac:dyDescent="0.25">
      <c r="A95" s="165"/>
      <c r="B95" s="166"/>
      <c r="C95" s="166"/>
      <c r="D95" s="166"/>
      <c r="E95" s="353" t="s">
        <v>63</v>
      </c>
      <c r="F95" s="562">
        <f t="shared" ref="F95" si="35">SUM(F86:F92)</f>
        <v>748600</v>
      </c>
      <c r="G95" s="438">
        <f t="shared" ref="G95" si="36">SUM(G86:G93)</f>
        <v>834982</v>
      </c>
      <c r="H95" s="636">
        <f>SUM(H86:H94)</f>
        <v>836864</v>
      </c>
      <c r="I95" s="14"/>
    </row>
    <row r="96" spans="1:9" ht="17.25" customHeight="1" x14ac:dyDescent="0.25">
      <c r="A96" s="40"/>
      <c r="B96" s="86"/>
      <c r="C96" s="86"/>
      <c r="D96" s="86"/>
      <c r="E96" s="86"/>
      <c r="F96" s="408"/>
      <c r="G96" s="437"/>
      <c r="H96" s="635"/>
    </row>
    <row r="97" spans="1:8" ht="17.25" customHeight="1" x14ac:dyDescent="0.25">
      <c r="A97" s="164"/>
      <c r="B97" s="160"/>
      <c r="C97" s="156">
        <v>2</v>
      </c>
      <c r="D97" s="160"/>
      <c r="E97" s="148" t="s">
        <v>181</v>
      </c>
      <c r="F97" s="405"/>
      <c r="G97" s="437"/>
      <c r="H97" s="635"/>
    </row>
    <row r="98" spans="1:8" ht="17.25" customHeight="1" x14ac:dyDescent="0.25">
      <c r="A98" s="164"/>
      <c r="B98" s="160"/>
      <c r="C98" s="160"/>
      <c r="D98" s="144">
        <v>1</v>
      </c>
      <c r="E98" s="149" t="s">
        <v>489</v>
      </c>
      <c r="F98" s="59">
        <f>+F28</f>
        <v>1566</v>
      </c>
      <c r="G98" s="437">
        <f t="shared" ref="G98:H98" si="37">+G28</f>
        <v>1636</v>
      </c>
      <c r="H98" s="635">
        <f t="shared" si="37"/>
        <v>0</v>
      </c>
    </row>
    <row r="99" spans="1:8" ht="17.25" customHeight="1" x14ac:dyDescent="0.25">
      <c r="A99" s="164"/>
      <c r="B99" s="160"/>
      <c r="C99" s="160"/>
      <c r="D99" s="144">
        <v>2</v>
      </c>
      <c r="E99" s="149" t="s">
        <v>178</v>
      </c>
      <c r="F99" s="59">
        <f>+F29</f>
        <v>8000</v>
      </c>
      <c r="G99" s="437">
        <f t="shared" ref="G99:H99" si="38">+G29</f>
        <v>8000</v>
      </c>
      <c r="H99" s="635">
        <f t="shared" si="38"/>
        <v>7819</v>
      </c>
    </row>
    <row r="100" spans="1:8" ht="17.25" customHeight="1" x14ac:dyDescent="0.25">
      <c r="A100" s="164"/>
      <c r="B100" s="160"/>
      <c r="C100" s="160"/>
      <c r="D100" s="144">
        <v>3</v>
      </c>
      <c r="E100" s="149" t="s">
        <v>179</v>
      </c>
      <c r="F100" s="59">
        <f>+F30</f>
        <v>117796</v>
      </c>
      <c r="G100" s="437">
        <f t="shared" ref="G100:H100" si="39">+G30</f>
        <v>53611</v>
      </c>
      <c r="H100" s="635">
        <f t="shared" si="39"/>
        <v>41076</v>
      </c>
    </row>
    <row r="101" spans="1:8" ht="17.25" customHeight="1" x14ac:dyDescent="0.25">
      <c r="A101" s="164"/>
      <c r="B101" s="160"/>
      <c r="C101" s="160"/>
      <c r="D101" s="144"/>
      <c r="E101" s="379" t="s">
        <v>482</v>
      </c>
      <c r="F101" s="59">
        <f>+F31</f>
        <v>16561</v>
      </c>
      <c r="G101" s="437">
        <f t="shared" ref="G101:H101" si="40">+G31</f>
        <v>16561</v>
      </c>
      <c r="H101" s="635">
        <f t="shared" si="40"/>
        <v>3719</v>
      </c>
    </row>
    <row r="102" spans="1:8" ht="17.25" customHeight="1" x14ac:dyDescent="0.25">
      <c r="A102" s="164"/>
      <c r="B102" s="160"/>
      <c r="C102" s="160"/>
      <c r="D102" s="144">
        <v>4</v>
      </c>
      <c r="E102" s="150" t="s">
        <v>180</v>
      </c>
      <c r="F102" s="59">
        <f>+F33</f>
        <v>0</v>
      </c>
      <c r="G102" s="437">
        <f t="shared" ref="G102:H102" si="41">+G33</f>
        <v>6368</v>
      </c>
      <c r="H102" s="635">
        <f t="shared" si="41"/>
        <v>110</v>
      </c>
    </row>
    <row r="103" spans="1:8" ht="17.25" customHeight="1" x14ac:dyDescent="0.25">
      <c r="A103" s="164"/>
      <c r="B103" s="160"/>
      <c r="C103" s="160"/>
      <c r="D103" s="144">
        <v>5</v>
      </c>
      <c r="E103" s="152" t="s">
        <v>182</v>
      </c>
      <c r="F103" s="59">
        <f>+F34</f>
        <v>735467</v>
      </c>
      <c r="G103" s="437">
        <f t="shared" ref="G103:H103" si="42">+G34</f>
        <v>735647</v>
      </c>
      <c r="H103" s="635">
        <f t="shared" si="42"/>
        <v>735647</v>
      </c>
    </row>
    <row r="104" spans="1:8" ht="17.25" customHeight="1" x14ac:dyDescent="0.25">
      <c r="A104" s="164"/>
      <c r="B104" s="160"/>
      <c r="C104" s="160"/>
      <c r="D104" s="144">
        <v>6</v>
      </c>
      <c r="E104" s="152" t="s">
        <v>248</v>
      </c>
      <c r="F104" s="59">
        <f>+F35</f>
        <v>0</v>
      </c>
      <c r="G104" s="437">
        <f t="shared" ref="G104:H104" si="43">+G35</f>
        <v>0</v>
      </c>
      <c r="H104" s="635">
        <f t="shared" si="43"/>
        <v>0</v>
      </c>
    </row>
    <row r="105" spans="1:8" ht="17.25" customHeight="1" x14ac:dyDescent="0.25">
      <c r="A105" s="164"/>
      <c r="B105" s="160"/>
      <c r="C105" s="160"/>
      <c r="D105" s="144">
        <v>7</v>
      </c>
      <c r="E105" s="152" t="s">
        <v>86</v>
      </c>
      <c r="F105" s="59">
        <f t="shared" ref="F105" si="44">+F79+F65+F51</f>
        <v>279</v>
      </c>
      <c r="G105" s="437">
        <f t="shared" ref="G105:H105" si="45">+G79+G65+G51</f>
        <v>1164</v>
      </c>
      <c r="H105" s="635">
        <f t="shared" si="45"/>
        <v>1027</v>
      </c>
    </row>
    <row r="106" spans="1:8" ht="17.25" customHeight="1" x14ac:dyDescent="0.25">
      <c r="A106" s="164"/>
      <c r="B106" s="160"/>
      <c r="C106" s="160"/>
      <c r="D106" s="144">
        <v>8</v>
      </c>
      <c r="E106" s="152" t="s">
        <v>506</v>
      </c>
      <c r="F106" s="59"/>
      <c r="G106" s="437">
        <f>+G36</f>
        <v>80000</v>
      </c>
      <c r="H106" s="635">
        <f>+H36</f>
        <v>80000</v>
      </c>
    </row>
    <row r="107" spans="1:8" ht="17.25" customHeight="1" x14ac:dyDescent="0.25">
      <c r="A107" s="164"/>
      <c r="B107" s="160"/>
      <c r="C107" s="160"/>
      <c r="D107" s="160"/>
      <c r="E107" s="153" t="s">
        <v>63</v>
      </c>
      <c r="F107" s="561">
        <f>SUM(F98:F105)-F101</f>
        <v>863108</v>
      </c>
      <c r="G107" s="438">
        <f>SUM(G98:G106)-G101</f>
        <v>886426</v>
      </c>
      <c r="H107" s="636">
        <f>SUM(H98:H106)-H101</f>
        <v>865679</v>
      </c>
    </row>
    <row r="108" spans="1:8" ht="17.25" customHeight="1" x14ac:dyDescent="0.25">
      <c r="A108" s="165"/>
      <c r="B108" s="166"/>
      <c r="C108" s="166"/>
      <c r="D108" s="166"/>
      <c r="E108" s="281"/>
      <c r="F108" s="561"/>
      <c r="G108" s="437"/>
      <c r="H108" s="635"/>
    </row>
    <row r="109" spans="1:8" ht="17.25" customHeight="1" x14ac:dyDescent="0.25">
      <c r="A109" s="165"/>
      <c r="B109" s="166"/>
      <c r="C109" s="166"/>
      <c r="D109" s="166"/>
      <c r="E109" s="281" t="s">
        <v>247</v>
      </c>
      <c r="F109" s="561">
        <f t="shared" ref="F109" si="46">+-F47-F61-F75-F105</f>
        <v>-126198</v>
      </c>
      <c r="G109" s="437">
        <f t="shared" ref="G109:H109" si="47">+-G47-G61-G75-G105</f>
        <v>-132179</v>
      </c>
      <c r="H109" s="635">
        <f t="shared" si="47"/>
        <v>-114359</v>
      </c>
    </row>
    <row r="110" spans="1:8" ht="17.25" customHeight="1" x14ac:dyDescent="0.25">
      <c r="A110" s="165"/>
      <c r="B110" s="166"/>
      <c r="C110" s="166"/>
      <c r="D110" s="166"/>
      <c r="E110" s="167" t="s">
        <v>89</v>
      </c>
      <c r="F110" s="46"/>
      <c r="G110" s="441"/>
      <c r="H110" s="639"/>
    </row>
    <row r="111" spans="1:8" ht="17.25" customHeight="1" x14ac:dyDescent="0.25">
      <c r="A111" s="49"/>
      <c r="B111" s="15"/>
      <c r="C111" s="15"/>
      <c r="D111" s="15"/>
      <c r="E111" s="105" t="s">
        <v>90</v>
      </c>
      <c r="F111" s="563">
        <f t="shared" ref="F111" si="48">SUM(F107+F95)+F109</f>
        <v>1485510</v>
      </c>
      <c r="G111" s="442">
        <f t="shared" ref="G111:H111" si="49">SUM(G107+G95)+G109</f>
        <v>1589229</v>
      </c>
      <c r="H111" s="640">
        <f t="shared" si="49"/>
        <v>1588184</v>
      </c>
    </row>
    <row r="112" spans="1:8" ht="13.5" customHeight="1" thickBot="1" x14ac:dyDescent="0.3">
      <c r="A112" s="77"/>
      <c r="B112" s="109"/>
      <c r="C112" s="109"/>
      <c r="D112" s="109"/>
      <c r="E112" s="109"/>
      <c r="F112" s="110"/>
      <c r="G112" s="305"/>
      <c r="H112" s="606"/>
    </row>
    <row r="113" spans="8:8" ht="6.75" customHeight="1" x14ac:dyDescent="0.25">
      <c r="H113" s="11"/>
    </row>
    <row r="114" spans="8:8" ht="15" customHeight="1" x14ac:dyDescent="0.25"/>
    <row r="115" spans="8:8" ht="15" customHeight="1" x14ac:dyDescent="0.25"/>
    <row r="116" spans="8:8" ht="15" customHeight="1" x14ac:dyDescent="0.25"/>
    <row r="117" spans="8:8" ht="15" customHeight="1" x14ac:dyDescent="0.25"/>
    <row r="118" spans="8:8" ht="15" customHeight="1" x14ac:dyDescent="0.25"/>
    <row r="119" spans="8:8" ht="15" customHeight="1" x14ac:dyDescent="0.25"/>
    <row r="120" spans="8:8" ht="15" customHeight="1" x14ac:dyDescent="0.25"/>
    <row r="121" spans="8:8" ht="15" customHeight="1" x14ac:dyDescent="0.25"/>
    <row r="122" spans="8:8" ht="15" customHeight="1" x14ac:dyDescent="0.25"/>
    <row r="123" spans="8:8" ht="15" customHeight="1" x14ac:dyDescent="0.25"/>
  </sheetData>
  <mergeCells count="3">
    <mergeCell ref="A1:G1"/>
    <mergeCell ref="C55:E55"/>
    <mergeCell ref="C70:E70"/>
  </mergeCells>
  <phoneticPr fontId="2" type="noConversion"/>
  <conditionalFormatting sqref="G9:H9 G48:H60 G76:H111 G62:H74">
    <cfRule type="cellIs" dxfId="8" priority="22" operator="equal">
      <formula>#REF!</formula>
    </cfRule>
  </conditionalFormatting>
  <conditionalFormatting sqref="G10:H46">
    <cfRule type="cellIs" dxfId="7" priority="21" operator="equal">
      <formula>#REF!</formula>
    </cfRule>
  </conditionalFormatting>
  <conditionalFormatting sqref="G75:H75">
    <cfRule type="cellIs" dxfId="6" priority="20" operator="equal">
      <formula>#REF!</formula>
    </cfRule>
  </conditionalFormatting>
  <conditionalFormatting sqref="G61:H61">
    <cfRule type="cellIs" dxfId="5" priority="19" operator="equal">
      <formula>#REF!</formula>
    </cfRule>
  </conditionalFormatting>
  <conditionalFormatting sqref="G47:H47">
    <cfRule type="cellIs" dxfId="4" priority="18" operator="equal">
      <formula>#REF!</formula>
    </cfRule>
  </conditionalFormatting>
  <printOptions horizontalCentered="1"/>
  <pageMargins left="0.19685039370078741" right="7.874015748031496E-2" top="0.35433070866141736" bottom="0.43307086614173229" header="0.11811023622047245" footer="0.11811023622047245"/>
  <pageSetup paperSize="9" scale="70" orientation="portrait" horizontalDpi="300" verticalDpi="300" r:id="rId1"/>
  <headerFooter alignWithMargins="0">
    <oddHeader>&amp;R3.melléklet a 9/2019.(V.29.)
önkormányzati rendelethez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96"/>
  <sheetViews>
    <sheetView zoomScale="75" workbookViewId="0">
      <selection activeCell="M12" sqref="M12"/>
    </sheetView>
  </sheetViews>
  <sheetFormatPr defaultRowHeight="15.75" x14ac:dyDescent="0.25"/>
  <cols>
    <col min="1" max="1" width="5.7109375" style="12" customWidth="1"/>
    <col min="2" max="2" width="5" style="12" customWidth="1"/>
    <col min="3" max="3" width="6" style="12" customWidth="1"/>
    <col min="4" max="4" width="6.140625" style="12" customWidth="1"/>
    <col min="5" max="5" width="5" style="12" customWidth="1"/>
    <col min="6" max="6" width="51" style="12" customWidth="1"/>
    <col min="7" max="7" width="14" style="12" customWidth="1"/>
    <col min="8" max="8" width="13" style="12" customWidth="1"/>
    <col min="9" max="9" width="13" style="86" customWidth="1"/>
    <col min="10" max="10" width="9.140625" style="12"/>
    <col min="11" max="11" width="6.7109375" style="12" customWidth="1"/>
    <col min="12" max="16384" width="9.140625" style="12"/>
  </cols>
  <sheetData>
    <row r="1" spans="1:10" x14ac:dyDescent="0.25">
      <c r="A1" s="669" t="s">
        <v>434</v>
      </c>
      <c r="B1" s="669"/>
      <c r="C1" s="669"/>
      <c r="D1" s="669"/>
      <c r="E1" s="669"/>
      <c r="F1" s="669"/>
      <c r="G1" s="669"/>
      <c r="H1" s="669"/>
      <c r="I1" s="425"/>
    </row>
    <row r="2" spans="1:10" ht="16.5" thickBot="1" x14ac:dyDescent="0.3">
      <c r="A2" s="622"/>
      <c r="H2" s="27" t="s">
        <v>159</v>
      </c>
      <c r="I2" s="444"/>
    </row>
    <row r="3" spans="1:10" x14ac:dyDescent="0.25">
      <c r="A3" s="82" t="s">
        <v>1</v>
      </c>
      <c r="B3" s="83" t="s">
        <v>50</v>
      </c>
      <c r="C3" s="83" t="s">
        <v>51</v>
      </c>
      <c r="D3" s="83" t="s">
        <v>52</v>
      </c>
      <c r="E3" s="83"/>
      <c r="F3" s="83" t="s">
        <v>95</v>
      </c>
      <c r="G3" s="679" t="s">
        <v>435</v>
      </c>
      <c r="H3" s="680"/>
      <c r="I3" s="681" t="s">
        <v>522</v>
      </c>
      <c r="J3" s="621"/>
    </row>
    <row r="4" spans="1:10" ht="16.5" thickBot="1" x14ac:dyDescent="0.3">
      <c r="A4" s="80" t="s">
        <v>54</v>
      </c>
      <c r="B4" s="359" t="s">
        <v>55</v>
      </c>
      <c r="C4" s="359" t="s">
        <v>56</v>
      </c>
      <c r="D4" s="359" t="s">
        <v>57</v>
      </c>
      <c r="E4" s="359"/>
      <c r="F4" s="359" t="s">
        <v>96</v>
      </c>
      <c r="G4" s="360" t="s">
        <v>58</v>
      </c>
      <c r="H4" s="625" t="s">
        <v>521</v>
      </c>
      <c r="I4" s="682"/>
      <c r="J4" s="621"/>
    </row>
    <row r="5" spans="1:10" ht="16.5" thickBot="1" x14ac:dyDescent="0.3">
      <c r="A5" s="213"/>
      <c r="B5" s="214"/>
      <c r="C5" s="214"/>
      <c r="D5" s="215"/>
      <c r="E5" s="244"/>
      <c r="F5" s="214"/>
      <c r="G5" s="423"/>
      <c r="H5" s="628"/>
      <c r="I5" s="629"/>
      <c r="J5" s="621"/>
    </row>
    <row r="6" spans="1:10" ht="20.25" customHeight="1" thickTop="1" thickBot="1" x14ac:dyDescent="0.3">
      <c r="A6" s="216">
        <v>1</v>
      </c>
      <c r="B6" s="217"/>
      <c r="C6" s="217"/>
      <c r="D6" s="217"/>
      <c r="E6" s="254"/>
      <c r="F6" s="255" t="s">
        <v>245</v>
      </c>
      <c r="G6" s="218"/>
      <c r="H6" s="626"/>
      <c r="I6" s="627"/>
      <c r="J6" s="621"/>
    </row>
    <row r="7" spans="1:10" ht="16.5" customHeight="1" thickTop="1" x14ac:dyDescent="0.25">
      <c r="A7" s="49"/>
      <c r="B7" s="15">
        <v>1</v>
      </c>
      <c r="C7" s="15"/>
      <c r="D7" s="15"/>
      <c r="E7" s="251"/>
      <c r="F7" s="256" t="s">
        <v>273</v>
      </c>
      <c r="G7" s="51"/>
      <c r="H7" s="304"/>
      <c r="I7" s="304"/>
      <c r="J7" s="621"/>
    </row>
    <row r="8" spans="1:10" ht="16.5" customHeight="1" x14ac:dyDescent="0.25">
      <c r="A8" s="49"/>
      <c r="B8" s="15"/>
      <c r="C8" s="86">
        <v>1</v>
      </c>
      <c r="D8" s="86"/>
      <c r="E8" s="24" t="s">
        <v>97</v>
      </c>
      <c r="F8" s="92"/>
      <c r="G8" s="51"/>
      <c r="H8" s="304"/>
      <c r="I8" s="363"/>
      <c r="J8" s="621"/>
    </row>
    <row r="9" spans="1:10" ht="16.5" customHeight="1" x14ac:dyDescent="0.25">
      <c r="A9" s="49"/>
      <c r="B9" s="15"/>
      <c r="C9" s="86"/>
      <c r="D9" s="86">
        <v>3</v>
      </c>
      <c r="E9" s="98"/>
      <c r="F9" s="92" t="s">
        <v>98</v>
      </c>
      <c r="G9" s="51">
        <v>20720</v>
      </c>
      <c r="H9" s="303">
        <f>20720-180</f>
        <v>20540</v>
      </c>
      <c r="I9" s="623">
        <v>107914</v>
      </c>
      <c r="J9" s="621"/>
    </row>
    <row r="10" spans="1:10" ht="16.5" customHeight="1" x14ac:dyDescent="0.25">
      <c r="A10" s="49"/>
      <c r="B10" s="15"/>
      <c r="C10" s="86"/>
      <c r="D10" s="86"/>
      <c r="E10" s="98"/>
      <c r="F10" s="92" t="s">
        <v>1018</v>
      </c>
      <c r="G10" s="51"/>
      <c r="H10" s="303"/>
      <c r="I10" s="623">
        <v>96287</v>
      </c>
      <c r="J10" s="621"/>
    </row>
    <row r="11" spans="1:10" ht="16.5" customHeight="1" x14ac:dyDescent="0.25">
      <c r="A11" s="49"/>
      <c r="B11" s="15"/>
      <c r="C11" s="86"/>
      <c r="D11" s="86"/>
      <c r="E11" s="98"/>
      <c r="F11" s="421" t="s">
        <v>63</v>
      </c>
      <c r="G11" s="97">
        <f t="shared" ref="G11" si="0">SUM(G9)</f>
        <v>20720</v>
      </c>
      <c r="H11" s="432">
        <f t="shared" ref="H11:I11" si="1">SUM(H9)</f>
        <v>20540</v>
      </c>
      <c r="I11" s="432">
        <f t="shared" si="1"/>
        <v>107914</v>
      </c>
      <c r="J11" s="621"/>
    </row>
    <row r="12" spans="1:10" ht="16.5" customHeight="1" x14ac:dyDescent="0.25">
      <c r="A12" s="49"/>
      <c r="B12" s="15"/>
      <c r="C12" s="86"/>
      <c r="D12" s="86"/>
      <c r="E12" s="98"/>
      <c r="F12" s="421"/>
      <c r="G12" s="51"/>
      <c r="H12" s="303"/>
      <c r="I12" s="303"/>
      <c r="J12" s="621"/>
    </row>
    <row r="13" spans="1:10" ht="16.5" customHeight="1" x14ac:dyDescent="0.25">
      <c r="A13" s="49"/>
      <c r="B13" s="15"/>
      <c r="C13" s="86">
        <v>2</v>
      </c>
      <c r="D13" s="86"/>
      <c r="E13" s="24" t="s">
        <v>461</v>
      </c>
      <c r="F13" s="421"/>
      <c r="G13" s="51"/>
      <c r="H13" s="303"/>
      <c r="I13" s="303"/>
      <c r="J13" s="621"/>
    </row>
    <row r="14" spans="1:10" ht="16.5" customHeight="1" x14ac:dyDescent="0.25">
      <c r="A14" s="49"/>
      <c r="B14" s="15"/>
      <c r="C14" s="15"/>
      <c r="D14" s="15">
        <v>1</v>
      </c>
      <c r="E14" s="245"/>
      <c r="F14" s="93" t="s">
        <v>474</v>
      </c>
      <c r="G14" s="51">
        <v>360207</v>
      </c>
      <c r="H14" s="303">
        <f>360207+180</f>
        <v>360387</v>
      </c>
      <c r="I14" s="303">
        <v>321590</v>
      </c>
      <c r="J14" s="621"/>
    </row>
    <row r="15" spans="1:10" ht="16.5" customHeight="1" x14ac:dyDescent="0.25">
      <c r="A15" s="49"/>
      <c r="B15" s="15"/>
      <c r="C15" s="15"/>
      <c r="D15" s="15">
        <v>2</v>
      </c>
      <c r="E15" s="245"/>
      <c r="F15" s="93" t="s">
        <v>1067</v>
      </c>
      <c r="G15" s="51">
        <v>97256</v>
      </c>
      <c r="H15" s="303">
        <v>97256</v>
      </c>
      <c r="I15" s="623"/>
      <c r="J15" s="621"/>
    </row>
    <row r="16" spans="1:10" ht="16.5" customHeight="1" x14ac:dyDescent="0.25">
      <c r="A16" s="49"/>
      <c r="B16" s="15"/>
      <c r="C16" s="15"/>
      <c r="D16" s="15"/>
      <c r="E16" s="245"/>
      <c r="F16" s="421" t="s">
        <v>63</v>
      </c>
      <c r="G16" s="97">
        <f t="shared" ref="G16" si="2">SUM(G14:G15)</f>
        <v>457463</v>
      </c>
      <c r="H16" s="432">
        <f t="shared" ref="H16:I16" si="3">SUM(H14:H15)</f>
        <v>457643</v>
      </c>
      <c r="I16" s="432">
        <f t="shared" si="3"/>
        <v>321590</v>
      </c>
      <c r="J16" s="621"/>
    </row>
    <row r="17" spans="1:17" ht="16.5" customHeight="1" x14ac:dyDescent="0.25">
      <c r="A17" s="49"/>
      <c r="B17" s="15"/>
      <c r="C17" s="15"/>
      <c r="D17" s="15"/>
      <c r="E17" s="245"/>
      <c r="F17" s="421"/>
      <c r="G17" s="51"/>
      <c r="H17" s="303"/>
      <c r="I17" s="303"/>
      <c r="J17" s="621"/>
    </row>
    <row r="18" spans="1:17" ht="16.5" customHeight="1" x14ac:dyDescent="0.25">
      <c r="A18" s="49"/>
      <c r="B18" s="15"/>
      <c r="C18" s="15"/>
      <c r="D18" s="15"/>
      <c r="E18" s="245"/>
      <c r="F18" s="250" t="s">
        <v>101</v>
      </c>
      <c r="G18" s="97">
        <f t="shared" ref="G18" si="4">+G11+G16</f>
        <v>478183</v>
      </c>
      <c r="H18" s="432">
        <f t="shared" ref="H18:I18" si="5">+H11+H16</f>
        <v>478183</v>
      </c>
      <c r="I18" s="432">
        <f t="shared" si="5"/>
        <v>429504</v>
      </c>
      <c r="J18" s="621"/>
    </row>
    <row r="19" spans="1:17" ht="16.5" customHeight="1" x14ac:dyDescent="0.25">
      <c r="A19" s="40"/>
      <c r="B19" s="86"/>
      <c r="C19" s="86"/>
      <c r="D19" s="86"/>
      <c r="E19" s="98"/>
      <c r="F19" s="239"/>
      <c r="G19" s="89"/>
      <c r="H19" s="303"/>
      <c r="I19" s="303"/>
      <c r="J19" s="621"/>
      <c r="K19" s="14"/>
      <c r="Q19" s="86"/>
    </row>
    <row r="20" spans="1:17" ht="16.5" customHeight="1" x14ac:dyDescent="0.25">
      <c r="A20" s="40"/>
      <c r="B20" s="86">
        <v>2</v>
      </c>
      <c r="C20" s="86"/>
      <c r="D20" s="86"/>
      <c r="E20" s="98"/>
      <c r="F20" s="248" t="s">
        <v>163</v>
      </c>
      <c r="G20" s="87"/>
      <c r="H20" s="303"/>
      <c r="I20" s="303"/>
      <c r="J20" s="621"/>
      <c r="K20" s="14"/>
    </row>
    <row r="21" spans="1:17" ht="16.5" customHeight="1" x14ac:dyDescent="0.25">
      <c r="A21" s="40"/>
      <c r="B21" s="86"/>
      <c r="C21" s="86">
        <v>1</v>
      </c>
      <c r="D21" s="86"/>
      <c r="E21" s="24" t="s">
        <v>97</v>
      </c>
      <c r="F21" s="92"/>
      <c r="G21" s="89"/>
      <c r="H21" s="303"/>
      <c r="I21" s="303"/>
      <c r="J21" s="621"/>
      <c r="K21" s="14"/>
    </row>
    <row r="22" spans="1:17" ht="16.5" customHeight="1" x14ac:dyDescent="0.25">
      <c r="A22" s="40"/>
      <c r="B22" s="86"/>
      <c r="C22" s="86"/>
      <c r="D22" s="86">
        <v>3</v>
      </c>
      <c r="E22" s="98"/>
      <c r="F22" s="92" t="s">
        <v>98</v>
      </c>
      <c r="G22" s="87">
        <v>3899</v>
      </c>
      <c r="H22" s="303">
        <v>3899</v>
      </c>
      <c r="I22" s="303">
        <v>3876</v>
      </c>
      <c r="J22" s="621"/>
      <c r="K22" s="14"/>
    </row>
    <row r="23" spans="1:17" ht="16.5" customHeight="1" x14ac:dyDescent="0.25">
      <c r="A23" s="40"/>
      <c r="B23" s="86"/>
      <c r="C23" s="86"/>
      <c r="D23" s="86"/>
      <c r="E23" s="98"/>
      <c r="F23" s="421" t="s">
        <v>63</v>
      </c>
      <c r="G23" s="89">
        <f t="shared" ref="G23" si="6">SUM(G22:G22)</f>
        <v>3899</v>
      </c>
      <c r="H23" s="432">
        <f t="shared" ref="H23:I23" si="7">SUM(H22:H22)</f>
        <v>3899</v>
      </c>
      <c r="I23" s="432">
        <f t="shared" si="7"/>
        <v>3876</v>
      </c>
      <c r="J23" s="621"/>
      <c r="K23" s="14"/>
    </row>
    <row r="24" spans="1:17" ht="16.5" customHeight="1" x14ac:dyDescent="0.25">
      <c r="A24" s="40"/>
      <c r="B24" s="86"/>
      <c r="C24" s="86"/>
      <c r="D24" s="86"/>
      <c r="E24" s="98"/>
      <c r="F24" s="421"/>
      <c r="G24" s="89"/>
      <c r="H24" s="303"/>
      <c r="I24" s="303"/>
      <c r="J24" s="621"/>
      <c r="K24" s="14"/>
    </row>
    <row r="25" spans="1:17" ht="16.5" customHeight="1" x14ac:dyDescent="0.25">
      <c r="A25" s="40"/>
      <c r="B25" s="86"/>
      <c r="C25" s="86">
        <v>2</v>
      </c>
      <c r="D25" s="86"/>
      <c r="E25" s="24" t="s">
        <v>232</v>
      </c>
      <c r="F25" s="421"/>
      <c r="G25" s="89"/>
      <c r="H25" s="303"/>
      <c r="I25" s="303"/>
      <c r="J25" s="621"/>
      <c r="K25" s="14"/>
    </row>
    <row r="26" spans="1:17" ht="16.5" customHeight="1" x14ac:dyDescent="0.25">
      <c r="A26" s="40"/>
      <c r="B26" s="86"/>
      <c r="C26" s="86"/>
      <c r="D26" s="86">
        <v>3</v>
      </c>
      <c r="E26" s="24"/>
      <c r="F26" s="246" t="s">
        <v>462</v>
      </c>
      <c r="G26" s="87">
        <v>13900</v>
      </c>
      <c r="H26" s="303">
        <v>13900</v>
      </c>
      <c r="I26" s="303">
        <v>15300</v>
      </c>
      <c r="J26" s="621"/>
      <c r="K26" s="14"/>
    </row>
    <row r="27" spans="1:17" ht="16.5" customHeight="1" x14ac:dyDescent="0.25">
      <c r="A27" s="40"/>
      <c r="B27" s="86"/>
      <c r="C27" s="86"/>
      <c r="D27" s="86">
        <v>2</v>
      </c>
      <c r="E27" s="24"/>
      <c r="F27" s="246" t="s">
        <v>295</v>
      </c>
      <c r="G27" s="87">
        <v>3753</v>
      </c>
      <c r="H27" s="303">
        <f>3753+3000</f>
        <v>6753</v>
      </c>
      <c r="I27" s="303">
        <v>2700</v>
      </c>
      <c r="J27" s="621"/>
      <c r="K27" s="14"/>
    </row>
    <row r="28" spans="1:17" ht="16.5" customHeight="1" x14ac:dyDescent="0.25">
      <c r="A28" s="40"/>
      <c r="B28" s="86"/>
      <c r="C28" s="86"/>
      <c r="D28" s="86">
        <v>20</v>
      </c>
      <c r="E28" s="24"/>
      <c r="F28" s="246" t="s">
        <v>517</v>
      </c>
      <c r="G28" s="87"/>
      <c r="H28" s="303">
        <v>12000</v>
      </c>
      <c r="I28" s="303"/>
      <c r="J28" s="621"/>
      <c r="K28" s="14"/>
    </row>
    <row r="29" spans="1:17" ht="16.5" customHeight="1" x14ac:dyDescent="0.25">
      <c r="A29" s="40"/>
      <c r="B29" s="86"/>
      <c r="C29" s="86"/>
      <c r="D29" s="86"/>
      <c r="E29" s="24"/>
      <c r="F29" s="421" t="s">
        <v>63</v>
      </c>
      <c r="G29" s="89">
        <f t="shared" ref="G29" si="8">SUM(G26:G27)</f>
        <v>17653</v>
      </c>
      <c r="H29" s="432">
        <f>SUM(H26:H28)</f>
        <v>32653</v>
      </c>
      <c r="I29" s="432">
        <f>SUM(I26:I28)</f>
        <v>18000</v>
      </c>
      <c r="J29" s="621"/>
      <c r="K29" s="14"/>
    </row>
    <row r="30" spans="1:17" ht="16.5" customHeight="1" x14ac:dyDescent="0.25">
      <c r="A30" s="40"/>
      <c r="B30" s="86"/>
      <c r="C30" s="86"/>
      <c r="D30" s="86"/>
      <c r="E30" s="24"/>
      <c r="F30" s="421"/>
      <c r="G30" s="89"/>
      <c r="H30" s="303"/>
      <c r="I30" s="303"/>
      <c r="J30" s="621"/>
      <c r="K30" s="14"/>
    </row>
    <row r="31" spans="1:17" ht="16.5" customHeight="1" x14ac:dyDescent="0.25">
      <c r="A31" s="40"/>
      <c r="B31" s="86"/>
      <c r="C31" s="86"/>
      <c r="D31" s="86"/>
      <c r="E31" s="24"/>
      <c r="F31" s="250" t="s">
        <v>101</v>
      </c>
      <c r="G31" s="89">
        <f t="shared" ref="G31" si="9">+G23+G29</f>
        <v>21552</v>
      </c>
      <c r="H31" s="432">
        <f t="shared" ref="H31:I31" si="10">+H23+H29</f>
        <v>36552</v>
      </c>
      <c r="I31" s="432">
        <f t="shared" si="10"/>
        <v>21876</v>
      </c>
      <c r="J31" s="621"/>
      <c r="K31" s="14"/>
    </row>
    <row r="32" spans="1:17" ht="16.5" customHeight="1" x14ac:dyDescent="0.25">
      <c r="A32" s="40"/>
      <c r="B32" s="86"/>
      <c r="C32" s="86"/>
      <c r="D32" s="86"/>
      <c r="E32" s="98"/>
      <c r="F32" s="421"/>
      <c r="G32" s="89"/>
      <c r="H32" s="303"/>
      <c r="I32" s="303"/>
      <c r="J32" s="621"/>
      <c r="K32" s="14"/>
    </row>
    <row r="33" spans="1:13" ht="16.5" customHeight="1" x14ac:dyDescent="0.25">
      <c r="A33" s="40"/>
      <c r="B33" s="92">
        <v>3</v>
      </c>
      <c r="C33" s="86"/>
      <c r="D33" s="86"/>
      <c r="E33" s="98"/>
      <c r="F33" s="248" t="s">
        <v>225</v>
      </c>
      <c r="G33" s="87"/>
      <c r="H33" s="303"/>
      <c r="I33" s="303"/>
      <c r="J33" s="621"/>
      <c r="K33" s="14"/>
    </row>
    <row r="34" spans="1:13" ht="16.5" customHeight="1" x14ac:dyDescent="0.25">
      <c r="A34" s="40"/>
      <c r="B34" s="92"/>
      <c r="C34" s="86">
        <v>1</v>
      </c>
      <c r="D34" s="86"/>
      <c r="E34" s="24" t="s">
        <v>97</v>
      </c>
      <c r="F34" s="92"/>
      <c r="G34" s="87"/>
      <c r="H34" s="303"/>
      <c r="I34" s="303"/>
      <c r="J34" s="621"/>
      <c r="K34" s="14"/>
    </row>
    <row r="35" spans="1:13" ht="16.5" customHeight="1" x14ac:dyDescent="0.25">
      <c r="A35" s="40"/>
      <c r="B35" s="92"/>
      <c r="C35" s="86"/>
      <c r="D35" s="86">
        <v>1</v>
      </c>
      <c r="E35" s="98"/>
      <c r="F35" s="92" t="s">
        <v>227</v>
      </c>
      <c r="G35" s="87">
        <v>0</v>
      </c>
      <c r="H35" s="303">
        <v>0</v>
      </c>
      <c r="I35" s="303"/>
      <c r="J35" s="621"/>
      <c r="K35" s="14"/>
    </row>
    <row r="36" spans="1:13" ht="16.5" customHeight="1" x14ac:dyDescent="0.25">
      <c r="A36" s="40"/>
      <c r="B36" s="92"/>
      <c r="C36" s="86"/>
      <c r="D36" s="86">
        <v>2</v>
      </c>
      <c r="E36" s="98"/>
      <c r="F36" s="92" t="s">
        <v>228</v>
      </c>
      <c r="G36" s="87">
        <v>0</v>
      </c>
      <c r="H36" s="303">
        <v>0</v>
      </c>
      <c r="I36" s="303"/>
      <c r="J36" s="621"/>
      <c r="K36" s="14"/>
    </row>
    <row r="37" spans="1:13" ht="16.5" customHeight="1" x14ac:dyDescent="0.25">
      <c r="A37" s="40"/>
      <c r="B37" s="92"/>
      <c r="C37" s="86"/>
      <c r="D37" s="86">
        <v>3</v>
      </c>
      <c r="E37" s="98"/>
      <c r="F37" s="92" t="s">
        <v>98</v>
      </c>
      <c r="G37" s="87">
        <v>2978</v>
      </c>
      <c r="H37" s="303">
        <f t="shared" ref="H37" si="11">2978+960</f>
        <v>3938</v>
      </c>
      <c r="I37" s="303">
        <v>3817</v>
      </c>
      <c r="J37" s="621"/>
      <c r="K37" s="14"/>
    </row>
    <row r="38" spans="1:13" ht="16.5" customHeight="1" x14ac:dyDescent="0.25">
      <c r="A38" s="40"/>
      <c r="B38" s="92"/>
      <c r="C38" s="86"/>
      <c r="D38" s="86">
        <v>5</v>
      </c>
      <c r="E38" s="98"/>
      <c r="F38" s="92" t="s">
        <v>230</v>
      </c>
      <c r="G38" s="87">
        <f>4450-800</f>
        <v>3650</v>
      </c>
      <c r="H38" s="303">
        <f t="shared" ref="H38" si="12">4450-800+300</f>
        <v>3950</v>
      </c>
      <c r="I38" s="303">
        <v>2777</v>
      </c>
      <c r="J38" s="621"/>
      <c r="K38" s="14"/>
    </row>
    <row r="39" spans="1:13" ht="16.5" customHeight="1" x14ac:dyDescent="0.25">
      <c r="A39" s="40"/>
      <c r="B39" s="92"/>
      <c r="C39" s="86"/>
      <c r="D39" s="86">
        <v>9</v>
      </c>
      <c r="E39" s="98"/>
      <c r="F39" s="92" t="s">
        <v>378</v>
      </c>
      <c r="G39" s="87">
        <v>2000</v>
      </c>
      <c r="H39" s="303">
        <f t="shared" ref="H39" si="13">2000+300</f>
        <v>2300</v>
      </c>
      <c r="I39" s="303">
        <v>2200</v>
      </c>
      <c r="J39" s="621"/>
      <c r="K39" s="14"/>
    </row>
    <row r="40" spans="1:13" ht="16.5" customHeight="1" x14ac:dyDescent="0.25">
      <c r="A40" s="40"/>
      <c r="B40" s="92"/>
      <c r="C40" s="86"/>
      <c r="D40" s="86"/>
      <c r="E40" s="98"/>
      <c r="F40" s="421" t="s">
        <v>63</v>
      </c>
      <c r="G40" s="89">
        <f t="shared" ref="G40" si="14">SUM(G35:G39)</f>
        <v>8628</v>
      </c>
      <c r="H40" s="432">
        <f t="shared" ref="H40:I40" si="15">SUM(H35:H39)</f>
        <v>10188</v>
      </c>
      <c r="I40" s="432">
        <f t="shared" si="15"/>
        <v>8794</v>
      </c>
      <c r="J40" s="621"/>
      <c r="K40" s="14"/>
    </row>
    <row r="41" spans="1:13" ht="16.5" customHeight="1" x14ac:dyDescent="0.25">
      <c r="A41" s="40"/>
      <c r="B41" s="92"/>
      <c r="C41" s="86">
        <v>2</v>
      </c>
      <c r="D41" s="86"/>
      <c r="E41" s="24" t="s">
        <v>99</v>
      </c>
      <c r="F41" s="421"/>
      <c r="G41" s="89"/>
      <c r="H41" s="303"/>
      <c r="I41" s="303"/>
      <c r="J41" s="621"/>
      <c r="K41" s="14"/>
    </row>
    <row r="42" spans="1:13" ht="16.5" customHeight="1" x14ac:dyDescent="0.25">
      <c r="A42" s="40"/>
      <c r="B42" s="92"/>
      <c r="C42" s="86"/>
      <c r="D42" s="86">
        <v>7</v>
      </c>
      <c r="E42" s="98"/>
      <c r="F42" s="12" t="s">
        <v>466</v>
      </c>
      <c r="G42" s="87">
        <v>467</v>
      </c>
      <c r="H42" s="303">
        <f>467-20</f>
        <v>447</v>
      </c>
      <c r="I42" s="303">
        <v>402</v>
      </c>
      <c r="J42" s="621"/>
      <c r="K42" s="14"/>
    </row>
    <row r="43" spans="1:13" ht="16.5" customHeight="1" x14ac:dyDescent="0.25">
      <c r="A43" s="40"/>
      <c r="B43" s="92"/>
      <c r="C43" s="86"/>
      <c r="D43" s="86">
        <v>2</v>
      </c>
      <c r="E43" s="98"/>
      <c r="F43" s="246" t="s">
        <v>295</v>
      </c>
      <c r="G43" s="87">
        <v>126</v>
      </c>
      <c r="H43" s="303">
        <v>126</v>
      </c>
      <c r="I43" s="303">
        <v>109</v>
      </c>
      <c r="J43" s="621"/>
      <c r="K43" s="14"/>
    </row>
    <row r="44" spans="1:13" ht="16.5" customHeight="1" x14ac:dyDescent="0.25">
      <c r="A44" s="40"/>
      <c r="B44" s="92"/>
      <c r="C44" s="86"/>
      <c r="D44" s="86"/>
      <c r="E44" s="98"/>
      <c r="F44" s="421" t="s">
        <v>63</v>
      </c>
      <c r="G44" s="89">
        <f t="shared" ref="G44" si="16">SUM(G42:G43)</f>
        <v>593</v>
      </c>
      <c r="H44" s="432">
        <f t="shared" ref="H44:I44" si="17">SUM(H42:H43)</f>
        <v>573</v>
      </c>
      <c r="I44" s="432">
        <f t="shared" si="17"/>
        <v>511</v>
      </c>
      <c r="J44" s="621"/>
      <c r="K44" s="14"/>
    </row>
    <row r="45" spans="1:13" ht="16.5" customHeight="1" x14ac:dyDescent="0.25">
      <c r="A45" s="40"/>
      <c r="B45" s="92"/>
      <c r="C45" s="86">
        <v>2</v>
      </c>
      <c r="D45" s="86"/>
      <c r="E45" s="24" t="s">
        <v>232</v>
      </c>
      <c r="F45" s="421"/>
      <c r="G45" s="89"/>
      <c r="H45" s="303"/>
      <c r="I45" s="604"/>
      <c r="K45" s="14"/>
      <c r="L45" s="12">
        <v>1</v>
      </c>
      <c r="M45" s="12" t="s">
        <v>459</v>
      </c>
    </row>
    <row r="46" spans="1:13" ht="16.5" customHeight="1" x14ac:dyDescent="0.25">
      <c r="A46" s="40"/>
      <c r="B46" s="92"/>
      <c r="C46" s="86"/>
      <c r="D46" s="86">
        <v>6</v>
      </c>
      <c r="E46" s="98"/>
      <c r="F46" s="246" t="s">
        <v>394</v>
      </c>
      <c r="G46" s="87">
        <v>1233</v>
      </c>
      <c r="H46" s="303">
        <v>1233</v>
      </c>
      <c r="I46" s="604">
        <v>1205</v>
      </c>
      <c r="K46" s="14"/>
      <c r="L46" s="12">
        <v>2</v>
      </c>
      <c r="M46" s="12" t="s">
        <v>295</v>
      </c>
    </row>
    <row r="47" spans="1:13" ht="16.5" customHeight="1" x14ac:dyDescent="0.25">
      <c r="A47" s="40"/>
      <c r="B47" s="92"/>
      <c r="C47" s="86"/>
      <c r="D47" s="86">
        <v>2</v>
      </c>
      <c r="E47" s="98"/>
      <c r="F47" s="246" t="s">
        <v>295</v>
      </c>
      <c r="G47" s="87">
        <v>333</v>
      </c>
      <c r="H47" s="303">
        <v>333</v>
      </c>
      <c r="I47" s="604">
        <v>325</v>
      </c>
      <c r="K47" s="14"/>
      <c r="L47" s="12">
        <v>3</v>
      </c>
      <c r="M47" s="12" t="s">
        <v>460</v>
      </c>
    </row>
    <row r="48" spans="1:13" ht="16.5" customHeight="1" x14ac:dyDescent="0.25">
      <c r="A48" s="40"/>
      <c r="B48" s="92"/>
      <c r="C48" s="86"/>
      <c r="D48" s="86"/>
      <c r="E48" s="98"/>
      <c r="F48" s="421" t="s">
        <v>63</v>
      </c>
      <c r="G48" s="89">
        <f t="shared" ref="G48" si="18">SUM(G46:G47)</f>
        <v>1566</v>
      </c>
      <c r="H48" s="432">
        <f t="shared" ref="H48:I48" si="19">SUM(H46:H47)</f>
        <v>1566</v>
      </c>
      <c r="I48" s="605">
        <f t="shared" si="19"/>
        <v>1530</v>
      </c>
      <c r="K48" s="14"/>
      <c r="L48" s="12">
        <v>4</v>
      </c>
      <c r="M48" s="12" t="s">
        <v>463</v>
      </c>
    </row>
    <row r="49" spans="1:13" ht="16.5" customHeight="1" x14ac:dyDescent="0.25">
      <c r="A49" s="40"/>
      <c r="B49" s="92"/>
      <c r="C49" s="86"/>
      <c r="D49" s="86"/>
      <c r="E49" s="98"/>
      <c r="F49" s="421"/>
      <c r="G49" s="89"/>
      <c r="H49" s="303"/>
      <c r="I49" s="604"/>
      <c r="K49" s="14"/>
      <c r="L49" s="12">
        <v>5</v>
      </c>
      <c r="M49" s="12" t="s">
        <v>464</v>
      </c>
    </row>
    <row r="50" spans="1:13" ht="16.5" customHeight="1" x14ac:dyDescent="0.25">
      <c r="A50" s="40"/>
      <c r="B50" s="92"/>
      <c r="C50" s="86"/>
      <c r="D50" s="86"/>
      <c r="E50" s="98"/>
      <c r="F50" s="250" t="s">
        <v>101</v>
      </c>
      <c r="G50" s="89">
        <f>+G40+G44+G48</f>
        <v>10787</v>
      </c>
      <c r="H50" s="432">
        <f>+H40+H44+H48</f>
        <v>12327</v>
      </c>
      <c r="I50" s="605">
        <f>+I40+I44+I48</f>
        <v>10835</v>
      </c>
      <c r="K50" s="14"/>
      <c r="L50" s="12">
        <v>6</v>
      </c>
      <c r="M50" s="12" t="s">
        <v>465</v>
      </c>
    </row>
    <row r="51" spans="1:13" ht="16.5" customHeight="1" x14ac:dyDescent="0.25">
      <c r="A51" s="40"/>
      <c r="B51" s="92"/>
      <c r="C51" s="86"/>
      <c r="D51" s="86"/>
      <c r="E51" s="98"/>
      <c r="F51" s="421"/>
      <c r="G51" s="89"/>
      <c r="H51" s="303"/>
      <c r="I51" s="604"/>
      <c r="K51" s="14"/>
      <c r="L51" s="12">
        <v>7</v>
      </c>
      <c r="M51" s="12" t="s">
        <v>466</v>
      </c>
    </row>
    <row r="52" spans="1:13" ht="16.5" customHeight="1" x14ac:dyDescent="0.25">
      <c r="A52" s="40"/>
      <c r="B52" s="92">
        <v>4</v>
      </c>
      <c r="C52" s="86"/>
      <c r="D52" s="86"/>
      <c r="E52" s="98"/>
      <c r="F52" s="248" t="s">
        <v>372</v>
      </c>
      <c r="G52" s="89"/>
      <c r="H52" s="303"/>
      <c r="I52" s="604"/>
      <c r="K52" s="14"/>
      <c r="L52" s="12">
        <v>8</v>
      </c>
      <c r="M52" s="12" t="s">
        <v>467</v>
      </c>
    </row>
    <row r="53" spans="1:13" ht="16.5" customHeight="1" x14ac:dyDescent="0.25">
      <c r="A53" s="40"/>
      <c r="B53" s="92"/>
      <c r="C53" s="86">
        <v>1</v>
      </c>
      <c r="D53" s="86"/>
      <c r="E53" s="24" t="s">
        <v>97</v>
      </c>
      <c r="F53" s="92"/>
      <c r="G53" s="89"/>
      <c r="H53" s="303"/>
      <c r="I53" s="604"/>
      <c r="K53" s="14"/>
      <c r="L53" s="12">
        <v>9</v>
      </c>
      <c r="M53" s="12" t="s">
        <v>468</v>
      </c>
    </row>
    <row r="54" spans="1:13" ht="16.5" customHeight="1" x14ac:dyDescent="0.25">
      <c r="A54" s="40"/>
      <c r="B54" s="92"/>
      <c r="C54" s="86"/>
      <c r="D54" s="86">
        <v>1</v>
      </c>
      <c r="E54" s="98"/>
      <c r="F54" s="92" t="s">
        <v>227</v>
      </c>
      <c r="G54" s="89"/>
      <c r="H54" s="303">
        <v>200</v>
      </c>
      <c r="I54" s="604">
        <v>173</v>
      </c>
      <c r="K54" s="14"/>
    </row>
    <row r="55" spans="1:13" ht="16.5" customHeight="1" x14ac:dyDescent="0.25">
      <c r="A55" s="40"/>
      <c r="B55" s="92"/>
      <c r="C55" s="86"/>
      <c r="D55" s="86">
        <v>2</v>
      </c>
      <c r="E55" s="98"/>
      <c r="F55" s="92" t="s">
        <v>228</v>
      </c>
      <c r="G55" s="89"/>
      <c r="H55" s="303">
        <v>40</v>
      </c>
      <c r="I55" s="604">
        <v>0</v>
      </c>
      <c r="K55" s="14"/>
    </row>
    <row r="56" spans="1:13" ht="16.5" customHeight="1" x14ac:dyDescent="0.25">
      <c r="A56" s="40"/>
      <c r="B56" s="92"/>
      <c r="C56" s="86"/>
      <c r="D56" s="86">
        <v>3</v>
      </c>
      <c r="E56" s="98"/>
      <c r="F56" s="92" t="s">
        <v>98</v>
      </c>
      <c r="G56" s="87">
        <v>20938</v>
      </c>
      <c r="H56" s="303">
        <f>20938-240</f>
        <v>20698</v>
      </c>
      <c r="I56" s="624">
        <v>46614</v>
      </c>
      <c r="K56" s="14"/>
      <c r="L56" s="12">
        <v>10</v>
      </c>
      <c r="M56" s="12" t="s">
        <v>469</v>
      </c>
    </row>
    <row r="57" spans="1:13" ht="16.5" customHeight="1" x14ac:dyDescent="0.25">
      <c r="A57" s="40"/>
      <c r="B57" s="92"/>
      <c r="C57" s="86"/>
      <c r="D57" s="86"/>
      <c r="E57" s="98"/>
      <c r="F57" s="92" t="s">
        <v>1018</v>
      </c>
      <c r="G57" s="87"/>
      <c r="H57" s="303"/>
      <c r="I57" s="624">
        <v>24102</v>
      </c>
      <c r="K57" s="14"/>
    </row>
    <row r="58" spans="1:13" ht="16.5" customHeight="1" x14ac:dyDescent="0.25">
      <c r="A58" s="40"/>
      <c r="B58" s="92"/>
      <c r="C58" s="86"/>
      <c r="D58" s="86"/>
      <c r="E58" s="98"/>
      <c r="F58" s="248" t="s">
        <v>63</v>
      </c>
      <c r="G58" s="89">
        <f t="shared" ref="G58" si="20">SUM(G56)</f>
        <v>20938</v>
      </c>
      <c r="H58" s="432">
        <f t="shared" ref="H58" si="21">SUM(H56)</f>
        <v>20698</v>
      </c>
      <c r="I58" s="605">
        <f>SUM(I56+I54)</f>
        <v>46787</v>
      </c>
      <c r="K58" s="14"/>
      <c r="L58" s="12">
        <v>11</v>
      </c>
      <c r="M58" s="12" t="s">
        <v>470</v>
      </c>
    </row>
    <row r="59" spans="1:13" ht="16.5" customHeight="1" x14ac:dyDescent="0.25">
      <c r="A59" s="40"/>
      <c r="B59" s="92"/>
      <c r="C59" s="86"/>
      <c r="D59" s="86"/>
      <c r="E59" s="98"/>
      <c r="F59" s="248"/>
      <c r="G59" s="89"/>
      <c r="H59" s="303"/>
      <c r="I59" s="604"/>
      <c r="K59" s="14"/>
      <c r="L59" s="12">
        <v>12</v>
      </c>
      <c r="M59" s="12" t="s">
        <v>471</v>
      </c>
    </row>
    <row r="60" spans="1:13" ht="16.5" customHeight="1" x14ac:dyDescent="0.25">
      <c r="A60" s="40"/>
      <c r="B60" s="92"/>
      <c r="C60" s="86">
        <v>2</v>
      </c>
      <c r="D60" s="86"/>
      <c r="E60" s="24" t="s">
        <v>99</v>
      </c>
      <c r="F60" s="421"/>
      <c r="G60" s="89"/>
      <c r="H60" s="303"/>
      <c r="I60" s="604"/>
      <c r="K60" s="14"/>
      <c r="L60" s="12">
        <v>13</v>
      </c>
      <c r="M60" s="12" t="s">
        <v>476</v>
      </c>
    </row>
    <row r="61" spans="1:13" ht="16.5" customHeight="1" x14ac:dyDescent="0.25">
      <c r="A61" s="40"/>
      <c r="B61" s="92"/>
      <c r="C61" s="86"/>
      <c r="D61" s="86">
        <v>8</v>
      </c>
      <c r="E61" s="98"/>
      <c r="F61" s="12" t="s">
        <v>417</v>
      </c>
      <c r="G61" s="87">
        <v>101028</v>
      </c>
      <c r="H61" s="303">
        <v>101028</v>
      </c>
      <c r="I61" s="604">
        <v>101028</v>
      </c>
      <c r="K61" s="14"/>
      <c r="L61" s="12">
        <v>14</v>
      </c>
      <c r="M61" s="12" t="s">
        <v>477</v>
      </c>
    </row>
    <row r="62" spans="1:13" ht="16.5" customHeight="1" x14ac:dyDescent="0.25">
      <c r="A62" s="40"/>
      <c r="B62" s="92"/>
      <c r="C62" s="86"/>
      <c r="D62" s="86">
        <v>2</v>
      </c>
      <c r="E62" s="98"/>
      <c r="F62" s="246" t="s">
        <v>295</v>
      </c>
      <c r="G62" s="87">
        <f t="shared" ref="G62:H62" si="22">27278+54+22984</f>
        <v>50316</v>
      </c>
      <c r="H62" s="303">
        <f t="shared" si="22"/>
        <v>50316</v>
      </c>
      <c r="I62" s="604">
        <v>198</v>
      </c>
      <c r="K62" s="14"/>
      <c r="L62" s="12">
        <v>15</v>
      </c>
      <c r="M62" s="12" t="s">
        <v>478</v>
      </c>
    </row>
    <row r="63" spans="1:13" ht="16.5" customHeight="1" x14ac:dyDescent="0.25">
      <c r="A63" s="40"/>
      <c r="B63" s="92"/>
      <c r="C63" s="86"/>
      <c r="D63" s="86">
        <v>11</v>
      </c>
      <c r="E63" s="98"/>
      <c r="F63" s="246" t="s">
        <v>472</v>
      </c>
      <c r="G63" s="87">
        <v>85128</v>
      </c>
      <c r="H63" s="303">
        <v>85128</v>
      </c>
      <c r="I63" s="604"/>
      <c r="K63" s="14"/>
      <c r="L63" s="12">
        <v>16</v>
      </c>
      <c r="M63" s="12" t="s">
        <v>479</v>
      </c>
    </row>
    <row r="64" spans="1:13" ht="16.5" customHeight="1" x14ac:dyDescent="0.25">
      <c r="A64" s="40"/>
      <c r="B64" s="92"/>
      <c r="C64" s="86"/>
      <c r="D64" s="86">
        <v>13</v>
      </c>
      <c r="E64" s="98"/>
      <c r="F64" s="246" t="s">
        <v>393</v>
      </c>
      <c r="G64" s="87">
        <v>200</v>
      </c>
      <c r="H64" s="303">
        <f>200+500</f>
        <v>700</v>
      </c>
      <c r="I64" s="604">
        <v>733</v>
      </c>
      <c r="K64" s="14"/>
    </row>
    <row r="65" spans="1:11" ht="16.5" customHeight="1" x14ac:dyDescent="0.25">
      <c r="A65" s="40"/>
      <c r="B65" s="92"/>
      <c r="C65" s="86"/>
      <c r="D65" s="86">
        <v>14</v>
      </c>
      <c r="E65" s="98"/>
      <c r="F65" s="246" t="s">
        <v>477</v>
      </c>
      <c r="G65" s="87">
        <v>500</v>
      </c>
      <c r="H65" s="303">
        <v>500</v>
      </c>
      <c r="I65" s="604">
        <v>500</v>
      </c>
      <c r="K65" s="14"/>
    </row>
    <row r="66" spans="1:11" ht="16.5" customHeight="1" x14ac:dyDescent="0.25">
      <c r="A66" s="40"/>
      <c r="B66" s="92"/>
      <c r="C66" s="86"/>
      <c r="D66" s="86"/>
      <c r="E66" s="98"/>
      <c r="F66" s="421" t="s">
        <v>63</v>
      </c>
      <c r="G66" s="89">
        <f t="shared" ref="G66" si="23">SUM(G61:G65)</f>
        <v>237172</v>
      </c>
      <c r="H66" s="432">
        <f t="shared" ref="H66:I66" si="24">SUM(H61:H65)</f>
        <v>237672</v>
      </c>
      <c r="I66" s="605">
        <f t="shared" si="24"/>
        <v>102459</v>
      </c>
      <c r="K66" s="14"/>
    </row>
    <row r="67" spans="1:11" ht="16.5" customHeight="1" x14ac:dyDescent="0.25">
      <c r="A67" s="40"/>
      <c r="B67" s="92"/>
      <c r="C67" s="86"/>
      <c r="D67" s="86"/>
      <c r="E67" s="98"/>
      <c r="F67" s="421"/>
      <c r="G67" s="89"/>
      <c r="H67" s="303"/>
      <c r="I67" s="604"/>
      <c r="K67" s="14"/>
    </row>
    <row r="68" spans="1:11" ht="16.5" customHeight="1" x14ac:dyDescent="0.25">
      <c r="A68" s="40"/>
      <c r="B68" s="92"/>
      <c r="C68" s="86">
        <v>2</v>
      </c>
      <c r="D68" s="86"/>
      <c r="E68" s="24" t="s">
        <v>232</v>
      </c>
      <c r="F68" s="421"/>
      <c r="G68" s="89"/>
      <c r="H68" s="303"/>
      <c r="I68" s="604"/>
      <c r="K68" s="14"/>
    </row>
    <row r="69" spans="1:11" ht="16.5" customHeight="1" x14ac:dyDescent="0.25">
      <c r="A69" s="40"/>
      <c r="B69" s="92"/>
      <c r="C69" s="86"/>
      <c r="D69" s="86">
        <v>9</v>
      </c>
      <c r="E69" s="98"/>
      <c r="F69" s="246" t="s">
        <v>473</v>
      </c>
      <c r="G69" s="87">
        <v>52532</v>
      </c>
      <c r="H69" s="303">
        <v>52532</v>
      </c>
      <c r="I69" s="604">
        <v>53562</v>
      </c>
      <c r="K69" s="14"/>
    </row>
    <row r="70" spans="1:11" ht="16.5" customHeight="1" x14ac:dyDescent="0.25">
      <c r="A70" s="40"/>
      <c r="B70" s="92"/>
      <c r="C70" s="86"/>
      <c r="D70" s="86">
        <v>10</v>
      </c>
      <c r="E70" s="98"/>
      <c r="F70" s="246" t="s">
        <v>469</v>
      </c>
      <c r="G70" s="87">
        <v>14694</v>
      </c>
      <c r="H70" s="303">
        <v>14694</v>
      </c>
      <c r="I70" s="604">
        <v>14694</v>
      </c>
      <c r="K70" s="14"/>
    </row>
    <row r="71" spans="1:11" ht="16.5" customHeight="1" x14ac:dyDescent="0.25">
      <c r="A71" s="40"/>
      <c r="B71" s="92"/>
      <c r="C71" s="86"/>
      <c r="D71" s="86">
        <v>12</v>
      </c>
      <c r="E71" s="98"/>
      <c r="F71" s="246" t="s">
        <v>475</v>
      </c>
      <c r="G71" s="87">
        <v>14455</v>
      </c>
      <c r="H71" s="303">
        <v>14455</v>
      </c>
      <c r="I71" s="604">
        <v>14305</v>
      </c>
      <c r="K71" s="14"/>
    </row>
    <row r="72" spans="1:11" ht="16.5" customHeight="1" x14ac:dyDescent="0.25">
      <c r="A72" s="40"/>
      <c r="B72" s="92"/>
      <c r="C72" s="86"/>
      <c r="D72" s="86">
        <v>16</v>
      </c>
      <c r="E72" s="98"/>
      <c r="F72" s="246" t="s">
        <v>479</v>
      </c>
      <c r="G72" s="87">
        <v>28902</v>
      </c>
      <c r="H72" s="303">
        <f>28902-2600</f>
        <v>26302</v>
      </c>
      <c r="I72" s="604"/>
      <c r="K72" s="14"/>
    </row>
    <row r="73" spans="1:11" ht="16.5" customHeight="1" x14ac:dyDescent="0.25">
      <c r="A73" s="40"/>
      <c r="B73" s="92"/>
      <c r="C73" s="86"/>
      <c r="D73" s="86">
        <v>2</v>
      </c>
      <c r="E73" s="98"/>
      <c r="F73" s="246" t="s">
        <v>295</v>
      </c>
      <c r="G73" s="87">
        <f t="shared" ref="G73:H73" si="25">7555+7755+2411+1556+6429+7803-60</f>
        <v>33449</v>
      </c>
      <c r="H73" s="303">
        <f t="shared" si="25"/>
        <v>33449</v>
      </c>
      <c r="I73" s="624">
        <v>18514</v>
      </c>
      <c r="K73" s="14"/>
    </row>
    <row r="74" spans="1:11" ht="16.5" customHeight="1" x14ac:dyDescent="0.25">
      <c r="A74" s="40"/>
      <c r="B74" s="92"/>
      <c r="C74" s="86"/>
      <c r="D74" s="86"/>
      <c r="E74" s="98"/>
      <c r="F74" s="421" t="s">
        <v>63</v>
      </c>
      <c r="G74" s="89">
        <f t="shared" ref="G74" si="26">SUM(G69:G73)</f>
        <v>144032</v>
      </c>
      <c r="H74" s="432">
        <f t="shared" ref="H74:I74" si="27">SUM(H69:H73)</f>
        <v>141432</v>
      </c>
      <c r="I74" s="605">
        <f t="shared" si="27"/>
        <v>101075</v>
      </c>
      <c r="K74" s="14"/>
    </row>
    <row r="75" spans="1:11" ht="16.5" customHeight="1" x14ac:dyDescent="0.25">
      <c r="A75" s="40"/>
      <c r="B75" s="92"/>
      <c r="C75" s="86"/>
      <c r="D75" s="86"/>
      <c r="E75" s="98"/>
      <c r="F75" s="108"/>
      <c r="G75" s="87"/>
      <c r="H75" s="303"/>
      <c r="I75" s="604"/>
      <c r="K75" s="14"/>
    </row>
    <row r="76" spans="1:11" ht="16.5" customHeight="1" x14ac:dyDescent="0.25">
      <c r="A76" s="40"/>
      <c r="B76" s="92"/>
      <c r="C76" s="86"/>
      <c r="D76" s="86"/>
      <c r="E76" s="98"/>
      <c r="F76" s="248" t="s">
        <v>101</v>
      </c>
      <c r="G76" s="89">
        <f t="shared" ref="G76" si="28">+G66+G58+G74</f>
        <v>402142</v>
      </c>
      <c r="H76" s="432">
        <f t="shared" ref="H76:I76" si="29">+H66+H58+H74</f>
        <v>399802</v>
      </c>
      <c r="I76" s="605">
        <f t="shared" si="29"/>
        <v>250321</v>
      </c>
      <c r="K76" s="14"/>
    </row>
    <row r="77" spans="1:11" ht="16.5" customHeight="1" x14ac:dyDescent="0.25">
      <c r="A77" s="40"/>
      <c r="B77" s="92"/>
      <c r="C77" s="86"/>
      <c r="D77" s="86"/>
      <c r="E77" s="98"/>
      <c r="F77" s="248"/>
      <c r="G77" s="89"/>
      <c r="H77" s="303"/>
      <c r="I77" s="604"/>
      <c r="K77" s="14"/>
    </row>
    <row r="78" spans="1:11" ht="16.5" customHeight="1" x14ac:dyDescent="0.25">
      <c r="A78" s="40"/>
      <c r="B78" s="92">
        <v>5</v>
      </c>
      <c r="C78" s="86"/>
      <c r="D78" s="86"/>
      <c r="E78" s="98"/>
      <c r="F78" s="248" t="s">
        <v>367</v>
      </c>
      <c r="G78" s="89"/>
      <c r="H78" s="303"/>
      <c r="I78" s="604"/>
      <c r="K78" s="14"/>
    </row>
    <row r="79" spans="1:11" ht="16.5" customHeight="1" x14ac:dyDescent="0.25">
      <c r="A79" s="40"/>
      <c r="B79" s="92"/>
      <c r="C79" s="86">
        <v>1</v>
      </c>
      <c r="D79" s="86"/>
      <c r="E79" s="24" t="s">
        <v>97</v>
      </c>
      <c r="F79" s="92"/>
      <c r="G79" s="89"/>
      <c r="H79" s="303"/>
      <c r="I79" s="604"/>
      <c r="K79" s="14"/>
    </row>
    <row r="80" spans="1:11" ht="16.5" customHeight="1" x14ac:dyDescent="0.25">
      <c r="A80" s="40"/>
      <c r="B80" s="92"/>
      <c r="C80" s="86"/>
      <c r="D80" s="86">
        <v>3</v>
      </c>
      <c r="E80" s="98"/>
      <c r="F80" s="92" t="s">
        <v>98</v>
      </c>
      <c r="G80" s="87">
        <v>127</v>
      </c>
      <c r="H80" s="303">
        <v>127</v>
      </c>
      <c r="I80" s="604">
        <v>61</v>
      </c>
      <c r="K80" s="14"/>
    </row>
    <row r="81" spans="1:11" ht="16.5" customHeight="1" x14ac:dyDescent="0.25">
      <c r="A81" s="40"/>
      <c r="B81" s="92"/>
      <c r="C81" s="86"/>
      <c r="D81" s="86"/>
      <c r="E81" s="98"/>
      <c r="F81" s="421" t="s">
        <v>63</v>
      </c>
      <c r="G81" s="89">
        <f t="shared" ref="G81" si="30">SUM(G80)</f>
        <v>127</v>
      </c>
      <c r="H81" s="432">
        <f t="shared" ref="H81:I81" si="31">SUM(H80)</f>
        <v>127</v>
      </c>
      <c r="I81" s="605">
        <f t="shared" si="31"/>
        <v>61</v>
      </c>
      <c r="K81" s="14"/>
    </row>
    <row r="82" spans="1:11" ht="16.5" customHeight="1" x14ac:dyDescent="0.25">
      <c r="A82" s="40"/>
      <c r="B82" s="92"/>
      <c r="C82" s="86"/>
      <c r="D82" s="86"/>
      <c r="E82" s="98"/>
      <c r="F82" s="421"/>
      <c r="G82" s="89"/>
      <c r="H82" s="303"/>
      <c r="I82" s="604"/>
      <c r="K82" s="14"/>
    </row>
    <row r="83" spans="1:11" ht="16.5" customHeight="1" x14ac:dyDescent="0.25">
      <c r="A83" s="40"/>
      <c r="B83" s="92"/>
      <c r="C83" s="86"/>
      <c r="D83" s="86"/>
      <c r="E83" s="98"/>
      <c r="F83" s="421"/>
      <c r="G83" s="89"/>
      <c r="H83" s="303"/>
      <c r="I83" s="604"/>
      <c r="K83" s="14"/>
    </row>
    <row r="84" spans="1:11" ht="16.5" customHeight="1" x14ac:dyDescent="0.25">
      <c r="A84" s="40"/>
      <c r="B84" s="92">
        <v>6</v>
      </c>
      <c r="C84" s="86"/>
      <c r="D84" s="86"/>
      <c r="E84" s="98"/>
      <c r="F84" s="248" t="s">
        <v>373</v>
      </c>
      <c r="G84" s="42"/>
      <c r="H84" s="303"/>
      <c r="I84" s="604"/>
      <c r="K84" s="14"/>
    </row>
    <row r="85" spans="1:11" ht="16.5" customHeight="1" x14ac:dyDescent="0.25">
      <c r="A85" s="40"/>
      <c r="B85" s="92"/>
      <c r="C85" s="86">
        <v>1</v>
      </c>
      <c r="D85" s="86"/>
      <c r="E85" s="24" t="s">
        <v>97</v>
      </c>
      <c r="F85" s="92"/>
      <c r="G85" s="42"/>
      <c r="H85" s="303"/>
      <c r="I85" s="604"/>
      <c r="K85" s="14"/>
    </row>
    <row r="86" spans="1:11" ht="16.5" customHeight="1" x14ac:dyDescent="0.25">
      <c r="A86" s="40"/>
      <c r="B86" s="92"/>
      <c r="C86" s="86"/>
      <c r="D86" s="86">
        <v>3</v>
      </c>
      <c r="E86" s="98"/>
      <c r="F86" s="92" t="s">
        <v>98</v>
      </c>
      <c r="G86" s="42">
        <v>279</v>
      </c>
      <c r="H86" s="303">
        <v>279</v>
      </c>
      <c r="I86" s="604">
        <v>53</v>
      </c>
      <c r="K86" s="14"/>
    </row>
    <row r="87" spans="1:11" ht="16.5" customHeight="1" x14ac:dyDescent="0.25">
      <c r="A87" s="40"/>
      <c r="B87" s="92"/>
      <c r="C87" s="86"/>
      <c r="D87" s="86"/>
      <c r="E87" s="98"/>
      <c r="F87" s="421" t="s">
        <v>63</v>
      </c>
      <c r="G87" s="88">
        <f t="shared" ref="G87" si="32">SUM(G86)</f>
        <v>279</v>
      </c>
      <c r="H87" s="432">
        <f t="shared" ref="H87:I87" si="33">SUM(H86)</f>
        <v>279</v>
      </c>
      <c r="I87" s="605">
        <f t="shared" si="33"/>
        <v>53</v>
      </c>
      <c r="K87" s="14"/>
    </row>
    <row r="88" spans="1:11" ht="16.5" customHeight="1" x14ac:dyDescent="0.25">
      <c r="A88" s="40"/>
      <c r="B88" s="92"/>
      <c r="C88" s="86"/>
      <c r="D88" s="86"/>
      <c r="E88" s="98"/>
      <c r="F88" s="421"/>
      <c r="G88" s="42"/>
      <c r="H88" s="303"/>
      <c r="I88" s="604"/>
      <c r="K88" s="14"/>
    </row>
    <row r="89" spans="1:11" ht="16.5" customHeight="1" x14ac:dyDescent="0.25">
      <c r="A89" s="40"/>
      <c r="B89" s="92"/>
      <c r="C89" s="86">
        <v>2</v>
      </c>
      <c r="D89" s="86"/>
      <c r="E89" s="98"/>
      <c r="F89" s="421" t="s">
        <v>99</v>
      </c>
      <c r="G89" s="42"/>
      <c r="H89" s="303"/>
      <c r="I89" s="604"/>
      <c r="K89" s="14"/>
    </row>
    <row r="90" spans="1:11" ht="16.5" customHeight="1" x14ac:dyDescent="0.25">
      <c r="A90" s="40"/>
      <c r="B90" s="92"/>
      <c r="C90" s="86"/>
      <c r="D90" s="86"/>
      <c r="E90" s="98"/>
      <c r="F90" s="92"/>
      <c r="G90" s="42"/>
      <c r="H90" s="303"/>
      <c r="I90" s="604"/>
      <c r="K90" s="14"/>
    </row>
    <row r="91" spans="1:11" ht="16.5" customHeight="1" x14ac:dyDescent="0.25">
      <c r="A91" s="40"/>
      <c r="B91" s="92">
        <v>7</v>
      </c>
      <c r="C91" s="86"/>
      <c r="D91" s="86"/>
      <c r="E91" s="98"/>
      <c r="F91" s="248" t="s">
        <v>226</v>
      </c>
      <c r="G91" s="42"/>
      <c r="H91" s="303"/>
      <c r="I91" s="604"/>
      <c r="K91" s="14"/>
    </row>
    <row r="92" spans="1:11" ht="16.5" customHeight="1" x14ac:dyDescent="0.25">
      <c r="A92" s="40"/>
      <c r="B92" s="92"/>
      <c r="C92" s="86">
        <v>1</v>
      </c>
      <c r="D92" s="86"/>
      <c r="E92" s="420" t="s">
        <v>229</v>
      </c>
      <c r="F92" s="92"/>
      <c r="G92" s="42"/>
      <c r="H92" s="303"/>
      <c r="I92" s="604"/>
      <c r="K92" s="14"/>
    </row>
    <row r="93" spans="1:11" ht="16.5" customHeight="1" x14ac:dyDescent="0.25">
      <c r="A93" s="40"/>
      <c r="B93" s="92"/>
      <c r="C93" s="86"/>
      <c r="D93" s="86">
        <v>3</v>
      </c>
      <c r="E93" s="98"/>
      <c r="F93" s="246" t="s">
        <v>208</v>
      </c>
      <c r="G93" s="42">
        <v>152</v>
      </c>
      <c r="H93" s="303">
        <f t="shared" ref="H93" si="34">152+500</f>
        <v>652</v>
      </c>
      <c r="I93" s="604">
        <v>376</v>
      </c>
      <c r="K93" s="14"/>
    </row>
    <row r="94" spans="1:11" ht="16.5" customHeight="1" x14ac:dyDescent="0.25">
      <c r="A94" s="40"/>
      <c r="B94" s="92"/>
      <c r="C94" s="86"/>
      <c r="D94" s="86"/>
      <c r="E94" s="98"/>
      <c r="F94" s="421" t="s">
        <v>63</v>
      </c>
      <c r="G94" s="88">
        <f t="shared" ref="G94" si="35">SUM(G93:G93)</f>
        <v>152</v>
      </c>
      <c r="H94" s="432">
        <f t="shared" ref="H94:I94" si="36">SUM(H93:H93)</f>
        <v>652</v>
      </c>
      <c r="I94" s="620">
        <f t="shared" si="36"/>
        <v>376</v>
      </c>
      <c r="K94" s="14"/>
    </row>
    <row r="95" spans="1:11" ht="16.5" customHeight="1" x14ac:dyDescent="0.25">
      <c r="A95" s="40"/>
      <c r="B95" s="92"/>
      <c r="C95" s="86"/>
      <c r="D95" s="86"/>
      <c r="E95" s="98"/>
      <c r="F95" s="421"/>
      <c r="G95" s="88"/>
      <c r="H95" s="87"/>
      <c r="I95" s="604"/>
      <c r="K95" s="14"/>
    </row>
    <row r="96" spans="1:11" ht="16.5" customHeight="1" x14ac:dyDescent="0.25">
      <c r="A96" s="40"/>
      <c r="B96" s="92">
        <v>8</v>
      </c>
      <c r="C96" s="86"/>
      <c r="D96" s="86"/>
      <c r="E96" s="98"/>
      <c r="F96" s="250" t="s">
        <v>165</v>
      </c>
      <c r="G96" s="42"/>
      <c r="H96" s="87"/>
      <c r="I96" s="604"/>
      <c r="K96" s="14"/>
    </row>
    <row r="97" spans="1:11" ht="16.5" customHeight="1" x14ac:dyDescent="0.25">
      <c r="A97" s="40"/>
      <c r="B97" s="92"/>
      <c r="C97" s="86">
        <v>1</v>
      </c>
      <c r="D97" s="86"/>
      <c r="E97" s="420" t="s">
        <v>229</v>
      </c>
      <c r="F97" s="92"/>
      <c r="G97" s="42"/>
      <c r="H97" s="87"/>
      <c r="I97" s="604"/>
      <c r="K97" s="14"/>
    </row>
    <row r="98" spans="1:11" ht="16.5" customHeight="1" x14ac:dyDescent="0.25">
      <c r="A98" s="40"/>
      <c r="B98" s="92"/>
      <c r="C98" s="86"/>
      <c r="D98" s="86">
        <v>3</v>
      </c>
      <c r="E98" s="98"/>
      <c r="F98" s="246" t="s">
        <v>208</v>
      </c>
      <c r="G98" s="42">
        <v>4445</v>
      </c>
      <c r="H98" s="87">
        <v>4445</v>
      </c>
      <c r="I98" s="604">
        <v>4134</v>
      </c>
      <c r="K98" s="14"/>
    </row>
    <row r="99" spans="1:11" ht="16.5" customHeight="1" x14ac:dyDescent="0.25">
      <c r="A99" s="40"/>
      <c r="B99" s="92"/>
      <c r="C99" s="86"/>
      <c r="D99" s="86"/>
      <c r="E99" s="98"/>
      <c r="F99" s="421" t="s">
        <v>63</v>
      </c>
      <c r="G99" s="88">
        <f t="shared" ref="G99" si="37">SUM(G98:G98)</f>
        <v>4445</v>
      </c>
      <c r="H99" s="89">
        <f t="shared" ref="H99:I99" si="38">SUM(H98:H98)</f>
        <v>4445</v>
      </c>
      <c r="I99" s="605">
        <f t="shared" si="38"/>
        <v>4134</v>
      </c>
      <c r="K99" s="14"/>
    </row>
    <row r="100" spans="1:11" ht="16.5" customHeight="1" x14ac:dyDescent="0.25">
      <c r="A100" s="40"/>
      <c r="B100" s="92"/>
      <c r="C100" s="86"/>
      <c r="D100" s="86"/>
      <c r="E100" s="98"/>
      <c r="F100" s="248"/>
      <c r="G100" s="89"/>
      <c r="H100" s="87"/>
      <c r="I100" s="604"/>
      <c r="K100" s="14"/>
    </row>
    <row r="101" spans="1:11" ht="16.5" customHeight="1" x14ac:dyDescent="0.25">
      <c r="A101" s="40"/>
      <c r="B101" s="92">
        <v>9</v>
      </c>
      <c r="C101" s="86"/>
      <c r="D101" s="86"/>
      <c r="E101" s="98"/>
      <c r="F101" s="248" t="s">
        <v>296</v>
      </c>
      <c r="G101" s="89"/>
      <c r="H101" s="87"/>
      <c r="I101" s="604"/>
      <c r="K101" s="14"/>
    </row>
    <row r="102" spans="1:11" ht="16.5" customHeight="1" x14ac:dyDescent="0.25">
      <c r="A102" s="40"/>
      <c r="B102" s="92"/>
      <c r="C102" s="86"/>
      <c r="D102" s="86">
        <v>3</v>
      </c>
      <c r="E102" s="24"/>
      <c r="F102" s="92" t="s">
        <v>208</v>
      </c>
      <c r="G102" s="89"/>
      <c r="H102" s="87">
        <v>1188</v>
      </c>
      <c r="I102" s="604"/>
      <c r="K102" s="14"/>
    </row>
    <row r="103" spans="1:11" ht="16.5" customHeight="1" x14ac:dyDescent="0.25">
      <c r="A103" s="40"/>
      <c r="B103" s="92"/>
      <c r="C103" s="86"/>
      <c r="D103" s="86">
        <v>4</v>
      </c>
      <c r="E103" s="98"/>
      <c r="F103" s="92" t="s">
        <v>518</v>
      </c>
      <c r="G103" s="89"/>
      <c r="H103" s="87">
        <f>1188-1188</f>
        <v>0</v>
      </c>
      <c r="I103" s="604"/>
      <c r="K103" s="14"/>
    </row>
    <row r="104" spans="1:11" ht="16.5" customHeight="1" x14ac:dyDescent="0.25">
      <c r="A104" s="40"/>
      <c r="B104" s="92"/>
      <c r="C104" s="86"/>
      <c r="D104" s="86"/>
      <c r="E104" s="98"/>
      <c r="F104" s="421" t="s">
        <v>63</v>
      </c>
      <c r="G104" s="89"/>
      <c r="H104" s="89">
        <f>SUM(H102:H103)</f>
        <v>1188</v>
      </c>
      <c r="I104" s="605">
        <f>SUM(I102:I103)</f>
        <v>0</v>
      </c>
      <c r="K104" s="14"/>
    </row>
    <row r="105" spans="1:11" ht="16.5" customHeight="1" x14ac:dyDescent="0.25">
      <c r="A105" s="40"/>
      <c r="B105" s="92"/>
      <c r="C105" s="86"/>
      <c r="D105" s="86"/>
      <c r="E105" s="98"/>
      <c r="F105" s="249"/>
      <c r="G105" s="89"/>
      <c r="H105" s="87"/>
      <c r="I105" s="604"/>
      <c r="K105" s="14"/>
    </row>
    <row r="106" spans="1:11" ht="16.5" customHeight="1" x14ac:dyDescent="0.25">
      <c r="A106" s="40"/>
      <c r="B106" s="92">
        <v>10</v>
      </c>
      <c r="C106" s="86"/>
      <c r="D106" s="86"/>
      <c r="E106" s="98"/>
      <c r="F106" s="248" t="s">
        <v>297</v>
      </c>
      <c r="G106" s="89"/>
      <c r="H106" s="87"/>
      <c r="I106" s="614"/>
      <c r="K106" s="14"/>
    </row>
    <row r="107" spans="1:11" ht="16.5" customHeight="1" x14ac:dyDescent="0.25">
      <c r="A107" s="40"/>
      <c r="B107" s="92"/>
      <c r="C107" s="86">
        <v>1</v>
      </c>
      <c r="D107" s="86"/>
      <c r="E107" s="24" t="s">
        <v>102</v>
      </c>
      <c r="F107" s="92"/>
      <c r="G107" s="89"/>
      <c r="H107" s="303"/>
      <c r="I107" s="604"/>
      <c r="K107" s="14"/>
    </row>
    <row r="108" spans="1:11" ht="16.5" customHeight="1" x14ac:dyDescent="0.25">
      <c r="A108" s="40"/>
      <c r="B108" s="92"/>
      <c r="C108" s="86"/>
      <c r="D108" s="86">
        <v>4</v>
      </c>
      <c r="E108" s="98"/>
      <c r="F108" s="92" t="s">
        <v>513</v>
      </c>
      <c r="G108" s="89"/>
      <c r="H108" s="303">
        <v>1059</v>
      </c>
      <c r="I108" s="604">
        <v>1059</v>
      </c>
      <c r="K108" s="14"/>
    </row>
    <row r="109" spans="1:11" ht="16.5" customHeight="1" x14ac:dyDescent="0.25">
      <c r="A109" s="40"/>
      <c r="B109" s="92"/>
      <c r="C109" s="86"/>
      <c r="D109" s="86"/>
      <c r="E109" s="98"/>
      <c r="F109" s="108" t="s">
        <v>63</v>
      </c>
      <c r="G109" s="89"/>
      <c r="H109" s="432">
        <f>SUM(H108)</f>
        <v>1059</v>
      </c>
      <c r="I109" s="605">
        <f>SUM(I108)</f>
        <v>1059</v>
      </c>
      <c r="K109" s="14"/>
    </row>
    <row r="110" spans="1:11" ht="16.5" customHeight="1" x14ac:dyDescent="0.25">
      <c r="A110" s="40"/>
      <c r="B110" s="92"/>
      <c r="C110" s="86"/>
      <c r="D110" s="86"/>
      <c r="E110" s="98"/>
      <c r="F110" s="248"/>
      <c r="G110" s="89"/>
      <c r="H110" s="303"/>
      <c r="I110" s="604"/>
      <c r="K110" s="14"/>
    </row>
    <row r="111" spans="1:11" ht="16.5" customHeight="1" x14ac:dyDescent="0.25">
      <c r="A111" s="40"/>
      <c r="B111" s="92">
        <v>11</v>
      </c>
      <c r="C111" s="86"/>
      <c r="D111" s="86"/>
      <c r="E111" s="98"/>
      <c r="F111" s="248" t="s">
        <v>298</v>
      </c>
      <c r="G111" s="89"/>
      <c r="H111" s="303"/>
      <c r="I111" s="604"/>
      <c r="K111" s="14"/>
    </row>
    <row r="112" spans="1:11" ht="16.5" customHeight="1" x14ac:dyDescent="0.25">
      <c r="A112" s="40"/>
      <c r="B112" s="92"/>
      <c r="C112" s="86">
        <v>1</v>
      </c>
      <c r="D112" s="86"/>
      <c r="E112" s="24" t="s">
        <v>102</v>
      </c>
      <c r="F112" s="92"/>
      <c r="G112" s="89"/>
      <c r="H112" s="303"/>
      <c r="I112" s="604"/>
      <c r="K112" s="14"/>
    </row>
    <row r="113" spans="1:11" ht="16.5" customHeight="1" x14ac:dyDescent="0.25">
      <c r="A113" s="40"/>
      <c r="B113" s="92"/>
      <c r="C113" s="86"/>
      <c r="D113" s="86">
        <v>3</v>
      </c>
      <c r="E113" s="24"/>
      <c r="F113" s="92" t="s">
        <v>1003</v>
      </c>
      <c r="G113" s="89"/>
      <c r="H113" s="303">
        <v>1681</v>
      </c>
      <c r="I113" s="303">
        <v>1641</v>
      </c>
      <c r="J113" s="621"/>
      <c r="K113" s="14"/>
    </row>
    <row r="114" spans="1:11" ht="16.5" customHeight="1" x14ac:dyDescent="0.25">
      <c r="A114" s="40"/>
      <c r="B114" s="92"/>
      <c r="C114" s="86"/>
      <c r="D114" s="86">
        <v>4</v>
      </c>
      <c r="E114" s="98"/>
      <c r="F114" s="92" t="s">
        <v>419</v>
      </c>
      <c r="G114" s="87">
        <v>600</v>
      </c>
      <c r="H114" s="303">
        <v>1200</v>
      </c>
      <c r="I114" s="604">
        <v>1313</v>
      </c>
      <c r="K114" s="14"/>
    </row>
    <row r="115" spans="1:11" ht="16.5" customHeight="1" x14ac:dyDescent="0.25">
      <c r="A115" s="40"/>
      <c r="B115" s="92"/>
      <c r="C115" s="86"/>
      <c r="D115" s="86">
        <v>4</v>
      </c>
      <c r="E115" s="98"/>
      <c r="F115" s="92" t="s">
        <v>300</v>
      </c>
      <c r="G115" s="87">
        <v>300</v>
      </c>
      <c r="H115" s="303">
        <v>300</v>
      </c>
      <c r="I115" s="604">
        <v>120</v>
      </c>
      <c r="K115" s="14"/>
    </row>
    <row r="116" spans="1:11" ht="16.5" customHeight="1" x14ac:dyDescent="0.25">
      <c r="A116" s="40"/>
      <c r="B116" s="92"/>
      <c r="C116" s="86"/>
      <c r="D116" s="86">
        <v>4</v>
      </c>
      <c r="E116" s="98"/>
      <c r="F116" s="92" t="s">
        <v>1015</v>
      </c>
      <c r="G116" s="87">
        <v>130</v>
      </c>
      <c r="H116" s="303">
        <v>130</v>
      </c>
      <c r="I116" s="604">
        <v>80</v>
      </c>
      <c r="K116" s="14"/>
    </row>
    <row r="117" spans="1:11" ht="16.5" customHeight="1" x14ac:dyDescent="0.25">
      <c r="A117" s="40"/>
      <c r="B117" s="92"/>
      <c r="C117" s="86"/>
      <c r="D117" s="86">
        <v>4</v>
      </c>
      <c r="E117" s="98"/>
      <c r="F117" s="92" t="s">
        <v>317</v>
      </c>
      <c r="G117" s="87">
        <f t="shared" ref="G117" si="39">500+500</f>
        <v>1000</v>
      </c>
      <c r="H117" s="303">
        <v>450</v>
      </c>
      <c r="I117" s="604">
        <v>450</v>
      </c>
      <c r="K117" s="14"/>
    </row>
    <row r="118" spans="1:11" ht="16.5" customHeight="1" x14ac:dyDescent="0.25">
      <c r="A118" s="40"/>
      <c r="B118" s="92"/>
      <c r="C118" s="86"/>
      <c r="D118" s="86">
        <v>4</v>
      </c>
      <c r="E118" s="98"/>
      <c r="F118" s="92" t="s">
        <v>391</v>
      </c>
      <c r="G118" s="87">
        <v>4000</v>
      </c>
      <c r="H118" s="303">
        <v>4000</v>
      </c>
      <c r="I118" s="604">
        <v>2708</v>
      </c>
      <c r="K118" s="14"/>
    </row>
    <row r="119" spans="1:11" ht="16.5" customHeight="1" x14ac:dyDescent="0.25">
      <c r="A119" s="40"/>
      <c r="B119" s="92"/>
      <c r="C119" s="86"/>
      <c r="D119" s="86">
        <v>4</v>
      </c>
      <c r="E119" s="98"/>
      <c r="F119" s="92" t="s">
        <v>379</v>
      </c>
      <c r="G119" s="87">
        <v>1200</v>
      </c>
      <c r="H119" s="303">
        <f>1200-50</f>
        <v>1150</v>
      </c>
      <c r="I119" s="604">
        <v>1070</v>
      </c>
      <c r="K119" s="14"/>
    </row>
    <row r="120" spans="1:11" ht="16.5" customHeight="1" x14ac:dyDescent="0.25">
      <c r="A120" s="40"/>
      <c r="B120" s="92"/>
      <c r="C120" s="86"/>
      <c r="D120" s="86">
        <v>4</v>
      </c>
      <c r="E120" s="98"/>
      <c r="F120" s="92" t="s">
        <v>380</v>
      </c>
      <c r="G120" s="87">
        <v>200</v>
      </c>
      <c r="H120" s="303">
        <v>200</v>
      </c>
      <c r="I120" s="604">
        <v>60</v>
      </c>
      <c r="K120" s="14"/>
    </row>
    <row r="121" spans="1:11" ht="16.5" customHeight="1" x14ac:dyDescent="0.25">
      <c r="A121" s="40"/>
      <c r="B121" s="92"/>
      <c r="C121" s="86"/>
      <c r="D121" s="86">
        <v>4</v>
      </c>
      <c r="E121" s="98"/>
      <c r="F121" s="92" t="s">
        <v>381</v>
      </c>
      <c r="G121" s="87">
        <v>300</v>
      </c>
      <c r="H121" s="303">
        <v>300</v>
      </c>
      <c r="I121" s="604">
        <v>200</v>
      </c>
      <c r="K121" s="14"/>
    </row>
    <row r="122" spans="1:11" ht="16.5" customHeight="1" x14ac:dyDescent="0.25">
      <c r="A122" s="40"/>
      <c r="B122" s="92"/>
      <c r="C122" s="86"/>
      <c r="D122" s="86">
        <v>4</v>
      </c>
      <c r="E122" s="98"/>
      <c r="F122" s="92" t="s">
        <v>392</v>
      </c>
      <c r="G122" s="87">
        <v>600</v>
      </c>
      <c r="H122" s="303">
        <v>600</v>
      </c>
      <c r="I122" s="604">
        <v>511</v>
      </c>
      <c r="K122" s="14"/>
    </row>
    <row r="123" spans="1:11" ht="16.5" customHeight="1" x14ac:dyDescent="0.25">
      <c r="A123" s="40"/>
      <c r="B123" s="92"/>
      <c r="C123" s="86"/>
      <c r="D123" s="86">
        <v>4</v>
      </c>
      <c r="E123" s="98"/>
      <c r="F123" s="92" t="s">
        <v>495</v>
      </c>
      <c r="G123" s="87"/>
      <c r="H123" s="303">
        <f>231+1050-1281</f>
        <v>0</v>
      </c>
      <c r="I123" s="604"/>
      <c r="K123" s="14"/>
    </row>
    <row r="124" spans="1:11" ht="16.5" customHeight="1" x14ac:dyDescent="0.25">
      <c r="A124" s="40"/>
      <c r="B124" s="92"/>
      <c r="C124" s="86"/>
      <c r="D124" s="86">
        <v>5</v>
      </c>
      <c r="E124" s="98"/>
      <c r="F124" s="92" t="s">
        <v>486</v>
      </c>
      <c r="G124" s="87">
        <v>120</v>
      </c>
      <c r="H124" s="303">
        <v>120</v>
      </c>
      <c r="I124" s="604">
        <v>100</v>
      </c>
      <c r="K124" s="14"/>
    </row>
    <row r="125" spans="1:11" ht="16.5" customHeight="1" x14ac:dyDescent="0.25">
      <c r="A125" s="40"/>
      <c r="B125" s="92"/>
      <c r="C125" s="86"/>
      <c r="D125" s="86"/>
      <c r="E125" s="98"/>
      <c r="F125" s="421" t="s">
        <v>63</v>
      </c>
      <c r="G125" s="89">
        <f t="shared" ref="G125" si="40">SUM(G114:G124)</f>
        <v>8450</v>
      </c>
      <c r="H125" s="432">
        <f>SUM(H113:H124)</f>
        <v>10131</v>
      </c>
      <c r="I125" s="605">
        <f>SUM(I113:I124)</f>
        <v>8253</v>
      </c>
      <c r="K125" s="14"/>
    </row>
    <row r="126" spans="1:11" ht="16.5" customHeight="1" x14ac:dyDescent="0.25">
      <c r="A126" s="40"/>
      <c r="B126" s="92"/>
      <c r="C126" s="92"/>
      <c r="D126" s="86"/>
      <c r="E126" s="98"/>
      <c r="F126" s="421"/>
      <c r="G126" s="89"/>
      <c r="H126" s="303"/>
      <c r="I126" s="604"/>
      <c r="K126" s="14"/>
    </row>
    <row r="127" spans="1:11" ht="16.5" customHeight="1" x14ac:dyDescent="0.25">
      <c r="A127" s="40"/>
      <c r="B127" s="92">
        <v>12</v>
      </c>
      <c r="C127" s="92"/>
      <c r="D127" s="86"/>
      <c r="E127" s="98"/>
      <c r="F127" s="248" t="s">
        <v>299</v>
      </c>
      <c r="G127" s="89"/>
      <c r="H127" s="303"/>
      <c r="I127" s="604"/>
      <c r="K127" s="14"/>
    </row>
    <row r="128" spans="1:11" ht="16.5" customHeight="1" x14ac:dyDescent="0.25">
      <c r="A128" s="40"/>
      <c r="B128" s="92"/>
      <c r="C128" s="92"/>
      <c r="D128" s="86"/>
      <c r="E128" s="98"/>
      <c r="F128" s="421"/>
      <c r="G128" s="89"/>
      <c r="H128" s="303"/>
      <c r="I128" s="604"/>
      <c r="K128" s="14"/>
    </row>
    <row r="129" spans="1:11" ht="16.5" customHeight="1" x14ac:dyDescent="0.25">
      <c r="A129" s="40"/>
      <c r="B129" s="92">
        <v>13</v>
      </c>
      <c r="C129" s="92"/>
      <c r="D129" s="86"/>
      <c r="E129" s="98"/>
      <c r="F129" s="248" t="s">
        <v>301</v>
      </c>
      <c r="G129" s="89"/>
      <c r="H129" s="303"/>
      <c r="I129" s="604"/>
      <c r="K129" s="14"/>
    </row>
    <row r="130" spans="1:11" ht="16.5" customHeight="1" x14ac:dyDescent="0.25">
      <c r="A130" s="40"/>
      <c r="B130" s="92"/>
      <c r="C130" s="86"/>
      <c r="D130" s="86"/>
      <c r="E130" s="98"/>
      <c r="F130" s="249"/>
      <c r="G130" s="89"/>
      <c r="H130" s="303"/>
      <c r="I130" s="604"/>
      <c r="K130" s="14"/>
    </row>
    <row r="131" spans="1:11" ht="16.5" customHeight="1" x14ac:dyDescent="0.25">
      <c r="A131" s="40"/>
      <c r="B131" s="92">
        <v>14</v>
      </c>
      <c r="C131" s="86"/>
      <c r="D131" s="86"/>
      <c r="E131" s="98"/>
      <c r="F131" s="248" t="s">
        <v>283</v>
      </c>
      <c r="G131" s="89"/>
      <c r="H131" s="303"/>
      <c r="I131" s="604"/>
      <c r="K131" s="14"/>
    </row>
    <row r="132" spans="1:11" ht="16.5" customHeight="1" x14ac:dyDescent="0.25">
      <c r="A132" s="40"/>
      <c r="B132" s="92"/>
      <c r="C132" s="86"/>
      <c r="D132" s="86"/>
      <c r="E132" s="98"/>
      <c r="F132" s="249"/>
      <c r="G132" s="89"/>
      <c r="H132" s="303"/>
      <c r="I132" s="604"/>
      <c r="K132" s="14"/>
    </row>
    <row r="133" spans="1:11" ht="16.5" customHeight="1" x14ac:dyDescent="0.25">
      <c r="A133" s="40"/>
      <c r="B133" s="92">
        <v>15</v>
      </c>
      <c r="C133" s="86"/>
      <c r="D133" s="86"/>
      <c r="E133" s="98"/>
      <c r="F133" s="248" t="s">
        <v>243</v>
      </c>
      <c r="G133" s="89"/>
      <c r="H133" s="303"/>
      <c r="I133" s="604"/>
      <c r="K133" s="14"/>
    </row>
    <row r="134" spans="1:11" ht="16.5" customHeight="1" x14ac:dyDescent="0.25">
      <c r="A134" s="40"/>
      <c r="B134" s="92"/>
      <c r="C134" s="86"/>
      <c r="D134" s="86"/>
      <c r="E134" s="98"/>
      <c r="F134" s="421"/>
      <c r="G134" s="89"/>
      <c r="H134" s="303"/>
      <c r="I134" s="604"/>
      <c r="K134" s="14"/>
    </row>
    <row r="135" spans="1:11" ht="16.5" customHeight="1" x14ac:dyDescent="0.25">
      <c r="A135" s="40"/>
      <c r="B135" s="92">
        <v>16</v>
      </c>
      <c r="C135" s="86"/>
      <c r="D135" s="86"/>
      <c r="E135" s="98"/>
      <c r="F135" s="248" t="s">
        <v>323</v>
      </c>
      <c r="G135" s="89"/>
      <c r="H135" s="303"/>
      <c r="I135" s="604"/>
      <c r="K135" s="14"/>
    </row>
    <row r="136" spans="1:11" ht="16.5" customHeight="1" x14ac:dyDescent="0.25">
      <c r="A136" s="40"/>
      <c r="B136" s="92"/>
      <c r="C136" s="86"/>
      <c r="D136" s="86"/>
      <c r="E136" s="98"/>
      <c r="F136" s="421"/>
      <c r="G136" s="89"/>
      <c r="H136" s="303"/>
      <c r="I136" s="604"/>
      <c r="K136" s="14"/>
    </row>
    <row r="137" spans="1:11" ht="16.5" customHeight="1" x14ac:dyDescent="0.25">
      <c r="A137" s="40"/>
      <c r="B137" s="92">
        <v>17</v>
      </c>
      <c r="C137" s="86"/>
      <c r="D137" s="86"/>
      <c r="E137" s="98"/>
      <c r="F137" s="248" t="s">
        <v>244</v>
      </c>
      <c r="G137" s="89"/>
      <c r="H137" s="303"/>
      <c r="I137" s="604"/>
      <c r="K137" s="14"/>
    </row>
    <row r="138" spans="1:11" ht="16.5" customHeight="1" x14ac:dyDescent="0.25">
      <c r="A138" s="40"/>
      <c r="B138" s="92"/>
      <c r="C138" s="86"/>
      <c r="D138" s="86"/>
      <c r="E138" s="98"/>
      <c r="F138" s="421"/>
      <c r="G138" s="89"/>
      <c r="H138" s="303"/>
      <c r="I138" s="604"/>
      <c r="K138" s="14"/>
    </row>
    <row r="139" spans="1:11" ht="16.5" customHeight="1" x14ac:dyDescent="0.25">
      <c r="A139" s="40"/>
      <c r="B139" s="92">
        <v>18</v>
      </c>
      <c r="C139" s="86"/>
      <c r="D139" s="86"/>
      <c r="E139" s="98"/>
      <c r="F139" s="248" t="s">
        <v>284</v>
      </c>
      <c r="G139" s="89"/>
      <c r="H139" s="303"/>
      <c r="I139" s="604"/>
      <c r="K139" s="14"/>
    </row>
    <row r="140" spans="1:11" ht="16.5" customHeight="1" x14ac:dyDescent="0.25">
      <c r="A140" s="40"/>
      <c r="B140" s="92"/>
      <c r="C140" s="86">
        <v>1</v>
      </c>
      <c r="D140" s="86"/>
      <c r="E140" s="24" t="s">
        <v>102</v>
      </c>
      <c r="F140" s="92"/>
      <c r="G140" s="89"/>
      <c r="H140" s="303"/>
      <c r="I140" s="604"/>
      <c r="K140" s="14"/>
    </row>
    <row r="141" spans="1:11" ht="16.5" customHeight="1" x14ac:dyDescent="0.25">
      <c r="A141" s="40"/>
      <c r="B141" s="92"/>
      <c r="C141" s="86"/>
      <c r="D141" s="86">
        <v>1</v>
      </c>
      <c r="E141" s="98"/>
      <c r="F141" s="92" t="s">
        <v>227</v>
      </c>
      <c r="G141" s="87">
        <v>10600</v>
      </c>
      <c r="H141" s="303">
        <f t="shared" ref="H141" si="41">10600+11553+5458+4724+4724</f>
        <v>37059</v>
      </c>
      <c r="I141" s="604">
        <v>23994</v>
      </c>
      <c r="K141" s="14"/>
    </row>
    <row r="142" spans="1:11" ht="16.5" customHeight="1" x14ac:dyDescent="0.25">
      <c r="A142" s="40"/>
      <c r="B142" s="92"/>
      <c r="C142" s="86"/>
      <c r="D142" s="86">
        <v>2</v>
      </c>
      <c r="E142" s="98"/>
      <c r="F142" s="92" t="s">
        <v>228</v>
      </c>
      <c r="G142" s="87">
        <v>1166</v>
      </c>
      <c r="H142" s="303">
        <f t="shared" ref="H142" si="42">1166+1126+532+461+461</f>
        <v>3746</v>
      </c>
      <c r="I142" s="604">
        <v>2396</v>
      </c>
      <c r="K142" s="14"/>
    </row>
    <row r="143" spans="1:11" ht="16.5" customHeight="1" x14ac:dyDescent="0.25">
      <c r="A143" s="40"/>
      <c r="B143" s="92"/>
      <c r="C143" s="86"/>
      <c r="D143" s="86">
        <v>3</v>
      </c>
      <c r="E143" s="98"/>
      <c r="F143" s="92" t="s">
        <v>98</v>
      </c>
      <c r="G143" s="87">
        <v>0</v>
      </c>
      <c r="H143" s="303">
        <f t="shared" ref="H143" si="43">175+208+138+2561</f>
        <v>3082</v>
      </c>
      <c r="I143" s="604">
        <v>2953</v>
      </c>
      <c r="K143" s="14"/>
    </row>
    <row r="144" spans="1:11" ht="16.5" customHeight="1" x14ac:dyDescent="0.25">
      <c r="A144" s="40"/>
      <c r="B144" s="92"/>
      <c r="C144" s="86"/>
      <c r="D144" s="86"/>
      <c r="E144" s="98"/>
      <c r="F144" s="421" t="s">
        <v>63</v>
      </c>
      <c r="G144" s="89">
        <f t="shared" ref="G144" si="44">SUM(G141:G143)</f>
        <v>11766</v>
      </c>
      <c r="H144" s="432">
        <f t="shared" ref="H144:I144" si="45">SUM(H141:H143)</f>
        <v>43887</v>
      </c>
      <c r="I144" s="605">
        <f t="shared" si="45"/>
        <v>29343</v>
      </c>
      <c r="K144" s="14"/>
    </row>
    <row r="145" spans="1:11" ht="16.5" customHeight="1" x14ac:dyDescent="0.25">
      <c r="A145" s="40"/>
      <c r="B145" s="92"/>
      <c r="C145" s="86"/>
      <c r="D145" s="86"/>
      <c r="E145" s="98"/>
      <c r="F145" s="421"/>
      <c r="G145" s="89"/>
      <c r="H145" s="303"/>
      <c r="I145" s="604"/>
      <c r="K145" s="14"/>
    </row>
    <row r="146" spans="1:11" ht="16.5" customHeight="1" x14ac:dyDescent="0.25">
      <c r="A146" s="40"/>
      <c r="B146" s="92"/>
      <c r="C146" s="86">
        <v>2</v>
      </c>
      <c r="D146" s="86"/>
      <c r="E146" s="98"/>
      <c r="F146" s="421" t="s">
        <v>99</v>
      </c>
      <c r="G146" s="89"/>
      <c r="H146" s="303"/>
      <c r="I146" s="604"/>
      <c r="K146" s="14"/>
    </row>
    <row r="147" spans="1:11" ht="16.5" customHeight="1" x14ac:dyDescent="0.25">
      <c r="A147" s="40"/>
      <c r="B147" s="92"/>
      <c r="C147" s="86"/>
      <c r="D147" s="86">
        <v>18</v>
      </c>
      <c r="E147" s="98"/>
      <c r="F147" s="246" t="s">
        <v>491</v>
      </c>
      <c r="G147" s="287"/>
      <c r="H147" s="303">
        <v>3534</v>
      </c>
      <c r="I147" s="604">
        <v>2448</v>
      </c>
      <c r="K147" s="14"/>
    </row>
    <row r="148" spans="1:11" ht="16.5" customHeight="1" x14ac:dyDescent="0.25">
      <c r="A148" s="40"/>
      <c r="B148" s="92"/>
      <c r="C148" s="86"/>
      <c r="D148" s="86">
        <v>2</v>
      </c>
      <c r="E148" s="98"/>
      <c r="F148" s="92" t="s">
        <v>295</v>
      </c>
      <c r="G148" s="287"/>
      <c r="H148" s="303">
        <v>954</v>
      </c>
      <c r="I148" s="604">
        <v>661</v>
      </c>
      <c r="K148" s="14"/>
    </row>
    <row r="149" spans="1:11" ht="16.5" customHeight="1" x14ac:dyDescent="0.25">
      <c r="A149" s="40"/>
      <c r="B149" s="92"/>
      <c r="C149" s="86"/>
      <c r="D149" s="17"/>
      <c r="E149" s="24"/>
      <c r="F149" s="421" t="s">
        <v>63</v>
      </c>
      <c r="G149" s="287"/>
      <c r="H149" s="432">
        <f t="shared" ref="H149:I149" si="46">SUM(H147:H148)</f>
        <v>4488</v>
      </c>
      <c r="I149" s="605">
        <f t="shared" si="46"/>
        <v>3109</v>
      </c>
      <c r="K149" s="14"/>
    </row>
    <row r="150" spans="1:11" ht="16.5" customHeight="1" x14ac:dyDescent="0.25">
      <c r="A150" s="40"/>
      <c r="B150" s="92"/>
      <c r="C150" s="86"/>
      <c r="D150" s="17"/>
      <c r="E150" s="24"/>
      <c r="F150" s="108"/>
      <c r="G150" s="287"/>
      <c r="H150" s="303"/>
      <c r="I150" s="604"/>
      <c r="K150" s="14"/>
    </row>
    <row r="151" spans="1:11" ht="16.5" customHeight="1" x14ac:dyDescent="0.25">
      <c r="A151" s="40"/>
      <c r="B151" s="92"/>
      <c r="C151" s="86">
        <v>2</v>
      </c>
      <c r="D151" s="86"/>
      <c r="E151" s="24" t="s">
        <v>232</v>
      </c>
      <c r="F151" s="92"/>
      <c r="G151" s="287"/>
      <c r="H151" s="303"/>
      <c r="I151" s="604"/>
      <c r="K151" s="14"/>
    </row>
    <row r="152" spans="1:11" ht="16.5" customHeight="1" x14ac:dyDescent="0.25">
      <c r="A152" s="40"/>
      <c r="B152" s="92"/>
      <c r="C152" s="86"/>
      <c r="D152" s="86">
        <v>18</v>
      </c>
      <c r="E152" s="24"/>
      <c r="F152" s="92" t="s">
        <v>492</v>
      </c>
      <c r="G152" s="287"/>
      <c r="H152" s="303">
        <v>1480</v>
      </c>
      <c r="I152" s="604">
        <v>2513</v>
      </c>
      <c r="K152" s="14"/>
    </row>
    <row r="153" spans="1:11" ht="16.5" customHeight="1" x14ac:dyDescent="0.25">
      <c r="A153" s="40"/>
      <c r="B153" s="92"/>
      <c r="C153" s="86"/>
      <c r="D153" s="86">
        <v>2</v>
      </c>
      <c r="E153" s="98"/>
      <c r="F153" s="92" t="s">
        <v>295</v>
      </c>
      <c r="G153" s="287"/>
      <c r="H153" s="303">
        <v>400</v>
      </c>
      <c r="I153" s="604">
        <v>401</v>
      </c>
      <c r="K153" s="14"/>
    </row>
    <row r="154" spans="1:11" ht="16.5" customHeight="1" x14ac:dyDescent="0.25">
      <c r="A154" s="40"/>
      <c r="B154" s="92"/>
      <c r="C154" s="86"/>
      <c r="D154" s="86"/>
      <c r="E154" s="98"/>
      <c r="F154" s="421" t="s">
        <v>63</v>
      </c>
      <c r="G154" s="287"/>
      <c r="H154" s="432">
        <f t="shared" ref="H154:I154" si="47">SUM(H152:H153)</f>
        <v>1880</v>
      </c>
      <c r="I154" s="605">
        <f t="shared" si="47"/>
        <v>2914</v>
      </c>
      <c r="K154" s="14"/>
    </row>
    <row r="155" spans="1:11" ht="16.5" customHeight="1" x14ac:dyDescent="0.25">
      <c r="A155" s="40"/>
      <c r="B155" s="92"/>
      <c r="C155" s="86"/>
      <c r="D155" s="86"/>
      <c r="E155" s="98"/>
      <c r="F155" s="92"/>
      <c r="G155" s="287"/>
      <c r="H155" s="303"/>
      <c r="I155" s="604"/>
      <c r="K155" s="14"/>
    </row>
    <row r="156" spans="1:11" ht="16.5" customHeight="1" x14ac:dyDescent="0.25">
      <c r="A156" s="40"/>
      <c r="B156" s="92"/>
      <c r="C156" s="86"/>
      <c r="D156" s="17"/>
      <c r="E156" s="24"/>
      <c r="F156" s="248" t="s">
        <v>101</v>
      </c>
      <c r="G156" s="287"/>
      <c r="H156" s="432">
        <f t="shared" ref="H156:I156" si="48">+H144+H149+H154</f>
        <v>50255</v>
      </c>
      <c r="I156" s="605">
        <f t="shared" si="48"/>
        <v>35366</v>
      </c>
      <c r="K156" s="14"/>
    </row>
    <row r="157" spans="1:11" ht="16.5" customHeight="1" x14ac:dyDescent="0.25">
      <c r="A157" s="40"/>
      <c r="B157" s="92"/>
      <c r="C157" s="86"/>
      <c r="D157" s="17"/>
      <c r="E157" s="24"/>
      <c r="F157" s="248"/>
      <c r="G157" s="287"/>
      <c r="H157" s="303"/>
      <c r="I157" s="604"/>
      <c r="K157" s="14"/>
    </row>
    <row r="158" spans="1:11" ht="16.5" customHeight="1" x14ac:dyDescent="0.25">
      <c r="A158" s="40"/>
      <c r="B158" s="92">
        <v>19</v>
      </c>
      <c r="C158" s="86"/>
      <c r="D158" s="86"/>
      <c r="E158" s="98"/>
      <c r="F158" s="312" t="s">
        <v>302</v>
      </c>
      <c r="G158" s="287"/>
      <c r="H158" s="303"/>
      <c r="I158" s="604"/>
      <c r="K158" s="14"/>
    </row>
    <row r="159" spans="1:11" ht="16.5" customHeight="1" x14ac:dyDescent="0.25">
      <c r="A159" s="40"/>
      <c r="B159" s="92"/>
      <c r="C159" s="86"/>
      <c r="D159" s="86"/>
      <c r="E159" s="98"/>
      <c r="F159" s="421"/>
      <c r="G159" s="287"/>
      <c r="H159" s="303"/>
      <c r="I159" s="604"/>
      <c r="K159" s="14"/>
    </row>
    <row r="160" spans="1:11" ht="16.5" customHeight="1" x14ac:dyDescent="0.25">
      <c r="A160" s="40"/>
      <c r="B160" s="92">
        <v>20</v>
      </c>
      <c r="C160" s="86"/>
      <c r="D160" s="86"/>
      <c r="E160" s="98"/>
      <c r="F160" s="312" t="s">
        <v>286</v>
      </c>
      <c r="G160" s="287"/>
      <c r="H160" s="303"/>
      <c r="I160" s="604"/>
      <c r="K160" s="14"/>
    </row>
    <row r="161" spans="1:11" ht="16.5" customHeight="1" x14ac:dyDescent="0.25">
      <c r="A161" s="40"/>
      <c r="B161" s="92"/>
      <c r="C161" s="86">
        <v>1</v>
      </c>
      <c r="D161" s="86"/>
      <c r="E161" s="420" t="s">
        <v>97</v>
      </c>
      <c r="F161" s="92"/>
      <c r="G161" s="287"/>
      <c r="H161" s="303"/>
      <c r="I161" s="604"/>
      <c r="K161" s="14"/>
    </row>
    <row r="162" spans="1:11" ht="16.5" customHeight="1" x14ac:dyDescent="0.25">
      <c r="A162" s="40"/>
      <c r="B162" s="92"/>
      <c r="C162" s="86"/>
      <c r="D162" s="86">
        <v>1</v>
      </c>
      <c r="E162" s="98"/>
      <c r="F162" s="92" t="s">
        <v>227</v>
      </c>
      <c r="G162" s="196">
        <v>450</v>
      </c>
      <c r="H162" s="303">
        <f>450-250</f>
        <v>200</v>
      </c>
      <c r="I162" s="604">
        <v>0</v>
      </c>
      <c r="K162" s="14"/>
    </row>
    <row r="163" spans="1:11" ht="16.5" customHeight="1" x14ac:dyDescent="0.25">
      <c r="A163" s="40"/>
      <c r="B163" s="92"/>
      <c r="C163" s="86"/>
      <c r="D163" s="86">
        <v>2</v>
      </c>
      <c r="E163" s="98"/>
      <c r="F163" s="92" t="s">
        <v>228</v>
      </c>
      <c r="G163" s="196">
        <v>135</v>
      </c>
      <c r="H163" s="303">
        <v>135</v>
      </c>
      <c r="I163" s="604">
        <v>0</v>
      </c>
      <c r="K163" s="14"/>
    </row>
    <row r="164" spans="1:11" ht="16.5" customHeight="1" x14ac:dyDescent="0.25">
      <c r="A164" s="40"/>
      <c r="B164" s="92"/>
      <c r="C164" s="86"/>
      <c r="D164" s="86">
        <v>3</v>
      </c>
      <c r="E164" s="98"/>
      <c r="F164" s="246" t="s">
        <v>98</v>
      </c>
      <c r="G164" s="196">
        <v>5461</v>
      </c>
      <c r="H164" s="303">
        <f>5461+250</f>
        <v>5711</v>
      </c>
      <c r="I164" s="604">
        <v>5182</v>
      </c>
      <c r="K164" s="14"/>
    </row>
    <row r="165" spans="1:11" ht="16.5" customHeight="1" x14ac:dyDescent="0.25">
      <c r="A165" s="40"/>
      <c r="B165" s="92"/>
      <c r="C165" s="86"/>
      <c r="D165" s="86"/>
      <c r="E165" s="98"/>
      <c r="F165" s="421" t="s">
        <v>63</v>
      </c>
      <c r="G165" s="89">
        <f t="shared" ref="G165" si="49">SUM(G162:G164)</f>
        <v>6046</v>
      </c>
      <c r="H165" s="432">
        <f t="shared" ref="H165:I165" si="50">SUM(H162:H164)</f>
        <v>6046</v>
      </c>
      <c r="I165" s="605">
        <f t="shared" si="50"/>
        <v>5182</v>
      </c>
      <c r="K165" s="14"/>
    </row>
    <row r="166" spans="1:11" ht="16.5" customHeight="1" x14ac:dyDescent="0.25">
      <c r="A166" s="40"/>
      <c r="B166" s="92"/>
      <c r="C166" s="86"/>
      <c r="D166" s="86"/>
      <c r="E166" s="98"/>
      <c r="F166" s="421"/>
      <c r="G166" s="89"/>
      <c r="H166" s="303"/>
      <c r="I166" s="604"/>
      <c r="K166" s="14"/>
    </row>
    <row r="167" spans="1:11" ht="16.5" customHeight="1" x14ac:dyDescent="0.25">
      <c r="A167" s="40"/>
      <c r="B167" s="92"/>
      <c r="C167" s="86">
        <v>2</v>
      </c>
      <c r="D167" s="86"/>
      <c r="E167" s="24" t="s">
        <v>99</v>
      </c>
      <c r="F167" s="421"/>
      <c r="G167" s="89"/>
      <c r="H167" s="303"/>
      <c r="I167" s="604"/>
      <c r="K167" s="14"/>
    </row>
    <row r="168" spans="1:11" ht="16.5" customHeight="1" x14ac:dyDescent="0.25">
      <c r="A168" s="40"/>
      <c r="B168" s="92"/>
      <c r="C168" s="86"/>
      <c r="D168" s="86"/>
      <c r="E168" s="98"/>
      <c r="F168" s="421"/>
      <c r="G168" s="89"/>
      <c r="H168" s="303"/>
      <c r="I168" s="604"/>
      <c r="K168" s="14"/>
    </row>
    <row r="169" spans="1:11" ht="16.5" customHeight="1" x14ac:dyDescent="0.25">
      <c r="A169" s="99"/>
      <c r="B169" s="92">
        <v>21</v>
      </c>
      <c r="C169" s="86"/>
      <c r="D169" s="86"/>
      <c r="E169" s="98"/>
      <c r="F169" s="248" t="s">
        <v>287</v>
      </c>
      <c r="G169" s="87"/>
      <c r="H169" s="303"/>
      <c r="I169" s="604"/>
      <c r="K169" s="14"/>
    </row>
    <row r="170" spans="1:11" ht="16.5" customHeight="1" x14ac:dyDescent="0.25">
      <c r="A170" s="99"/>
      <c r="B170" s="92"/>
      <c r="C170" s="86">
        <v>1</v>
      </c>
      <c r="D170" s="86"/>
      <c r="E170" s="24" t="s">
        <v>97</v>
      </c>
      <c r="F170" s="92"/>
      <c r="G170" s="87"/>
      <c r="H170" s="303"/>
      <c r="I170" s="604"/>
      <c r="K170" s="14"/>
    </row>
    <row r="171" spans="1:11" ht="16.5" customHeight="1" x14ac:dyDescent="0.25">
      <c r="A171" s="99"/>
      <c r="B171" s="92"/>
      <c r="C171" s="86"/>
      <c r="D171" s="86">
        <v>3</v>
      </c>
      <c r="E171" s="98"/>
      <c r="F171" s="92" t="s">
        <v>98</v>
      </c>
      <c r="G171" s="87">
        <v>635</v>
      </c>
      <c r="H171" s="303">
        <v>635</v>
      </c>
      <c r="I171" s="604">
        <v>635</v>
      </c>
      <c r="K171" s="14"/>
    </row>
    <row r="172" spans="1:11" ht="16.5" customHeight="1" x14ac:dyDescent="0.25">
      <c r="A172" s="99"/>
      <c r="B172" s="92"/>
      <c r="C172" s="86"/>
      <c r="D172" s="86"/>
      <c r="E172" s="98"/>
      <c r="F172" s="421" t="s">
        <v>63</v>
      </c>
      <c r="G172" s="89">
        <f t="shared" ref="G172" si="51">SUM(G171:G171)</f>
        <v>635</v>
      </c>
      <c r="H172" s="432">
        <f t="shared" ref="H172:I172" si="52">SUM(H171:H171)</f>
        <v>635</v>
      </c>
      <c r="I172" s="605">
        <f t="shared" si="52"/>
        <v>635</v>
      </c>
      <c r="K172" s="14"/>
    </row>
    <row r="173" spans="1:11" ht="16.5" customHeight="1" x14ac:dyDescent="0.25">
      <c r="A173" s="99"/>
      <c r="B173" s="92"/>
      <c r="C173" s="86"/>
      <c r="D173" s="86"/>
      <c r="E173" s="98"/>
      <c r="F173" s="421"/>
      <c r="G173" s="89"/>
      <c r="H173" s="303"/>
      <c r="I173" s="604"/>
      <c r="K173" s="14"/>
    </row>
    <row r="174" spans="1:11" ht="16.5" customHeight="1" x14ac:dyDescent="0.25">
      <c r="A174" s="99"/>
      <c r="B174" s="92">
        <v>22</v>
      </c>
      <c r="C174" s="86"/>
      <c r="D174" s="86"/>
      <c r="E174" s="98"/>
      <c r="F174" s="250" t="s">
        <v>214</v>
      </c>
      <c r="G174" s="89"/>
      <c r="H174" s="303"/>
      <c r="I174" s="604"/>
      <c r="K174" s="14"/>
    </row>
    <row r="175" spans="1:11" ht="16.5" customHeight="1" x14ac:dyDescent="0.25">
      <c r="A175" s="99"/>
      <c r="B175" s="92"/>
      <c r="C175" s="86">
        <v>1</v>
      </c>
      <c r="D175" s="86"/>
      <c r="E175" s="420" t="s">
        <v>229</v>
      </c>
      <c r="F175" s="92"/>
      <c r="G175" s="89"/>
      <c r="H175" s="303"/>
      <c r="I175" s="604"/>
      <c r="K175" s="14"/>
    </row>
    <row r="176" spans="1:11" ht="16.5" customHeight="1" x14ac:dyDescent="0.25">
      <c r="A176" s="99"/>
      <c r="B176" s="92"/>
      <c r="C176" s="86"/>
      <c r="D176" s="86">
        <v>5</v>
      </c>
      <c r="E176" s="98"/>
      <c r="F176" s="246" t="s">
        <v>230</v>
      </c>
      <c r="G176" s="87">
        <v>800</v>
      </c>
      <c r="H176" s="303">
        <v>800</v>
      </c>
      <c r="I176" s="604">
        <v>680</v>
      </c>
      <c r="K176" s="14"/>
    </row>
    <row r="177" spans="1:11" ht="16.5" customHeight="1" x14ac:dyDescent="0.25">
      <c r="A177" s="99"/>
      <c r="B177" s="92"/>
      <c r="C177" s="86"/>
      <c r="D177" s="86"/>
      <c r="E177" s="98"/>
      <c r="F177" s="421" t="s">
        <v>63</v>
      </c>
      <c r="G177" s="89">
        <f t="shared" ref="G177" si="53">SUM(G176)</f>
        <v>800</v>
      </c>
      <c r="H177" s="432">
        <f t="shared" ref="H177:I177" si="54">SUM(H176)</f>
        <v>800</v>
      </c>
      <c r="I177" s="605">
        <f t="shared" si="54"/>
        <v>680</v>
      </c>
      <c r="K177" s="14"/>
    </row>
    <row r="178" spans="1:11" ht="16.5" customHeight="1" x14ac:dyDescent="0.25">
      <c r="A178" s="99"/>
      <c r="B178" s="92"/>
      <c r="C178" s="86"/>
      <c r="D178" s="86"/>
      <c r="E178" s="98"/>
      <c r="F178" s="421"/>
      <c r="G178" s="87"/>
      <c r="H178" s="303"/>
      <c r="I178" s="604"/>
      <c r="K178" s="14"/>
    </row>
    <row r="179" spans="1:11" ht="16.5" customHeight="1" x14ac:dyDescent="0.25">
      <c r="A179" s="99"/>
      <c r="B179" s="92">
        <v>23</v>
      </c>
      <c r="C179" s="86"/>
      <c r="D179" s="86"/>
      <c r="E179" s="98"/>
      <c r="F179" s="248" t="s">
        <v>213</v>
      </c>
      <c r="G179" s="87"/>
      <c r="H179" s="303"/>
      <c r="I179" s="604"/>
      <c r="K179" s="14"/>
    </row>
    <row r="180" spans="1:11" ht="16.5" customHeight="1" x14ac:dyDescent="0.25">
      <c r="A180" s="99"/>
      <c r="B180" s="92"/>
      <c r="C180" s="86">
        <v>1</v>
      </c>
      <c r="D180" s="86"/>
      <c r="E180" s="24" t="s">
        <v>97</v>
      </c>
      <c r="F180" s="92"/>
      <c r="G180" s="87"/>
      <c r="H180" s="303"/>
      <c r="I180" s="604"/>
      <c r="K180" s="14"/>
    </row>
    <row r="181" spans="1:11" ht="16.5" customHeight="1" x14ac:dyDescent="0.25">
      <c r="A181" s="99"/>
      <c r="B181" s="92"/>
      <c r="C181" s="86"/>
      <c r="D181" s="86">
        <v>1</v>
      </c>
      <c r="E181" s="98"/>
      <c r="F181" s="92" t="s">
        <v>227</v>
      </c>
      <c r="G181" s="87">
        <v>1656</v>
      </c>
      <c r="H181" s="303">
        <v>1656</v>
      </c>
      <c r="I181" s="604">
        <v>414</v>
      </c>
      <c r="K181" s="14"/>
    </row>
    <row r="182" spans="1:11" ht="16.5" customHeight="1" x14ac:dyDescent="0.25">
      <c r="A182" s="99"/>
      <c r="B182" s="92"/>
      <c r="C182" s="86"/>
      <c r="D182" s="86">
        <v>2</v>
      </c>
      <c r="E182" s="98"/>
      <c r="F182" s="92" t="s">
        <v>228</v>
      </c>
      <c r="G182" s="87">
        <v>331</v>
      </c>
      <c r="H182" s="303">
        <v>331</v>
      </c>
      <c r="I182" s="604">
        <v>81</v>
      </c>
      <c r="K182" s="14"/>
    </row>
    <row r="183" spans="1:11" ht="16.5" customHeight="1" x14ac:dyDescent="0.25">
      <c r="A183" s="99"/>
      <c r="B183" s="92"/>
      <c r="C183" s="86"/>
      <c r="D183" s="86">
        <v>3</v>
      </c>
      <c r="E183" s="98"/>
      <c r="F183" s="246" t="s">
        <v>98</v>
      </c>
      <c r="G183" s="87">
        <v>2134</v>
      </c>
      <c r="H183" s="303">
        <v>2134</v>
      </c>
      <c r="I183" s="604">
        <v>1783</v>
      </c>
      <c r="K183" s="14"/>
    </row>
    <row r="184" spans="1:11" ht="16.5" customHeight="1" x14ac:dyDescent="0.25">
      <c r="A184" s="99"/>
      <c r="B184" s="92"/>
      <c r="C184" s="86"/>
      <c r="D184" s="17"/>
      <c r="E184" s="24"/>
      <c r="F184" s="108" t="s">
        <v>63</v>
      </c>
      <c r="G184" s="89">
        <f t="shared" ref="G184" si="55">SUM(G181:G183)</f>
        <v>4121</v>
      </c>
      <c r="H184" s="432">
        <f t="shared" ref="H184:I184" si="56">SUM(H181:H183)</f>
        <v>4121</v>
      </c>
      <c r="I184" s="605">
        <f t="shared" si="56"/>
        <v>2278</v>
      </c>
      <c r="K184" s="14"/>
    </row>
    <row r="185" spans="1:11" ht="16.5" customHeight="1" x14ac:dyDescent="0.25">
      <c r="A185" s="99"/>
      <c r="B185" s="92"/>
      <c r="C185" s="86"/>
      <c r="D185" s="17"/>
      <c r="E185" s="24"/>
      <c r="F185" s="108"/>
      <c r="G185" s="89"/>
      <c r="H185" s="303"/>
      <c r="I185" s="604"/>
      <c r="K185" s="14"/>
    </row>
    <row r="186" spans="1:11" ht="16.5" customHeight="1" x14ac:dyDescent="0.25">
      <c r="A186" s="99"/>
      <c r="B186" s="92"/>
      <c r="C186" s="86">
        <v>2</v>
      </c>
      <c r="D186" s="17"/>
      <c r="E186" s="24" t="s">
        <v>99</v>
      </c>
      <c r="F186" s="108"/>
      <c r="G186" s="89"/>
      <c r="H186" s="303"/>
      <c r="I186" s="604"/>
      <c r="K186" s="14"/>
    </row>
    <row r="187" spans="1:11" ht="16.5" customHeight="1" x14ac:dyDescent="0.25">
      <c r="A187" s="99"/>
      <c r="B187" s="92"/>
      <c r="C187" s="86"/>
      <c r="D187" s="86"/>
      <c r="E187" s="24"/>
      <c r="F187" s="92"/>
      <c r="G187" s="89"/>
      <c r="H187" s="303"/>
      <c r="I187" s="604"/>
      <c r="K187" s="14"/>
    </row>
    <row r="188" spans="1:11" ht="16.5" customHeight="1" x14ac:dyDescent="0.25">
      <c r="A188" s="99"/>
      <c r="B188" s="258">
        <v>24</v>
      </c>
      <c r="C188" s="17"/>
      <c r="D188" s="17"/>
      <c r="E188" s="24"/>
      <c r="F188" s="248" t="s">
        <v>365</v>
      </c>
      <c r="G188" s="88"/>
      <c r="H188" s="303"/>
      <c r="I188" s="604"/>
      <c r="J188" s="621"/>
      <c r="K188" s="14"/>
    </row>
    <row r="189" spans="1:11" ht="16.5" customHeight="1" x14ac:dyDescent="0.25">
      <c r="A189" s="99"/>
      <c r="B189" s="225"/>
      <c r="C189" s="86">
        <v>1</v>
      </c>
      <c r="D189" s="86"/>
      <c r="E189" s="24" t="s">
        <v>229</v>
      </c>
      <c r="F189" s="92"/>
      <c r="G189" s="88"/>
      <c r="H189" s="303"/>
      <c r="I189" s="604"/>
      <c r="J189" s="621"/>
      <c r="K189" s="14"/>
    </row>
    <row r="190" spans="1:11" ht="16.5" customHeight="1" x14ac:dyDescent="0.25">
      <c r="A190" s="99"/>
      <c r="B190" s="225"/>
      <c r="C190" s="86"/>
      <c r="D190" s="86">
        <v>3</v>
      </c>
      <c r="E190" s="98"/>
      <c r="F190" s="92" t="s">
        <v>98</v>
      </c>
      <c r="G190" s="42">
        <v>2540</v>
      </c>
      <c r="H190" s="303">
        <f>2540-2540+26154+500+700+500</f>
        <v>27854</v>
      </c>
      <c r="I190" s="604">
        <v>27684</v>
      </c>
      <c r="J190" s="621"/>
      <c r="K190" s="14"/>
    </row>
    <row r="191" spans="1:11" ht="16.5" customHeight="1" x14ac:dyDescent="0.25">
      <c r="A191" s="99"/>
      <c r="B191" s="225"/>
      <c r="C191" s="17"/>
      <c r="D191" s="17"/>
      <c r="E191" s="24"/>
      <c r="F191" s="108" t="s">
        <v>63</v>
      </c>
      <c r="G191" s="88">
        <f t="shared" ref="G191" si="57">+G190</f>
        <v>2540</v>
      </c>
      <c r="H191" s="432">
        <f t="shared" ref="H191:I191" si="58">+H190</f>
        <v>27854</v>
      </c>
      <c r="I191" s="432">
        <f t="shared" si="58"/>
        <v>27684</v>
      </c>
      <c r="J191" s="621"/>
      <c r="K191" s="14"/>
    </row>
    <row r="192" spans="1:11" ht="16.5" customHeight="1" x14ac:dyDescent="0.25">
      <c r="A192" s="99"/>
      <c r="B192" s="225"/>
      <c r="C192" s="17"/>
      <c r="D192" s="17"/>
      <c r="E192" s="24"/>
      <c r="F192" s="108"/>
      <c r="G192" s="88"/>
      <c r="H192" s="303"/>
      <c r="I192" s="303"/>
      <c r="J192" s="621"/>
      <c r="K192" s="14"/>
    </row>
    <row r="193" spans="1:11" ht="16.5" customHeight="1" x14ac:dyDescent="0.25">
      <c r="A193" s="99"/>
      <c r="B193" s="258">
        <v>25</v>
      </c>
      <c r="C193" s="17"/>
      <c r="D193" s="17"/>
      <c r="E193" s="24"/>
      <c r="F193" s="248" t="s">
        <v>368</v>
      </c>
      <c r="G193" s="88"/>
      <c r="H193" s="303"/>
      <c r="I193" s="303"/>
      <c r="J193" s="621"/>
      <c r="K193" s="14"/>
    </row>
    <row r="194" spans="1:11" ht="16.5" customHeight="1" x14ac:dyDescent="0.25">
      <c r="A194" s="99"/>
      <c r="B194" s="225"/>
      <c r="C194" s="86">
        <v>1</v>
      </c>
      <c r="D194" s="86"/>
      <c r="E194" s="24" t="s">
        <v>229</v>
      </c>
      <c r="F194" s="92"/>
      <c r="G194" s="88"/>
      <c r="H194" s="303"/>
      <c r="I194" s="303"/>
      <c r="J194" s="621"/>
      <c r="K194" s="14"/>
    </row>
    <row r="195" spans="1:11" ht="16.5" customHeight="1" x14ac:dyDescent="0.25">
      <c r="A195" s="99"/>
      <c r="B195" s="225"/>
      <c r="C195" s="86"/>
      <c r="D195" s="86">
        <v>3</v>
      </c>
      <c r="E195" s="98"/>
      <c r="F195" s="92" t="s">
        <v>98</v>
      </c>
      <c r="G195" s="42">
        <v>26154</v>
      </c>
      <c r="H195" s="303">
        <f>26154-26154+2540-600</f>
        <v>1940</v>
      </c>
      <c r="I195" s="303">
        <v>1534</v>
      </c>
      <c r="J195" s="621"/>
      <c r="K195" s="14"/>
    </row>
    <row r="196" spans="1:11" ht="16.5" customHeight="1" x14ac:dyDescent="0.25">
      <c r="A196" s="99"/>
      <c r="B196" s="225"/>
      <c r="C196" s="17"/>
      <c r="D196" s="17"/>
      <c r="E196" s="24"/>
      <c r="F196" s="108" t="s">
        <v>63</v>
      </c>
      <c r="G196" s="88">
        <f t="shared" ref="G196" si="59">SUM(G195)</f>
        <v>26154</v>
      </c>
      <c r="H196" s="432">
        <f t="shared" ref="H196:I196" si="60">SUM(H195)</f>
        <v>1940</v>
      </c>
      <c r="I196" s="432">
        <f t="shared" si="60"/>
        <v>1534</v>
      </c>
      <c r="J196" s="621"/>
      <c r="K196" s="14"/>
    </row>
    <row r="197" spans="1:11" ht="16.5" customHeight="1" x14ac:dyDescent="0.25">
      <c r="A197" s="99"/>
      <c r="B197" s="225"/>
      <c r="C197" s="17"/>
      <c r="D197" s="17"/>
      <c r="E197" s="24"/>
      <c r="F197" s="108"/>
      <c r="G197" s="88"/>
      <c r="H197" s="303"/>
      <c r="I197" s="303"/>
      <c r="J197" s="621"/>
      <c r="K197" s="14"/>
    </row>
    <row r="198" spans="1:11" ht="34.5" customHeight="1" x14ac:dyDescent="0.25">
      <c r="A198" s="99"/>
      <c r="B198" s="258">
        <v>26</v>
      </c>
      <c r="C198" s="17"/>
      <c r="D198" s="17"/>
      <c r="E198" s="24"/>
      <c r="F198" s="293" t="s">
        <v>399</v>
      </c>
      <c r="G198" s="88"/>
      <c r="H198" s="303"/>
      <c r="I198" s="303"/>
      <c r="J198" s="621"/>
      <c r="K198" s="14"/>
    </row>
    <row r="199" spans="1:11" ht="16.5" customHeight="1" x14ac:dyDescent="0.25">
      <c r="A199" s="99"/>
      <c r="B199" s="258"/>
      <c r="C199" s="17"/>
      <c r="D199" s="86">
        <v>1</v>
      </c>
      <c r="E199" s="98"/>
      <c r="F199" s="92" t="s">
        <v>227</v>
      </c>
      <c r="G199" s="42">
        <v>0</v>
      </c>
      <c r="H199" s="303">
        <v>0</v>
      </c>
      <c r="I199" s="303"/>
      <c r="J199" s="621"/>
      <c r="K199" s="14"/>
    </row>
    <row r="200" spans="1:11" ht="16.5" customHeight="1" x14ac:dyDescent="0.25">
      <c r="A200" s="99"/>
      <c r="B200" s="258"/>
      <c r="C200" s="17"/>
      <c r="D200" s="86">
        <v>2</v>
      </c>
      <c r="E200" s="98"/>
      <c r="F200" s="92" t="s">
        <v>228</v>
      </c>
      <c r="G200" s="42">
        <v>0</v>
      </c>
      <c r="H200" s="303">
        <v>0</v>
      </c>
      <c r="I200" s="303"/>
      <c r="J200" s="621"/>
      <c r="K200" s="14"/>
    </row>
    <row r="201" spans="1:11" ht="16.5" customHeight="1" x14ac:dyDescent="0.25">
      <c r="A201" s="99"/>
      <c r="B201" s="258"/>
      <c r="C201" s="17"/>
      <c r="D201" s="86">
        <v>3</v>
      </c>
      <c r="E201" s="98"/>
      <c r="F201" s="92" t="s">
        <v>98</v>
      </c>
      <c r="G201" s="42">
        <v>5220</v>
      </c>
      <c r="H201" s="303">
        <f>5220+300</f>
        <v>5520</v>
      </c>
      <c r="I201" s="303">
        <v>4751</v>
      </c>
      <c r="J201" s="621"/>
      <c r="K201" s="14"/>
    </row>
    <row r="202" spans="1:11" ht="16.5" customHeight="1" x14ac:dyDescent="0.25">
      <c r="A202" s="99"/>
      <c r="B202" s="258"/>
      <c r="C202" s="17"/>
      <c r="D202" s="17"/>
      <c r="E202" s="24"/>
      <c r="F202" s="108" t="s">
        <v>63</v>
      </c>
      <c r="G202" s="88">
        <f t="shared" ref="G202" si="61">SUM(G199:G201)</f>
        <v>5220</v>
      </c>
      <c r="H202" s="432">
        <f t="shared" ref="H202:I202" si="62">SUM(H199:H201)</f>
        <v>5520</v>
      </c>
      <c r="I202" s="432">
        <f t="shared" si="62"/>
        <v>4751</v>
      </c>
      <c r="J202" s="621"/>
      <c r="K202" s="14"/>
    </row>
    <row r="203" spans="1:11" ht="16.5" customHeight="1" x14ac:dyDescent="0.25">
      <c r="A203" s="99"/>
      <c r="B203" s="225"/>
      <c r="C203" s="17"/>
      <c r="D203" s="17"/>
      <c r="E203" s="24"/>
      <c r="F203" s="108"/>
      <c r="G203" s="88"/>
      <c r="H203" s="303"/>
      <c r="I203" s="303"/>
      <c r="J203" s="621"/>
      <c r="K203" s="14"/>
    </row>
    <row r="204" spans="1:11" ht="32.25" customHeight="1" x14ac:dyDescent="0.25">
      <c r="A204" s="99"/>
      <c r="B204" s="258">
        <v>27</v>
      </c>
      <c r="C204" s="17"/>
      <c r="D204" s="17"/>
      <c r="E204" s="24"/>
      <c r="F204" s="293" t="s">
        <v>398</v>
      </c>
      <c r="G204" s="88"/>
      <c r="H204" s="303"/>
      <c r="I204" s="303"/>
      <c r="J204" s="621"/>
      <c r="K204" s="14"/>
    </row>
    <row r="205" spans="1:11" ht="16.5" customHeight="1" x14ac:dyDescent="0.25">
      <c r="A205" s="99"/>
      <c r="B205" s="225"/>
      <c r="C205" s="86">
        <v>1</v>
      </c>
      <c r="D205" s="17"/>
      <c r="E205" s="24" t="s">
        <v>229</v>
      </c>
      <c r="F205" s="108"/>
      <c r="G205" s="88"/>
      <c r="H205" s="303"/>
      <c r="I205" s="303"/>
      <c r="J205" s="621"/>
      <c r="K205" s="14"/>
    </row>
    <row r="206" spans="1:11" ht="16.5" customHeight="1" x14ac:dyDescent="0.25">
      <c r="A206" s="99"/>
      <c r="B206" s="225"/>
      <c r="C206" s="17"/>
      <c r="D206" s="86">
        <v>1</v>
      </c>
      <c r="E206" s="98"/>
      <c r="F206" s="92" t="s">
        <v>227</v>
      </c>
      <c r="G206" s="42">
        <v>4720</v>
      </c>
      <c r="H206" s="303">
        <v>4720</v>
      </c>
      <c r="I206" s="303">
        <v>4651</v>
      </c>
      <c r="J206" s="621"/>
      <c r="K206" s="14"/>
    </row>
    <row r="207" spans="1:11" ht="16.5" customHeight="1" x14ac:dyDescent="0.25">
      <c r="A207" s="99"/>
      <c r="B207" s="225"/>
      <c r="C207" s="17"/>
      <c r="D207" s="86">
        <v>2</v>
      </c>
      <c r="E207" s="98"/>
      <c r="F207" s="92" t="s">
        <v>228</v>
      </c>
      <c r="G207" s="42">
        <v>944</v>
      </c>
      <c r="H207" s="303">
        <v>944</v>
      </c>
      <c r="I207" s="303">
        <v>926</v>
      </c>
      <c r="J207" s="621"/>
      <c r="K207" s="14"/>
    </row>
    <row r="208" spans="1:11" ht="16.5" customHeight="1" x14ac:dyDescent="0.25">
      <c r="A208" s="99"/>
      <c r="B208" s="225"/>
      <c r="C208" s="17"/>
      <c r="D208" s="86">
        <v>3</v>
      </c>
      <c r="E208" s="98"/>
      <c r="F208" s="246" t="s">
        <v>98</v>
      </c>
      <c r="G208" s="42">
        <v>5503</v>
      </c>
      <c r="H208" s="303">
        <f>5503+500+300</f>
        <v>6303</v>
      </c>
      <c r="I208" s="303">
        <v>6000</v>
      </c>
      <c r="J208" s="621"/>
      <c r="K208" s="14"/>
    </row>
    <row r="209" spans="1:11" ht="16.5" customHeight="1" x14ac:dyDescent="0.25">
      <c r="A209" s="99"/>
      <c r="B209" s="225"/>
      <c r="C209" s="17"/>
      <c r="D209" s="17"/>
      <c r="E209" s="24"/>
      <c r="F209" s="108" t="s">
        <v>63</v>
      </c>
      <c r="G209" s="88">
        <f t="shared" ref="G209" si="63">SUM(G206:G208)</f>
        <v>11167</v>
      </c>
      <c r="H209" s="432">
        <f t="shared" ref="H209:I209" si="64">SUM(H206:H208)</f>
        <v>11967</v>
      </c>
      <c r="I209" s="432">
        <f t="shared" si="64"/>
        <v>11577</v>
      </c>
      <c r="J209" s="621"/>
      <c r="K209" s="14"/>
    </row>
    <row r="210" spans="1:11" ht="16.5" customHeight="1" x14ac:dyDescent="0.25">
      <c r="A210" s="99"/>
      <c r="B210" s="225"/>
      <c r="C210" s="17"/>
      <c r="D210" s="17"/>
      <c r="E210" s="24"/>
      <c r="F210" s="108"/>
      <c r="G210" s="88"/>
      <c r="H210" s="303"/>
      <c r="I210" s="303"/>
      <c r="J210" s="621"/>
      <c r="K210" s="14"/>
    </row>
    <row r="211" spans="1:11" ht="16.5" customHeight="1" x14ac:dyDescent="0.25">
      <c r="A211" s="99"/>
      <c r="B211" s="225"/>
      <c r="C211" s="86">
        <v>2</v>
      </c>
      <c r="D211" s="17"/>
      <c r="E211" s="24" t="s">
        <v>99</v>
      </c>
      <c r="F211" s="108"/>
      <c r="G211" s="88"/>
      <c r="H211" s="303"/>
      <c r="I211" s="303"/>
      <c r="J211" s="621"/>
      <c r="K211" s="14"/>
    </row>
    <row r="212" spans="1:11" ht="16.5" customHeight="1" x14ac:dyDescent="0.25">
      <c r="A212" s="99"/>
      <c r="B212" s="225"/>
      <c r="C212" s="17"/>
      <c r="D212" s="17"/>
      <c r="E212" s="24"/>
      <c r="F212" s="108"/>
      <c r="G212" s="88"/>
      <c r="H212" s="303"/>
      <c r="I212" s="303"/>
      <c r="J212" s="621"/>
      <c r="K212" s="14"/>
    </row>
    <row r="213" spans="1:11" ht="16.5" customHeight="1" x14ac:dyDescent="0.25">
      <c r="A213" s="99"/>
      <c r="B213" s="258">
        <v>28</v>
      </c>
      <c r="C213" s="17"/>
      <c r="D213" s="17"/>
      <c r="E213" s="24"/>
      <c r="F213" s="248" t="s">
        <v>303</v>
      </c>
      <c r="G213" s="88"/>
      <c r="H213" s="303"/>
      <c r="I213" s="303"/>
      <c r="J213" s="621"/>
      <c r="K213" s="14"/>
    </row>
    <row r="214" spans="1:11" ht="16.5" customHeight="1" x14ac:dyDescent="0.25">
      <c r="A214" s="99"/>
      <c r="B214" s="258"/>
      <c r="C214" s="86">
        <v>1</v>
      </c>
      <c r="D214" s="17"/>
      <c r="E214" s="24" t="s">
        <v>229</v>
      </c>
      <c r="F214" s="108"/>
      <c r="G214" s="88"/>
      <c r="H214" s="303"/>
      <c r="I214" s="303"/>
      <c r="J214" s="621"/>
      <c r="K214" s="14"/>
    </row>
    <row r="215" spans="1:11" ht="16.5" customHeight="1" x14ac:dyDescent="0.25">
      <c r="A215" s="99"/>
      <c r="B215" s="258"/>
      <c r="C215" s="17"/>
      <c r="D215" s="86">
        <v>1</v>
      </c>
      <c r="E215" s="98"/>
      <c r="F215" s="92" t="s">
        <v>227</v>
      </c>
      <c r="G215" s="42">
        <v>2400</v>
      </c>
      <c r="H215" s="303">
        <f>2400+414</f>
        <v>2814</v>
      </c>
      <c r="I215" s="303">
        <v>2549</v>
      </c>
      <c r="J215" s="621"/>
      <c r="K215" s="14"/>
    </row>
    <row r="216" spans="1:11" ht="16.5" customHeight="1" x14ac:dyDescent="0.25">
      <c r="A216" s="99"/>
      <c r="B216" s="258"/>
      <c r="C216" s="17"/>
      <c r="D216" s="86">
        <v>2</v>
      </c>
      <c r="E216" s="98"/>
      <c r="F216" s="92" t="s">
        <v>228</v>
      </c>
      <c r="G216" s="42">
        <v>480</v>
      </c>
      <c r="H216" s="303">
        <f>480+81</f>
        <v>561</v>
      </c>
      <c r="I216" s="303">
        <v>508</v>
      </c>
      <c r="J216" s="621"/>
      <c r="K216" s="14"/>
    </row>
    <row r="217" spans="1:11" ht="16.5" customHeight="1" x14ac:dyDescent="0.25">
      <c r="A217" s="99"/>
      <c r="B217" s="258"/>
      <c r="C217" s="17"/>
      <c r="D217" s="86">
        <v>3</v>
      </c>
      <c r="E217" s="98"/>
      <c r="F217" s="246" t="s">
        <v>98</v>
      </c>
      <c r="G217" s="42">
        <v>1506</v>
      </c>
      <c r="H217" s="303">
        <v>1506</v>
      </c>
      <c r="I217" s="303">
        <v>1209</v>
      </c>
      <c r="J217" s="621"/>
      <c r="K217" s="14"/>
    </row>
    <row r="218" spans="1:11" ht="16.5" customHeight="1" x14ac:dyDescent="0.25">
      <c r="A218" s="99"/>
      <c r="B218" s="225"/>
      <c r="C218" s="86">
        <v>1</v>
      </c>
      <c r="D218" s="17"/>
      <c r="E218" s="24"/>
      <c r="F218" s="108" t="s">
        <v>63</v>
      </c>
      <c r="G218" s="88">
        <f t="shared" ref="G218" si="65">SUM(G215:G217)</f>
        <v>4386</v>
      </c>
      <c r="H218" s="432">
        <f t="shared" ref="H218:I218" si="66">SUM(H215:H217)</f>
        <v>4881</v>
      </c>
      <c r="I218" s="432">
        <f t="shared" si="66"/>
        <v>4266</v>
      </c>
      <c r="J218" s="621"/>
      <c r="K218" s="14"/>
    </row>
    <row r="219" spans="1:11" ht="16.5" customHeight="1" x14ac:dyDescent="0.25">
      <c r="A219" s="99"/>
      <c r="B219" s="225"/>
      <c r="C219" s="86"/>
      <c r="D219" s="17"/>
      <c r="E219" s="24"/>
      <c r="F219" s="108"/>
      <c r="G219" s="88"/>
      <c r="H219" s="303"/>
      <c r="I219" s="303"/>
      <c r="J219" s="621"/>
      <c r="K219" s="14"/>
    </row>
    <row r="220" spans="1:11" ht="16.5" customHeight="1" x14ac:dyDescent="0.25">
      <c r="A220" s="99"/>
      <c r="B220" s="225"/>
      <c r="C220" s="86">
        <v>2</v>
      </c>
      <c r="D220" s="17"/>
      <c r="E220" s="24" t="s">
        <v>99</v>
      </c>
      <c r="F220" s="108"/>
      <c r="G220" s="88"/>
      <c r="H220" s="303"/>
      <c r="I220" s="303"/>
      <c r="J220" s="621"/>
      <c r="K220" s="14"/>
    </row>
    <row r="221" spans="1:11" ht="16.5" customHeight="1" x14ac:dyDescent="0.25">
      <c r="A221" s="99"/>
      <c r="B221" s="225"/>
      <c r="C221" s="86"/>
      <c r="D221" s="86">
        <v>15</v>
      </c>
      <c r="E221" s="98"/>
      <c r="F221" s="92" t="s">
        <v>478</v>
      </c>
      <c r="G221" s="42">
        <v>228</v>
      </c>
      <c r="H221" s="303">
        <f>228+12</f>
        <v>240</v>
      </c>
      <c r="I221" s="303">
        <v>240</v>
      </c>
      <c r="J221" s="621"/>
      <c r="K221" s="14"/>
    </row>
    <row r="222" spans="1:11" ht="16.5" customHeight="1" x14ac:dyDescent="0.25">
      <c r="A222" s="99"/>
      <c r="B222" s="225"/>
      <c r="C222" s="86"/>
      <c r="D222" s="86">
        <v>13</v>
      </c>
      <c r="E222" s="24"/>
      <c r="F222" s="92" t="s">
        <v>476</v>
      </c>
      <c r="G222" s="42"/>
      <c r="H222" s="303">
        <f>20+25</f>
        <v>45</v>
      </c>
      <c r="I222" s="303">
        <v>48</v>
      </c>
      <c r="J222" s="621"/>
      <c r="K222" s="14"/>
    </row>
    <row r="223" spans="1:11" ht="16.5" customHeight="1" x14ac:dyDescent="0.25">
      <c r="A223" s="99"/>
      <c r="B223" s="225"/>
      <c r="C223" s="86"/>
      <c r="D223" s="86">
        <v>2</v>
      </c>
      <c r="E223" s="98"/>
      <c r="F223" s="92" t="s">
        <v>295</v>
      </c>
      <c r="G223" s="42">
        <v>62</v>
      </c>
      <c r="H223" s="303">
        <f>62+62-12-25</f>
        <v>87</v>
      </c>
      <c r="I223" s="303">
        <v>77</v>
      </c>
      <c r="J223" s="621"/>
      <c r="K223" s="14"/>
    </row>
    <row r="224" spans="1:11" ht="16.5" customHeight="1" x14ac:dyDescent="0.25">
      <c r="A224" s="99"/>
      <c r="B224" s="225"/>
      <c r="C224" s="86"/>
      <c r="D224" s="17"/>
      <c r="E224" s="24"/>
      <c r="F224" s="421" t="s">
        <v>63</v>
      </c>
      <c r="G224" s="88">
        <f t="shared" ref="G224" si="67">SUM(G221:G223)</f>
        <v>290</v>
      </c>
      <c r="H224" s="432">
        <f t="shared" ref="H224:I224" si="68">SUM(H221:H223)</f>
        <v>372</v>
      </c>
      <c r="I224" s="432">
        <f t="shared" si="68"/>
        <v>365</v>
      </c>
      <c r="J224" s="621"/>
      <c r="K224" s="14"/>
    </row>
    <row r="225" spans="1:11" ht="16.5" customHeight="1" x14ac:dyDescent="0.25">
      <c r="A225" s="99"/>
      <c r="B225" s="225"/>
      <c r="C225" s="86"/>
      <c r="D225" s="17"/>
      <c r="E225" s="24"/>
      <c r="F225" s="108"/>
      <c r="G225" s="88"/>
      <c r="H225" s="303"/>
      <c r="I225" s="303"/>
      <c r="J225" s="621"/>
      <c r="K225" s="14"/>
    </row>
    <row r="226" spans="1:11" ht="16.5" customHeight="1" x14ac:dyDescent="0.25">
      <c r="A226" s="99"/>
      <c r="B226" s="225"/>
      <c r="C226" s="86"/>
      <c r="D226" s="17"/>
      <c r="E226" s="24"/>
      <c r="F226" s="248" t="s">
        <v>101</v>
      </c>
      <c r="G226" s="88">
        <f t="shared" ref="G226" si="69">+G218+G224</f>
        <v>4676</v>
      </c>
      <c r="H226" s="432">
        <f t="shared" ref="H226:I226" si="70">+H218+H224</f>
        <v>5253</v>
      </c>
      <c r="I226" s="432">
        <f t="shared" si="70"/>
        <v>4631</v>
      </c>
      <c r="J226" s="621"/>
      <c r="K226" s="14"/>
    </row>
    <row r="227" spans="1:11" ht="16.5" customHeight="1" x14ac:dyDescent="0.25">
      <c r="A227" s="99"/>
      <c r="B227" s="225"/>
      <c r="C227" s="86"/>
      <c r="D227" s="17"/>
      <c r="E227" s="24"/>
      <c r="F227" s="108"/>
      <c r="G227" s="88"/>
      <c r="H227" s="303"/>
      <c r="I227" s="303"/>
      <c r="J227" s="621"/>
      <c r="K227" s="14"/>
    </row>
    <row r="228" spans="1:11" ht="16.5" customHeight="1" x14ac:dyDescent="0.25">
      <c r="A228" s="99"/>
      <c r="B228" s="258">
        <v>29</v>
      </c>
      <c r="C228" s="17"/>
      <c r="D228" s="17"/>
      <c r="E228" s="24"/>
      <c r="F228" s="248" t="s">
        <v>401</v>
      </c>
      <c r="G228" s="88"/>
      <c r="H228" s="303"/>
      <c r="I228" s="604"/>
      <c r="J228" s="621"/>
      <c r="K228" s="14"/>
    </row>
    <row r="229" spans="1:11" ht="16.5" customHeight="1" x14ac:dyDescent="0.25">
      <c r="A229" s="99"/>
      <c r="B229" s="225"/>
      <c r="C229" s="86">
        <v>1</v>
      </c>
      <c r="D229" s="86"/>
      <c r="E229" s="24" t="s">
        <v>97</v>
      </c>
      <c r="F229" s="92"/>
      <c r="G229" s="88"/>
      <c r="H229" s="303"/>
      <c r="I229" s="604"/>
      <c r="K229" s="14"/>
    </row>
    <row r="230" spans="1:11" ht="16.5" customHeight="1" x14ac:dyDescent="0.25">
      <c r="A230" s="99"/>
      <c r="B230" s="225"/>
      <c r="C230" s="86"/>
      <c r="D230" s="86">
        <v>10</v>
      </c>
      <c r="E230" s="24"/>
      <c r="F230" s="92" t="s">
        <v>480</v>
      </c>
      <c r="G230" s="42">
        <v>6153</v>
      </c>
      <c r="H230" s="303">
        <f>6153+4</f>
        <v>6157</v>
      </c>
      <c r="I230" s="604">
        <v>6157</v>
      </c>
      <c r="K230" s="14"/>
    </row>
    <row r="231" spans="1:11" ht="16.5" customHeight="1" x14ac:dyDescent="0.25">
      <c r="A231" s="99"/>
      <c r="B231" s="225"/>
      <c r="C231" s="86"/>
      <c r="D231" s="86">
        <v>3</v>
      </c>
      <c r="E231" s="24"/>
      <c r="F231" s="92" t="s">
        <v>1006</v>
      </c>
      <c r="G231" s="42"/>
      <c r="H231" s="303">
        <v>500</v>
      </c>
      <c r="I231" s="604">
        <v>188</v>
      </c>
      <c r="K231" s="14"/>
    </row>
    <row r="232" spans="1:11" ht="16.5" customHeight="1" x14ac:dyDescent="0.25">
      <c r="A232" s="99"/>
      <c r="B232" s="225"/>
      <c r="C232" s="17"/>
      <c r="D232" s="86">
        <v>8</v>
      </c>
      <c r="E232" s="98"/>
      <c r="F232" s="92" t="s">
        <v>86</v>
      </c>
      <c r="G232" s="42">
        <f>+'3. sz. m. (mód) '!F92</f>
        <v>125919</v>
      </c>
      <c r="H232" s="303">
        <f>+'3. sz. m. (mód) '!G92</f>
        <v>131015</v>
      </c>
      <c r="I232" s="604">
        <v>113332</v>
      </c>
      <c r="K232" s="14"/>
    </row>
    <row r="233" spans="1:11" ht="16.5" customHeight="1" x14ac:dyDescent="0.25">
      <c r="A233" s="99"/>
      <c r="B233" s="225"/>
      <c r="C233" s="17"/>
      <c r="D233" s="86">
        <v>11</v>
      </c>
      <c r="E233" s="98"/>
      <c r="F233" s="92" t="s">
        <v>500</v>
      </c>
      <c r="G233" s="42"/>
      <c r="H233" s="303">
        <v>30000</v>
      </c>
      <c r="I233" s="604">
        <v>30000</v>
      </c>
      <c r="K233" s="14"/>
    </row>
    <row r="234" spans="1:11" ht="16.5" customHeight="1" x14ac:dyDescent="0.25">
      <c r="A234" s="99"/>
      <c r="B234" s="225"/>
      <c r="C234" s="17"/>
      <c r="D234" s="86"/>
      <c r="E234" s="98"/>
      <c r="F234" s="92"/>
      <c r="G234" s="42"/>
      <c r="H234" s="303"/>
      <c r="I234" s="604"/>
      <c r="K234" s="14"/>
    </row>
    <row r="235" spans="1:11" ht="16.5" customHeight="1" x14ac:dyDescent="0.25">
      <c r="A235" s="99"/>
      <c r="B235" s="225"/>
      <c r="C235" s="17"/>
      <c r="D235" s="17"/>
      <c r="E235" s="24"/>
      <c r="F235" s="421" t="s">
        <v>63</v>
      </c>
      <c r="G235" s="88">
        <f>SUM(G230:G232)</f>
        <v>132072</v>
      </c>
      <c r="H235" s="432">
        <f t="shared" ref="H235:I235" si="71">SUM(H230:H233)</f>
        <v>167672</v>
      </c>
      <c r="I235" s="605">
        <f t="shared" si="71"/>
        <v>149677</v>
      </c>
      <c r="K235" s="14"/>
    </row>
    <row r="236" spans="1:11" ht="16.5" customHeight="1" x14ac:dyDescent="0.25">
      <c r="A236" s="99"/>
      <c r="B236" s="225"/>
      <c r="C236" s="17"/>
      <c r="D236" s="17"/>
      <c r="E236" s="24"/>
      <c r="F236" s="421"/>
      <c r="G236" s="88"/>
      <c r="H236" s="303"/>
      <c r="I236" s="604"/>
      <c r="K236" s="14"/>
    </row>
    <row r="237" spans="1:11" ht="16.5" customHeight="1" x14ac:dyDescent="0.25">
      <c r="A237" s="99"/>
      <c r="B237" s="225"/>
      <c r="C237" s="17">
        <v>2</v>
      </c>
      <c r="D237" s="17"/>
      <c r="E237" s="24" t="s">
        <v>99</v>
      </c>
      <c r="F237" s="421"/>
      <c r="G237" s="88"/>
      <c r="H237" s="303"/>
      <c r="I237" s="604"/>
      <c r="K237" s="14"/>
    </row>
    <row r="238" spans="1:11" ht="16.5" customHeight="1" x14ac:dyDescent="0.25">
      <c r="A238" s="99"/>
      <c r="B238" s="225"/>
      <c r="C238" s="17"/>
      <c r="D238" s="86">
        <v>17</v>
      </c>
      <c r="E238" s="98"/>
      <c r="F238" s="246" t="s">
        <v>86</v>
      </c>
      <c r="G238" s="42">
        <f>+'3. sz. m. (mód) '!F105</f>
        <v>279</v>
      </c>
      <c r="H238" s="303">
        <f>+'3. sz. m. (mód) '!G105</f>
        <v>1164</v>
      </c>
      <c r="I238" s="604">
        <v>1027</v>
      </c>
      <c r="K238" s="14"/>
    </row>
    <row r="239" spans="1:11" ht="16.5" customHeight="1" x14ac:dyDescent="0.25">
      <c r="A239" s="99"/>
      <c r="B239" s="225"/>
      <c r="C239" s="17"/>
      <c r="D239" s="86">
        <v>19</v>
      </c>
      <c r="E239" s="98"/>
      <c r="F239" s="246" t="s">
        <v>514</v>
      </c>
      <c r="G239" s="42"/>
      <c r="H239" s="303">
        <f>2600-500</f>
        <v>2100</v>
      </c>
      <c r="I239" s="604">
        <v>2055</v>
      </c>
      <c r="K239" s="14"/>
    </row>
    <row r="240" spans="1:11" ht="16.5" customHeight="1" x14ac:dyDescent="0.25">
      <c r="A240" s="99"/>
      <c r="B240" s="225"/>
      <c r="C240" s="17"/>
      <c r="D240" s="86"/>
      <c r="E240" s="98"/>
      <c r="F240" s="421" t="s">
        <v>63</v>
      </c>
      <c r="G240" s="42"/>
      <c r="H240" s="432">
        <f>SUM(H238:H239)</f>
        <v>3264</v>
      </c>
      <c r="I240" s="605">
        <f>SUM(I238:I239)</f>
        <v>3082</v>
      </c>
      <c r="J240" s="598"/>
      <c r="K240" s="14"/>
    </row>
    <row r="241" spans="1:11" ht="16.5" customHeight="1" x14ac:dyDescent="0.25">
      <c r="A241" s="99"/>
      <c r="B241" s="225"/>
      <c r="C241" s="17"/>
      <c r="D241" s="17"/>
      <c r="E241" s="24"/>
      <c r="F241" s="421"/>
      <c r="G241" s="88"/>
      <c r="H241" s="303"/>
      <c r="I241" s="604"/>
      <c r="K241" s="14"/>
    </row>
    <row r="242" spans="1:11" ht="16.5" customHeight="1" x14ac:dyDescent="0.25">
      <c r="A242" s="99"/>
      <c r="B242" s="225"/>
      <c r="C242" s="17"/>
      <c r="D242" s="17"/>
      <c r="E242" s="24"/>
      <c r="F242" s="421" t="s">
        <v>101</v>
      </c>
      <c r="G242" s="88">
        <f t="shared" ref="G242" si="72">+G235+G238</f>
        <v>132351</v>
      </c>
      <c r="H242" s="432">
        <f>+H235+H240</f>
        <v>170936</v>
      </c>
      <c r="I242" s="605">
        <f>+I235+I240</f>
        <v>152759</v>
      </c>
      <c r="K242" s="14"/>
    </row>
    <row r="243" spans="1:11" ht="16.5" customHeight="1" x14ac:dyDescent="0.25">
      <c r="A243" s="99"/>
      <c r="B243" s="225"/>
      <c r="C243" s="17"/>
      <c r="D243" s="17"/>
      <c r="E243" s="24"/>
      <c r="F243" s="108"/>
      <c r="G243" s="88"/>
      <c r="H243" s="303"/>
      <c r="I243" s="604"/>
      <c r="K243" s="14"/>
    </row>
    <row r="244" spans="1:11" ht="16.5" customHeight="1" x14ac:dyDescent="0.25">
      <c r="A244" s="99"/>
      <c r="B244" s="258">
        <v>30</v>
      </c>
      <c r="C244" s="17"/>
      <c r="D244" s="17"/>
      <c r="E244" s="24"/>
      <c r="F244" s="248" t="s">
        <v>164</v>
      </c>
      <c r="G244" s="88"/>
      <c r="H244" s="303"/>
      <c r="I244" s="604"/>
      <c r="K244" s="14"/>
    </row>
    <row r="245" spans="1:11" ht="16.5" customHeight="1" x14ac:dyDescent="0.25">
      <c r="A245" s="99"/>
      <c r="B245" s="258"/>
      <c r="C245" s="86">
        <v>1</v>
      </c>
      <c r="D245" s="17"/>
      <c r="E245" s="24" t="s">
        <v>97</v>
      </c>
      <c r="F245" s="108"/>
      <c r="G245" s="88"/>
      <c r="H245" s="303"/>
      <c r="I245" s="604"/>
      <c r="K245" s="14"/>
    </row>
    <row r="246" spans="1:11" ht="16.5" customHeight="1" x14ac:dyDescent="0.25">
      <c r="A246" s="99"/>
      <c r="B246" s="258"/>
      <c r="C246" s="17"/>
      <c r="D246" s="86">
        <v>1</v>
      </c>
      <c r="E246" s="98"/>
      <c r="F246" s="92" t="s">
        <v>227</v>
      </c>
      <c r="G246" s="42">
        <v>101825</v>
      </c>
      <c r="H246" s="303">
        <f>101825-36748-57727</f>
        <v>7350</v>
      </c>
      <c r="I246" s="604">
        <v>7168</v>
      </c>
      <c r="K246" s="14"/>
    </row>
    <row r="247" spans="1:11" ht="16.5" customHeight="1" x14ac:dyDescent="0.25">
      <c r="A247" s="99"/>
      <c r="B247" s="258"/>
      <c r="C247" s="17"/>
      <c r="D247" s="86">
        <v>2</v>
      </c>
      <c r="E247" s="98"/>
      <c r="F247" s="92" t="s">
        <v>228</v>
      </c>
      <c r="G247" s="42">
        <v>20395</v>
      </c>
      <c r="H247" s="303">
        <f>20395-7350-11545</f>
        <v>1500</v>
      </c>
      <c r="I247" s="604">
        <v>1259</v>
      </c>
      <c r="K247" s="14"/>
    </row>
    <row r="248" spans="1:11" ht="16.5" customHeight="1" x14ac:dyDescent="0.25">
      <c r="A248" s="99"/>
      <c r="B248" s="258"/>
      <c r="C248" s="17"/>
      <c r="D248" s="86">
        <v>3</v>
      </c>
      <c r="E248" s="98"/>
      <c r="F248" s="246" t="s">
        <v>98</v>
      </c>
      <c r="G248" s="42">
        <v>209863</v>
      </c>
      <c r="H248" s="303">
        <f>209863-119044-85034-100</f>
        <v>5685</v>
      </c>
      <c r="I248" s="604">
        <v>4557</v>
      </c>
      <c r="K248" s="14"/>
    </row>
    <row r="249" spans="1:11" ht="16.5" customHeight="1" x14ac:dyDescent="0.25">
      <c r="A249" s="99"/>
      <c r="B249" s="225"/>
      <c r="C249" s="86">
        <v>1</v>
      </c>
      <c r="D249" s="17"/>
      <c r="E249" s="24"/>
      <c r="F249" s="108" t="s">
        <v>63</v>
      </c>
      <c r="G249" s="88">
        <f t="shared" ref="G249" si="73">SUM(G246:G248)</f>
        <v>332083</v>
      </c>
      <c r="H249" s="432">
        <f t="shared" ref="H249:I249" si="74">SUM(H246:H248)</f>
        <v>14535</v>
      </c>
      <c r="I249" s="605">
        <f t="shared" si="74"/>
        <v>12984</v>
      </c>
      <c r="K249" s="14"/>
    </row>
    <row r="250" spans="1:11" ht="16.5" customHeight="1" x14ac:dyDescent="0.25">
      <c r="A250" s="99"/>
      <c r="B250" s="225"/>
      <c r="C250" s="86"/>
      <c r="D250" s="17"/>
      <c r="E250" s="24"/>
      <c r="F250" s="108"/>
      <c r="G250" s="88"/>
      <c r="H250" s="303"/>
      <c r="I250" s="604"/>
      <c r="K250" s="14"/>
    </row>
    <row r="251" spans="1:11" ht="16.5" customHeight="1" x14ac:dyDescent="0.25">
      <c r="A251" s="99"/>
      <c r="B251" s="225"/>
      <c r="C251" s="86">
        <v>2</v>
      </c>
      <c r="D251" s="17"/>
      <c r="E251" s="24" t="s">
        <v>99</v>
      </c>
      <c r="F251" s="108"/>
      <c r="G251" s="88"/>
      <c r="H251" s="303"/>
      <c r="I251" s="604"/>
      <c r="K251" s="14"/>
    </row>
    <row r="252" spans="1:11" ht="16.5" customHeight="1" x14ac:dyDescent="0.25">
      <c r="A252" s="99"/>
      <c r="B252" s="225"/>
      <c r="C252" s="86"/>
      <c r="D252" s="86">
        <v>4</v>
      </c>
      <c r="E252" s="24"/>
      <c r="F252" s="12" t="s">
        <v>463</v>
      </c>
      <c r="G252" s="42">
        <v>1851</v>
      </c>
      <c r="H252" s="303">
        <f>1851-1851</f>
        <v>0</v>
      </c>
      <c r="I252" s="604">
        <v>0</v>
      </c>
      <c r="K252" s="14"/>
    </row>
    <row r="253" spans="1:11" ht="16.5" customHeight="1" x14ac:dyDescent="0.25">
      <c r="A253" s="99"/>
      <c r="B253" s="225"/>
      <c r="C253" s="86"/>
      <c r="D253" s="86">
        <v>5</v>
      </c>
      <c r="E253" s="24"/>
      <c r="F253" s="92" t="s">
        <v>485</v>
      </c>
      <c r="G253" s="42">
        <v>1077</v>
      </c>
      <c r="H253" s="303">
        <f>1077-1077</f>
        <v>0</v>
      </c>
      <c r="I253" s="604">
        <v>0</v>
      </c>
      <c r="K253" s="14"/>
    </row>
    <row r="254" spans="1:11" ht="16.5" customHeight="1" x14ac:dyDescent="0.25">
      <c r="A254" s="99"/>
      <c r="B254" s="225"/>
      <c r="C254" s="86"/>
      <c r="D254" s="86">
        <v>2</v>
      </c>
      <c r="E254" s="98"/>
      <c r="F254" s="92" t="s">
        <v>295</v>
      </c>
      <c r="G254" s="42">
        <v>791</v>
      </c>
      <c r="H254" s="303">
        <f>791-500-291</f>
        <v>0</v>
      </c>
      <c r="I254" s="604">
        <v>0</v>
      </c>
      <c r="K254" s="14"/>
    </row>
    <row r="255" spans="1:11" ht="16.5" customHeight="1" x14ac:dyDescent="0.25">
      <c r="A255" s="99"/>
      <c r="B255" s="225"/>
      <c r="C255" s="86"/>
      <c r="D255" s="17"/>
      <c r="E255" s="24"/>
      <c r="F255" s="108" t="s">
        <v>63</v>
      </c>
      <c r="G255" s="88">
        <f t="shared" ref="G255" si="75">SUM(G252:G254)</f>
        <v>3719</v>
      </c>
      <c r="H255" s="432">
        <f t="shared" ref="H255" si="76">SUM(H252:H254)</f>
        <v>0</v>
      </c>
      <c r="I255" s="605">
        <v>0</v>
      </c>
      <c r="K255" s="14"/>
    </row>
    <row r="256" spans="1:11" ht="16.5" customHeight="1" x14ac:dyDescent="0.25">
      <c r="A256" s="99"/>
      <c r="B256" s="225"/>
      <c r="C256" s="86"/>
      <c r="D256" s="17"/>
      <c r="E256" s="24"/>
      <c r="F256" s="108"/>
      <c r="G256" s="88"/>
      <c r="H256" s="303"/>
      <c r="I256" s="604"/>
      <c r="K256" s="14"/>
    </row>
    <row r="257" spans="1:11" ht="16.5" customHeight="1" x14ac:dyDescent="0.25">
      <c r="A257" s="99"/>
      <c r="B257" s="225"/>
      <c r="C257" s="86"/>
      <c r="D257" s="17"/>
      <c r="E257" s="24"/>
      <c r="F257" s="248" t="s">
        <v>101</v>
      </c>
      <c r="G257" s="88">
        <f t="shared" ref="G257" si="77">+G249+G255</f>
        <v>335802</v>
      </c>
      <c r="H257" s="432">
        <f t="shared" ref="H257:I257" si="78">+H249+H255</f>
        <v>14535</v>
      </c>
      <c r="I257" s="605">
        <f t="shared" si="78"/>
        <v>12984</v>
      </c>
      <c r="K257" s="14"/>
    </row>
    <row r="258" spans="1:11" ht="16.5" customHeight="1" x14ac:dyDescent="0.25">
      <c r="A258" s="99"/>
      <c r="B258" s="225"/>
      <c r="C258" s="86"/>
      <c r="D258" s="17"/>
      <c r="E258" s="24"/>
      <c r="F258" s="108"/>
      <c r="G258" s="88"/>
      <c r="H258" s="303"/>
      <c r="I258" s="604"/>
      <c r="K258" s="14"/>
    </row>
    <row r="259" spans="1:11" ht="16.5" customHeight="1" x14ac:dyDescent="0.25">
      <c r="A259" s="99"/>
      <c r="B259" s="86">
        <v>31</v>
      </c>
      <c r="C259" s="86"/>
      <c r="D259" s="98"/>
      <c r="E259" s="98"/>
      <c r="F259" s="248" t="s">
        <v>308</v>
      </c>
      <c r="G259" s="88"/>
      <c r="H259" s="303"/>
      <c r="I259" s="604"/>
      <c r="K259" s="14"/>
    </row>
    <row r="260" spans="1:11" ht="16.5" customHeight="1" x14ac:dyDescent="0.25">
      <c r="A260" s="99"/>
      <c r="B260" s="86"/>
      <c r="C260" s="86">
        <v>1</v>
      </c>
      <c r="D260" s="86"/>
      <c r="E260" s="22" t="s">
        <v>97</v>
      </c>
      <c r="F260" s="294"/>
      <c r="G260" s="88"/>
      <c r="H260" s="303"/>
      <c r="I260" s="604"/>
      <c r="K260" s="14"/>
    </row>
    <row r="261" spans="1:11" ht="16.5" customHeight="1" x14ac:dyDescent="0.25">
      <c r="A261" s="99"/>
      <c r="B261" s="86"/>
      <c r="C261" s="86"/>
      <c r="D261" s="86">
        <v>1</v>
      </c>
      <c r="E261" s="98"/>
      <c r="F261" s="92" t="s">
        <v>227</v>
      </c>
      <c r="G261" s="42">
        <v>2400</v>
      </c>
      <c r="H261" s="303">
        <f>2400-500</f>
        <v>1900</v>
      </c>
      <c r="I261" s="604">
        <v>67</v>
      </c>
      <c r="K261" s="14"/>
    </row>
    <row r="262" spans="1:11" ht="16.5" customHeight="1" x14ac:dyDescent="0.25">
      <c r="A262" s="99"/>
      <c r="B262" s="86"/>
      <c r="C262" s="86"/>
      <c r="D262" s="86">
        <v>2</v>
      </c>
      <c r="E262" s="98"/>
      <c r="F262" s="92" t="s">
        <v>228</v>
      </c>
      <c r="G262" s="42">
        <v>480</v>
      </c>
      <c r="H262" s="303">
        <f>480-100</f>
        <v>380</v>
      </c>
      <c r="I262" s="604">
        <v>15</v>
      </c>
      <c r="K262" s="14"/>
    </row>
    <row r="263" spans="1:11" ht="16.5" customHeight="1" x14ac:dyDescent="0.25">
      <c r="A263" s="99"/>
      <c r="B263" s="86"/>
      <c r="C263" s="86"/>
      <c r="D263" s="86">
        <v>3</v>
      </c>
      <c r="E263" s="98"/>
      <c r="F263" s="92" t="s">
        <v>98</v>
      </c>
      <c r="G263" s="42">
        <v>1308</v>
      </c>
      <c r="H263" s="303">
        <f>1308+600+600</f>
        <v>2508</v>
      </c>
      <c r="I263" s="604">
        <v>2152</v>
      </c>
      <c r="K263" s="14"/>
    </row>
    <row r="264" spans="1:11" ht="16.5" customHeight="1" x14ac:dyDescent="0.25">
      <c r="A264" s="99"/>
      <c r="B264" s="86"/>
      <c r="C264" s="86"/>
      <c r="D264" s="86"/>
      <c r="E264" s="98"/>
      <c r="F264" s="421" t="s">
        <v>63</v>
      </c>
      <c r="G264" s="88">
        <f t="shared" ref="G264" si="79">SUM(G261:G263)</f>
        <v>4188</v>
      </c>
      <c r="H264" s="432">
        <f t="shared" ref="H264:I264" si="80">SUM(H261:H263)</f>
        <v>4788</v>
      </c>
      <c r="I264" s="605">
        <f t="shared" si="80"/>
        <v>2234</v>
      </c>
      <c r="K264" s="14"/>
    </row>
    <row r="265" spans="1:11" ht="16.5" customHeight="1" x14ac:dyDescent="0.25">
      <c r="A265" s="99"/>
      <c r="B265" s="225"/>
      <c r="C265" s="86"/>
      <c r="D265" s="17"/>
      <c r="E265" s="24"/>
      <c r="F265" s="108"/>
      <c r="G265" s="88"/>
      <c r="H265" s="303"/>
      <c r="I265" s="604"/>
      <c r="K265" s="14"/>
    </row>
    <row r="266" spans="1:11" ht="16.5" customHeight="1" x14ac:dyDescent="0.25">
      <c r="A266" s="99"/>
      <c r="B266" s="258">
        <v>35</v>
      </c>
      <c r="C266" s="86"/>
      <c r="D266" s="17"/>
      <c r="E266" s="24"/>
      <c r="F266" s="248" t="s">
        <v>42</v>
      </c>
      <c r="G266" s="88"/>
      <c r="H266" s="303"/>
      <c r="I266" s="604"/>
      <c r="K266" s="14"/>
    </row>
    <row r="267" spans="1:11" ht="16.5" customHeight="1" x14ac:dyDescent="0.25">
      <c r="A267" s="99"/>
      <c r="B267" s="225"/>
      <c r="C267" s="86">
        <v>1</v>
      </c>
      <c r="D267" s="17"/>
      <c r="E267" s="24" t="s">
        <v>97</v>
      </c>
      <c r="F267" s="108"/>
      <c r="G267" s="88"/>
      <c r="H267" s="303"/>
      <c r="I267" s="604"/>
      <c r="K267" s="14"/>
    </row>
    <row r="268" spans="1:11" ht="16.5" customHeight="1" x14ac:dyDescent="0.25">
      <c r="A268" s="99"/>
      <c r="B268" s="225"/>
      <c r="C268" s="86"/>
      <c r="D268" s="86">
        <v>3</v>
      </c>
      <c r="E268" s="24"/>
      <c r="F268" s="92" t="s">
        <v>98</v>
      </c>
      <c r="G268" s="88"/>
      <c r="H268" s="303">
        <f>3000+600</f>
        <v>3600</v>
      </c>
      <c r="I268" s="604">
        <v>3430</v>
      </c>
      <c r="K268" s="14"/>
    </row>
    <row r="269" spans="1:11" ht="16.5" customHeight="1" x14ac:dyDescent="0.25">
      <c r="A269" s="99"/>
      <c r="B269" s="225"/>
      <c r="C269" s="86"/>
      <c r="D269" s="17"/>
      <c r="E269" s="24"/>
      <c r="F269" s="108" t="s">
        <v>63</v>
      </c>
      <c r="G269" s="88"/>
      <c r="H269" s="432">
        <f>SUM(H268)</f>
        <v>3600</v>
      </c>
      <c r="I269" s="605">
        <f>SUM(I268)</f>
        <v>3430</v>
      </c>
      <c r="K269" s="14"/>
    </row>
    <row r="270" spans="1:11" ht="16.5" customHeight="1" x14ac:dyDescent="0.25">
      <c r="A270" s="99"/>
      <c r="B270" s="225"/>
      <c r="C270" s="86"/>
      <c r="D270" s="17"/>
      <c r="E270" s="24"/>
      <c r="F270" s="108"/>
      <c r="G270" s="88"/>
      <c r="H270" s="303"/>
      <c r="I270" s="604"/>
      <c r="K270" s="14"/>
    </row>
    <row r="271" spans="1:11" ht="31.5" customHeight="1" x14ac:dyDescent="0.25">
      <c r="A271" s="99"/>
      <c r="B271" s="258">
        <v>43</v>
      </c>
      <c r="C271" s="86"/>
      <c r="D271" s="17"/>
      <c r="E271" s="24"/>
      <c r="F271" s="414" t="s">
        <v>508</v>
      </c>
      <c r="G271" s="88"/>
      <c r="H271" s="303"/>
      <c r="I271" s="604"/>
      <c r="K271" s="14"/>
    </row>
    <row r="272" spans="1:11" ht="16.5" customHeight="1" x14ac:dyDescent="0.25">
      <c r="A272" s="99"/>
      <c r="B272" s="225"/>
      <c r="C272" s="86">
        <v>1</v>
      </c>
      <c r="D272" s="86"/>
      <c r="E272" s="22" t="s">
        <v>97</v>
      </c>
      <c r="F272" s="294"/>
      <c r="G272" s="88"/>
      <c r="H272" s="303"/>
      <c r="I272" s="604"/>
      <c r="K272" s="14"/>
    </row>
    <row r="273" spans="1:11" ht="16.5" customHeight="1" x14ac:dyDescent="0.25">
      <c r="A273" s="99"/>
      <c r="B273" s="225"/>
      <c r="C273" s="86"/>
      <c r="D273" s="86">
        <v>1</v>
      </c>
      <c r="E273" s="98"/>
      <c r="F273" s="92" t="s">
        <v>227</v>
      </c>
      <c r="G273" s="88"/>
      <c r="H273" s="303">
        <v>40000</v>
      </c>
      <c r="I273" s="604">
        <v>20413</v>
      </c>
      <c r="K273" s="14"/>
    </row>
    <row r="274" spans="1:11" ht="16.5" customHeight="1" x14ac:dyDescent="0.25">
      <c r="A274" s="99"/>
      <c r="B274" s="225"/>
      <c r="C274" s="86"/>
      <c r="D274" s="86">
        <v>2</v>
      </c>
      <c r="E274" s="98"/>
      <c r="F274" s="92" t="s">
        <v>228</v>
      </c>
      <c r="G274" s="88"/>
      <c r="H274" s="303">
        <v>7800</v>
      </c>
      <c r="I274" s="604">
        <v>3997</v>
      </c>
      <c r="K274" s="14"/>
    </row>
    <row r="275" spans="1:11" ht="16.5" customHeight="1" x14ac:dyDescent="0.25">
      <c r="A275" s="99"/>
      <c r="B275" s="225"/>
      <c r="C275" s="86"/>
      <c r="D275" s="86">
        <v>3</v>
      </c>
      <c r="E275" s="98"/>
      <c r="F275" s="92" t="s">
        <v>98</v>
      </c>
      <c r="G275" s="88"/>
      <c r="H275" s="303">
        <f>111048-280</f>
        <v>110768</v>
      </c>
      <c r="I275" s="604">
        <v>22248</v>
      </c>
      <c r="K275" s="14"/>
    </row>
    <row r="276" spans="1:11" ht="16.5" customHeight="1" x14ac:dyDescent="0.25">
      <c r="A276" s="99"/>
      <c r="B276" s="225"/>
      <c r="C276" s="86"/>
      <c r="D276" s="86">
        <v>4</v>
      </c>
      <c r="E276" s="98"/>
      <c r="F276" s="92" t="s">
        <v>316</v>
      </c>
      <c r="G276" s="88"/>
      <c r="H276" s="303">
        <v>280</v>
      </c>
      <c r="I276" s="604">
        <v>280</v>
      </c>
      <c r="K276" s="14"/>
    </row>
    <row r="277" spans="1:11" ht="16.5" customHeight="1" x14ac:dyDescent="0.25">
      <c r="A277" s="99"/>
      <c r="B277" s="225"/>
      <c r="C277" s="86"/>
      <c r="D277" s="17"/>
      <c r="E277" s="24"/>
      <c r="F277" s="108" t="s">
        <v>63</v>
      </c>
      <c r="G277" s="88"/>
      <c r="H277" s="432">
        <f>SUM(H273:H276)</f>
        <v>158848</v>
      </c>
      <c r="I277" s="605">
        <f>SUM(I273:I276)</f>
        <v>46938</v>
      </c>
      <c r="K277" s="14"/>
    </row>
    <row r="278" spans="1:11" ht="16.5" customHeight="1" x14ac:dyDescent="0.25">
      <c r="A278" s="99"/>
      <c r="B278" s="225"/>
      <c r="C278" s="86"/>
      <c r="D278" s="17"/>
      <c r="E278" s="24"/>
      <c r="F278" s="108"/>
      <c r="G278" s="88"/>
      <c r="H278" s="303"/>
      <c r="I278" s="604"/>
      <c r="K278" s="14"/>
    </row>
    <row r="279" spans="1:11" ht="16.5" customHeight="1" x14ac:dyDescent="0.25">
      <c r="A279" s="99"/>
      <c r="B279" s="225"/>
      <c r="C279" s="86">
        <v>2</v>
      </c>
      <c r="D279" s="17"/>
      <c r="E279" s="24" t="s">
        <v>99</v>
      </c>
      <c r="F279" s="108"/>
      <c r="G279" s="88"/>
      <c r="H279" s="303"/>
      <c r="I279" s="604"/>
      <c r="K279" s="14"/>
    </row>
    <row r="280" spans="1:11" ht="16.5" customHeight="1" x14ac:dyDescent="0.25">
      <c r="A280" s="99"/>
      <c r="B280" s="225"/>
      <c r="C280" s="86"/>
      <c r="D280" s="86">
        <v>4</v>
      </c>
      <c r="E280" s="98"/>
      <c r="F280" s="92" t="s">
        <v>1004</v>
      </c>
      <c r="G280" s="88"/>
      <c r="H280" s="303">
        <v>1851</v>
      </c>
      <c r="I280" s="604">
        <v>327</v>
      </c>
      <c r="K280" s="14"/>
    </row>
    <row r="281" spans="1:11" ht="16.5" customHeight="1" x14ac:dyDescent="0.25">
      <c r="A281" s="99"/>
      <c r="B281" s="225"/>
      <c r="C281" s="86"/>
      <c r="D281" s="86">
        <v>2</v>
      </c>
      <c r="E281" s="98"/>
      <c r="F281" s="92" t="s">
        <v>295</v>
      </c>
      <c r="G281" s="88"/>
      <c r="H281" s="303">
        <v>500</v>
      </c>
      <c r="I281" s="604">
        <v>89</v>
      </c>
      <c r="K281" s="14"/>
    </row>
    <row r="282" spans="1:11" ht="16.5" customHeight="1" x14ac:dyDescent="0.25">
      <c r="A282" s="99"/>
      <c r="B282" s="225"/>
      <c r="C282" s="86"/>
      <c r="D282" s="17"/>
      <c r="E282" s="24"/>
      <c r="F282" s="108" t="s">
        <v>63</v>
      </c>
      <c r="G282" s="88"/>
      <c r="H282" s="432">
        <f>SUM(H280:H281)</f>
        <v>2351</v>
      </c>
      <c r="I282" s="605">
        <f>SUM(I280:I281)</f>
        <v>416</v>
      </c>
      <c r="K282" s="14"/>
    </row>
    <row r="283" spans="1:11" ht="16.5" customHeight="1" x14ac:dyDescent="0.25">
      <c r="A283" s="99"/>
      <c r="B283" s="225"/>
      <c r="C283" s="86"/>
      <c r="D283" s="17"/>
      <c r="E283" s="24"/>
      <c r="F283" s="108"/>
      <c r="G283" s="88"/>
      <c r="H283" s="303"/>
      <c r="I283" s="604"/>
      <c r="K283" s="14"/>
    </row>
    <row r="284" spans="1:11" ht="16.5" customHeight="1" x14ac:dyDescent="0.25">
      <c r="A284" s="99"/>
      <c r="B284" s="225"/>
      <c r="C284" s="86"/>
      <c r="D284" s="17"/>
      <c r="E284" s="24"/>
      <c r="F284" s="248" t="s">
        <v>101</v>
      </c>
      <c r="G284" s="88"/>
      <c r="H284" s="432">
        <f>+H277+H282</f>
        <v>161199</v>
      </c>
      <c r="I284" s="605">
        <f>+I277+I282</f>
        <v>47354</v>
      </c>
      <c r="K284" s="14"/>
    </row>
    <row r="285" spans="1:11" ht="16.5" customHeight="1" x14ac:dyDescent="0.25">
      <c r="A285" s="99"/>
      <c r="B285" s="225"/>
      <c r="C285" s="86"/>
      <c r="D285" s="17"/>
      <c r="E285" s="24"/>
      <c r="F285" s="108"/>
      <c r="G285" s="88"/>
      <c r="H285" s="303"/>
      <c r="I285" s="604"/>
      <c r="K285" s="14"/>
    </row>
    <row r="286" spans="1:11" ht="33.75" customHeight="1" x14ac:dyDescent="0.25">
      <c r="A286" s="99"/>
      <c r="B286" s="258">
        <v>44</v>
      </c>
      <c r="C286" s="86"/>
      <c r="D286" s="17"/>
      <c r="E286" s="22"/>
      <c r="F286" s="415" t="s">
        <v>509</v>
      </c>
      <c r="G286" s="88"/>
      <c r="H286" s="303"/>
      <c r="I286" s="604"/>
      <c r="K286" s="14"/>
    </row>
    <row r="287" spans="1:11" ht="16.5" customHeight="1" x14ac:dyDescent="0.25">
      <c r="A287" s="99"/>
      <c r="B287" s="225"/>
      <c r="C287" s="86">
        <v>1</v>
      </c>
      <c r="D287" s="86"/>
      <c r="E287" s="22" t="s">
        <v>97</v>
      </c>
      <c r="F287" s="294"/>
      <c r="G287" s="88"/>
      <c r="H287" s="303"/>
      <c r="I287" s="604"/>
      <c r="K287" s="14"/>
    </row>
    <row r="288" spans="1:11" ht="16.5" customHeight="1" x14ac:dyDescent="0.25">
      <c r="A288" s="99"/>
      <c r="B288" s="225"/>
      <c r="C288" s="86"/>
      <c r="D288" s="86">
        <v>1</v>
      </c>
      <c r="E288" s="98"/>
      <c r="F288" s="92" t="s">
        <v>227</v>
      </c>
      <c r="G288" s="88"/>
      <c r="H288" s="303">
        <v>36600</v>
      </c>
      <c r="I288" s="604">
        <v>20210</v>
      </c>
      <c r="K288" s="14"/>
    </row>
    <row r="289" spans="1:11" ht="16.5" customHeight="1" x14ac:dyDescent="0.25">
      <c r="A289" s="99"/>
      <c r="B289" s="225"/>
      <c r="C289" s="86"/>
      <c r="D289" s="86">
        <v>2</v>
      </c>
      <c r="E289" s="98"/>
      <c r="F289" s="92" t="s">
        <v>228</v>
      </c>
      <c r="G289" s="88"/>
      <c r="H289" s="303">
        <v>7320</v>
      </c>
      <c r="I289" s="604">
        <v>3725</v>
      </c>
      <c r="K289" s="14"/>
    </row>
    <row r="290" spans="1:11" ht="16.5" customHeight="1" x14ac:dyDescent="0.25">
      <c r="A290" s="99"/>
      <c r="B290" s="225"/>
      <c r="C290" s="86"/>
      <c r="D290" s="86">
        <v>3</v>
      </c>
      <c r="E290" s="98"/>
      <c r="F290" s="92" t="s">
        <v>98</v>
      </c>
      <c r="G290" s="88"/>
      <c r="H290" s="303">
        <f>109090-816</f>
        <v>108274</v>
      </c>
      <c r="I290" s="604">
        <v>42832</v>
      </c>
      <c r="K290" s="14"/>
    </row>
    <row r="291" spans="1:11" ht="16.5" customHeight="1" x14ac:dyDescent="0.25">
      <c r="A291" s="99"/>
      <c r="B291" s="225"/>
      <c r="C291" s="86"/>
      <c r="D291" s="86">
        <v>4</v>
      </c>
      <c r="E291" s="98"/>
      <c r="F291" s="92" t="s">
        <v>316</v>
      </c>
      <c r="G291" s="88"/>
      <c r="H291" s="303">
        <v>816</v>
      </c>
      <c r="I291" s="604">
        <v>816</v>
      </c>
      <c r="K291" s="14"/>
    </row>
    <row r="292" spans="1:11" ht="16.5" customHeight="1" x14ac:dyDescent="0.25">
      <c r="A292" s="99"/>
      <c r="B292" s="225"/>
      <c r="C292" s="86"/>
      <c r="D292" s="17"/>
      <c r="E292" s="24"/>
      <c r="F292" s="108" t="s">
        <v>63</v>
      </c>
      <c r="G292" s="88"/>
      <c r="H292" s="432">
        <f>SUM(H288:H291)</f>
        <v>153010</v>
      </c>
      <c r="I292" s="605">
        <f>SUM(I288:I291)</f>
        <v>67583</v>
      </c>
      <c r="K292" s="14"/>
    </row>
    <row r="293" spans="1:11" ht="16.5" customHeight="1" x14ac:dyDescent="0.25">
      <c r="A293" s="99"/>
      <c r="B293" s="225"/>
      <c r="C293" s="86"/>
      <c r="D293" s="17"/>
      <c r="E293" s="24"/>
      <c r="F293" s="108"/>
      <c r="G293" s="88"/>
      <c r="H293" s="303"/>
      <c r="I293" s="604"/>
      <c r="K293" s="14"/>
    </row>
    <row r="294" spans="1:11" ht="16.5" customHeight="1" x14ac:dyDescent="0.25">
      <c r="A294" s="99"/>
      <c r="B294" s="225"/>
      <c r="C294" s="86">
        <v>2</v>
      </c>
      <c r="D294" s="17"/>
      <c r="E294" s="24" t="s">
        <v>99</v>
      </c>
      <c r="F294" s="108"/>
      <c r="G294" s="88"/>
      <c r="H294" s="303"/>
      <c r="I294" s="604"/>
      <c r="K294" s="14"/>
    </row>
    <row r="295" spans="1:11" ht="16.5" customHeight="1" x14ac:dyDescent="0.25">
      <c r="A295" s="99"/>
      <c r="B295" s="225"/>
      <c r="C295" s="86"/>
      <c r="D295" s="86">
        <v>5</v>
      </c>
      <c r="E295" s="24"/>
      <c r="F295" s="92" t="s">
        <v>1005</v>
      </c>
      <c r="G295" s="88"/>
      <c r="H295" s="303">
        <v>1077</v>
      </c>
      <c r="I295" s="604">
        <v>818</v>
      </c>
      <c r="K295" s="14"/>
    </row>
    <row r="296" spans="1:11" ht="16.5" customHeight="1" x14ac:dyDescent="0.25">
      <c r="A296" s="99"/>
      <c r="B296" s="225"/>
      <c r="C296" s="86"/>
      <c r="D296" s="86">
        <v>2</v>
      </c>
      <c r="E296" s="98"/>
      <c r="F296" s="92" t="s">
        <v>295</v>
      </c>
      <c r="G296" s="88"/>
      <c r="H296" s="303">
        <v>291</v>
      </c>
      <c r="I296" s="604">
        <v>221</v>
      </c>
      <c r="K296" s="14"/>
    </row>
    <row r="297" spans="1:11" ht="16.5" customHeight="1" x14ac:dyDescent="0.25">
      <c r="A297" s="99"/>
      <c r="B297" s="225"/>
      <c r="C297" s="86"/>
      <c r="D297" s="17"/>
      <c r="E297" s="24"/>
      <c r="F297" s="108" t="s">
        <v>63</v>
      </c>
      <c r="G297" s="88"/>
      <c r="H297" s="432">
        <f>SUM(H295:H296)</f>
        <v>1368</v>
      </c>
      <c r="I297" s="605">
        <f>SUM(I295:I296)</f>
        <v>1039</v>
      </c>
      <c r="K297" s="14"/>
    </row>
    <row r="298" spans="1:11" ht="16.5" customHeight="1" x14ac:dyDescent="0.25">
      <c r="A298" s="99"/>
      <c r="B298" s="225"/>
      <c r="C298" s="86"/>
      <c r="D298" s="17"/>
      <c r="E298" s="24"/>
      <c r="F298" s="108"/>
      <c r="G298" s="88"/>
      <c r="H298" s="303"/>
      <c r="I298" s="604"/>
      <c r="K298" s="14"/>
    </row>
    <row r="299" spans="1:11" ht="16.5" customHeight="1" x14ac:dyDescent="0.25">
      <c r="A299" s="40"/>
      <c r="B299" s="258"/>
      <c r="C299" s="86"/>
      <c r="D299" s="17"/>
      <c r="E299" s="24"/>
      <c r="F299" s="248" t="s">
        <v>101</v>
      </c>
      <c r="G299" s="42"/>
      <c r="H299" s="432">
        <f>+H292+H297</f>
        <v>154378</v>
      </c>
      <c r="I299" s="605">
        <f>+I292+I297</f>
        <v>68622</v>
      </c>
      <c r="K299" s="14"/>
    </row>
    <row r="300" spans="1:11" ht="16.5" customHeight="1" x14ac:dyDescent="0.25">
      <c r="A300" s="40"/>
      <c r="B300" s="92"/>
      <c r="C300" s="86">
        <v>1</v>
      </c>
      <c r="D300" s="86"/>
      <c r="E300" s="24" t="s">
        <v>102</v>
      </c>
      <c r="F300" s="92"/>
      <c r="G300" s="87"/>
      <c r="H300" s="303"/>
      <c r="I300" s="604"/>
      <c r="K300" s="14"/>
    </row>
    <row r="301" spans="1:11" ht="16.5" customHeight="1" x14ac:dyDescent="0.25">
      <c r="A301" s="40"/>
      <c r="B301" s="92"/>
      <c r="C301" s="86"/>
      <c r="D301" s="86">
        <v>1</v>
      </c>
      <c r="E301" s="98"/>
      <c r="F301" s="92" t="s">
        <v>227</v>
      </c>
      <c r="G301" s="87">
        <f>+G35+G141+G162+G181+G206+G215+G246+G261+G199</f>
        <v>124051</v>
      </c>
      <c r="H301" s="303">
        <f>+H35+H141+H162+H181+H206+H215+H246+H261+H199+H273+H288+H54</f>
        <v>132499</v>
      </c>
      <c r="I301" s="604">
        <f>+I35+I141+I162+I181+I206+I215+I246+I261+I199+I273+I288+I54</f>
        <v>79639</v>
      </c>
      <c r="K301" s="14"/>
    </row>
    <row r="302" spans="1:11" ht="16.5" customHeight="1" x14ac:dyDescent="0.25">
      <c r="A302" s="40"/>
      <c r="B302" s="92"/>
      <c r="C302" s="86"/>
      <c r="D302" s="86">
        <v>2</v>
      </c>
      <c r="E302" s="98"/>
      <c r="F302" s="92" t="s">
        <v>228</v>
      </c>
      <c r="G302" s="87">
        <f>+G36+G142+G163+G182+G207+G216+G247+G262+G200</f>
        <v>23931</v>
      </c>
      <c r="H302" s="303">
        <f>+H36+H142+H163+H182+H207+H216+H247+H262+H200+H274+H289+H55</f>
        <v>22757</v>
      </c>
      <c r="I302" s="604">
        <f>+I36+I142+I163+I182+I207+I216+I247+I262+I200+I274+I289+I55</f>
        <v>12907</v>
      </c>
      <c r="K302" s="14"/>
    </row>
    <row r="303" spans="1:11" ht="16.5" customHeight="1" x14ac:dyDescent="0.25">
      <c r="A303" s="40"/>
      <c r="B303" s="92"/>
      <c r="C303" s="86"/>
      <c r="D303" s="86">
        <v>3</v>
      </c>
      <c r="E303" s="98"/>
      <c r="F303" s="246" t="s">
        <v>98</v>
      </c>
      <c r="G303" s="87">
        <f>+G22+G37+G93+G98+G164+G171+G183+G190+G201+G208+G217+G248+G263+G195+G143+G86+G80+G56+G9</f>
        <v>313862</v>
      </c>
      <c r="H303" s="303">
        <f>+H22+H37+H93+H98+H164+H171+H183+H190+H201+H208+H217+H248+H263+H195+H143+H86+H80+H56+H9+H268+H275+H290+H113+H231+H102</f>
        <v>343467</v>
      </c>
      <c r="I303" s="604">
        <f>+I22+I37+I93+I98+I164+I171+I183+I190+I201+I208+I217+I248+I263+I195+I143+I86+I80+I56+I9+I268+I275+I290+I113+I231+I102</f>
        <v>295624</v>
      </c>
      <c r="K303" s="14"/>
    </row>
    <row r="304" spans="1:11" ht="16.5" customHeight="1" x14ac:dyDescent="0.25">
      <c r="A304" s="40"/>
      <c r="B304" s="92"/>
      <c r="C304" s="86"/>
      <c r="D304" s="86">
        <v>4</v>
      </c>
      <c r="E304" s="98"/>
      <c r="F304" s="92" t="s">
        <v>316</v>
      </c>
      <c r="G304" s="87">
        <f>SUM(G114:G122)</f>
        <v>8330</v>
      </c>
      <c r="H304" s="303">
        <f>SUM(H114:H123)+H108+H276+H291+H103</f>
        <v>10485</v>
      </c>
      <c r="I304" s="604">
        <f>SUM(I114:I123)+I108+I276+I291+I103</f>
        <v>8667</v>
      </c>
      <c r="K304" s="14"/>
    </row>
    <row r="305" spans="1:14" ht="16.5" customHeight="1" x14ac:dyDescent="0.25">
      <c r="A305" s="40"/>
      <c r="B305" s="92"/>
      <c r="C305" s="86"/>
      <c r="D305" s="86">
        <v>5</v>
      </c>
      <c r="E305" s="98"/>
      <c r="F305" s="92" t="s">
        <v>230</v>
      </c>
      <c r="G305" s="87">
        <f>+G176+G38+G124</f>
        <v>4570</v>
      </c>
      <c r="H305" s="303">
        <f>+H176+H38+H124</f>
        <v>4870</v>
      </c>
      <c r="I305" s="604">
        <f>+I176+I38+I124</f>
        <v>3557</v>
      </c>
      <c r="K305" s="14"/>
    </row>
    <row r="306" spans="1:14" ht="16.5" customHeight="1" x14ac:dyDescent="0.25">
      <c r="A306" s="40"/>
      <c r="B306" s="92"/>
      <c r="C306" s="86"/>
      <c r="D306" s="86">
        <v>6</v>
      </c>
      <c r="E306" s="98"/>
      <c r="F306" s="246" t="s">
        <v>233</v>
      </c>
      <c r="G306" s="87">
        <v>0</v>
      </c>
      <c r="H306" s="303">
        <v>0</v>
      </c>
      <c r="I306" s="604">
        <v>0</v>
      </c>
      <c r="K306" s="14"/>
    </row>
    <row r="307" spans="1:14" ht="16.5" customHeight="1" x14ac:dyDescent="0.25">
      <c r="A307" s="40"/>
      <c r="B307" s="92"/>
      <c r="C307" s="86"/>
      <c r="D307" s="86">
        <v>7</v>
      </c>
      <c r="E307" s="98"/>
      <c r="F307" s="246" t="s">
        <v>112</v>
      </c>
      <c r="G307" s="87">
        <v>0</v>
      </c>
      <c r="H307" s="303">
        <v>0</v>
      </c>
      <c r="I307" s="604">
        <v>0</v>
      </c>
      <c r="K307" s="14"/>
    </row>
    <row r="308" spans="1:14" ht="16.5" customHeight="1" x14ac:dyDescent="0.25">
      <c r="A308" s="40"/>
      <c r="B308" s="92"/>
      <c r="C308" s="86"/>
      <c r="D308" s="86">
        <v>8</v>
      </c>
      <c r="E308" s="98"/>
      <c r="F308" s="92" t="s">
        <v>86</v>
      </c>
      <c r="G308" s="87">
        <f>+G232</f>
        <v>125919</v>
      </c>
      <c r="H308" s="303">
        <f>+H232</f>
        <v>131015</v>
      </c>
      <c r="I308" s="604">
        <f>+I232</f>
        <v>113332</v>
      </c>
      <c r="K308" s="14"/>
    </row>
    <row r="309" spans="1:14" ht="16.5" customHeight="1" x14ac:dyDescent="0.25">
      <c r="A309" s="40"/>
      <c r="B309" s="92"/>
      <c r="C309" s="86"/>
      <c r="D309" s="86">
        <v>9</v>
      </c>
      <c r="E309" s="98"/>
      <c r="F309" s="92" t="s">
        <v>378</v>
      </c>
      <c r="G309" s="87">
        <f>+G39</f>
        <v>2000</v>
      </c>
      <c r="H309" s="303">
        <f>+H39</f>
        <v>2300</v>
      </c>
      <c r="I309" s="604">
        <f>+I39</f>
        <v>2200</v>
      </c>
      <c r="K309" s="14"/>
    </row>
    <row r="310" spans="1:14" ht="16.5" customHeight="1" x14ac:dyDescent="0.25">
      <c r="A310" s="40"/>
      <c r="B310" s="92"/>
      <c r="C310" s="86"/>
      <c r="D310" s="86">
        <v>10</v>
      </c>
      <c r="E310" s="98"/>
      <c r="F310" s="92" t="s">
        <v>480</v>
      </c>
      <c r="G310" s="87">
        <f>+G230</f>
        <v>6153</v>
      </c>
      <c r="H310" s="303">
        <f>+H230</f>
        <v>6157</v>
      </c>
      <c r="I310" s="604">
        <f>+I230</f>
        <v>6157</v>
      </c>
      <c r="K310" s="14"/>
    </row>
    <row r="311" spans="1:14" ht="16.5" customHeight="1" x14ac:dyDescent="0.25">
      <c r="A311" s="40"/>
      <c r="B311" s="92"/>
      <c r="C311" s="86"/>
      <c r="D311" s="86">
        <v>11</v>
      </c>
      <c r="E311" s="98"/>
      <c r="F311" s="92" t="s">
        <v>500</v>
      </c>
      <c r="G311" s="87"/>
      <c r="H311" s="303">
        <f>+H233</f>
        <v>30000</v>
      </c>
      <c r="I311" s="604">
        <f>+I233</f>
        <v>30000</v>
      </c>
      <c r="K311" s="14"/>
    </row>
    <row r="312" spans="1:14" ht="16.5" customHeight="1" x14ac:dyDescent="0.25">
      <c r="A312" s="99"/>
      <c r="B312" s="92"/>
      <c r="C312" s="86"/>
      <c r="D312" s="86"/>
      <c r="E312" s="98"/>
      <c r="F312" s="421" t="s">
        <v>63</v>
      </c>
      <c r="G312" s="89">
        <f>SUM(G301:G310)</f>
        <v>608816</v>
      </c>
      <c r="H312" s="432">
        <f t="shared" ref="H312:I312" si="81">SUM(H301:H311)</f>
        <v>683550</v>
      </c>
      <c r="I312" s="605">
        <f t="shared" si="81"/>
        <v>552083</v>
      </c>
      <c r="K312" s="14"/>
      <c r="L312" s="14"/>
      <c r="M312" s="12">
        <v>1</v>
      </c>
      <c r="N312" s="12" t="s">
        <v>459</v>
      </c>
    </row>
    <row r="313" spans="1:14" ht="16.5" customHeight="1" x14ac:dyDescent="0.25">
      <c r="A313" s="40"/>
      <c r="B313" s="92"/>
      <c r="C313" s="86"/>
      <c r="D313" s="86"/>
      <c r="E313" s="98"/>
      <c r="F313" s="92"/>
      <c r="G313" s="87"/>
      <c r="H313" s="303"/>
      <c r="I313" s="604"/>
      <c r="K313" s="14"/>
      <c r="M313" s="12">
        <v>2</v>
      </c>
      <c r="N313" s="12" t="s">
        <v>295</v>
      </c>
    </row>
    <row r="314" spans="1:14" ht="16.5" customHeight="1" x14ac:dyDescent="0.25">
      <c r="A314" s="40"/>
      <c r="B314" s="92"/>
      <c r="C314" s="86">
        <v>2</v>
      </c>
      <c r="D314" s="86"/>
      <c r="E314" s="24" t="s">
        <v>103</v>
      </c>
      <c r="F314" s="92"/>
      <c r="G314" s="87"/>
      <c r="H314" s="303"/>
      <c r="I314" s="604"/>
      <c r="K314" s="14"/>
      <c r="M314" s="12">
        <v>3</v>
      </c>
      <c r="N314" s="12" t="s">
        <v>460</v>
      </c>
    </row>
    <row r="315" spans="1:14" ht="16.5" customHeight="1" x14ac:dyDescent="0.25">
      <c r="A315" s="40"/>
      <c r="B315" s="92"/>
      <c r="C315" s="86"/>
      <c r="D315" s="86">
        <v>1</v>
      </c>
      <c r="E315" s="24"/>
      <c r="F315" s="92" t="s">
        <v>474</v>
      </c>
      <c r="G315" s="87">
        <f>+G14</f>
        <v>360207</v>
      </c>
      <c r="H315" s="303">
        <f>+H14</f>
        <v>360387</v>
      </c>
      <c r="I315" s="604">
        <f>+I14</f>
        <v>321590</v>
      </c>
      <c r="K315" s="14"/>
      <c r="M315" s="12">
        <v>4</v>
      </c>
      <c r="N315" s="12" t="s">
        <v>463</v>
      </c>
    </row>
    <row r="316" spans="1:14" ht="16.5" customHeight="1" x14ac:dyDescent="0.25">
      <c r="A316" s="40"/>
      <c r="B316" s="92"/>
      <c r="C316" s="86"/>
      <c r="D316" s="86">
        <v>2</v>
      </c>
      <c r="E316" s="24"/>
      <c r="F316" s="92" t="s">
        <v>295</v>
      </c>
      <c r="G316" s="87">
        <f>+G254+G223+G62+G43+G15</f>
        <v>148551</v>
      </c>
      <c r="H316" s="303">
        <f>+H254+H223+H62+H43+H15+H148+H281+H296</f>
        <v>149530</v>
      </c>
      <c r="I316" s="604">
        <f>+I254+I223+I62+I43+I15+I148+I281+I296</f>
        <v>1355</v>
      </c>
      <c r="K316" s="14"/>
      <c r="M316" s="12">
        <v>5</v>
      </c>
      <c r="N316" s="12" t="s">
        <v>464</v>
      </c>
    </row>
    <row r="317" spans="1:14" ht="16.5" customHeight="1" x14ac:dyDescent="0.25">
      <c r="A317" s="40"/>
      <c r="B317" s="92"/>
      <c r="C317" s="86"/>
      <c r="D317" s="86">
        <v>4</v>
      </c>
      <c r="E317" s="98"/>
      <c r="F317" s="92" t="s">
        <v>1016</v>
      </c>
      <c r="G317" s="87">
        <f>+G252</f>
        <v>1851</v>
      </c>
      <c r="H317" s="303">
        <f>+H252+H280</f>
        <v>1851</v>
      </c>
      <c r="I317" s="604">
        <f>+I252+I280</f>
        <v>327</v>
      </c>
      <c r="K317" s="14"/>
      <c r="M317" s="12">
        <v>6</v>
      </c>
      <c r="N317" s="12" t="s">
        <v>465</v>
      </c>
    </row>
    <row r="318" spans="1:14" ht="16.5" customHeight="1" x14ac:dyDescent="0.25">
      <c r="A318" s="40"/>
      <c r="B318" s="92"/>
      <c r="C318" s="86"/>
      <c r="D318" s="86">
        <v>5</v>
      </c>
      <c r="E318" s="98"/>
      <c r="F318" s="92" t="s">
        <v>1017</v>
      </c>
      <c r="G318" s="87">
        <f>+G253</f>
        <v>1077</v>
      </c>
      <c r="H318" s="303">
        <f>+H253+H295</f>
        <v>1077</v>
      </c>
      <c r="I318" s="604">
        <f>+I253+I295</f>
        <v>818</v>
      </c>
      <c r="K318" s="14"/>
      <c r="M318" s="12">
        <v>7</v>
      </c>
      <c r="N318" s="12" t="s">
        <v>466</v>
      </c>
    </row>
    <row r="319" spans="1:14" ht="16.5" customHeight="1" x14ac:dyDescent="0.25">
      <c r="A319" s="40"/>
      <c r="B319" s="92"/>
      <c r="C319" s="86"/>
      <c r="D319" s="86">
        <v>7</v>
      </c>
      <c r="E319" s="24"/>
      <c r="F319" s="92" t="s">
        <v>466</v>
      </c>
      <c r="G319" s="87">
        <f>+G42</f>
        <v>467</v>
      </c>
      <c r="H319" s="303">
        <f>+H42</f>
        <v>447</v>
      </c>
      <c r="I319" s="604">
        <f>+I42</f>
        <v>402</v>
      </c>
      <c r="K319" s="14"/>
      <c r="M319" s="12">
        <v>8</v>
      </c>
      <c r="N319" s="12" t="s">
        <v>467</v>
      </c>
    </row>
    <row r="320" spans="1:14" ht="16.5" customHeight="1" x14ac:dyDescent="0.25">
      <c r="A320" s="40"/>
      <c r="B320" s="92"/>
      <c r="C320" s="86"/>
      <c r="D320" s="86">
        <v>8</v>
      </c>
      <c r="E320" s="24"/>
      <c r="F320" s="92" t="s">
        <v>467</v>
      </c>
      <c r="G320" s="87">
        <f>+G61</f>
        <v>101028</v>
      </c>
      <c r="H320" s="303">
        <f>+H61</f>
        <v>101028</v>
      </c>
      <c r="I320" s="604">
        <f>+I61</f>
        <v>101028</v>
      </c>
      <c r="K320" s="14"/>
      <c r="M320" s="12">
        <v>9</v>
      </c>
      <c r="N320" s="12" t="s">
        <v>468</v>
      </c>
    </row>
    <row r="321" spans="1:14" ht="16.5" customHeight="1" x14ac:dyDescent="0.25">
      <c r="A321" s="40"/>
      <c r="B321" s="92"/>
      <c r="C321" s="86"/>
      <c r="D321" s="86">
        <v>11</v>
      </c>
      <c r="E321" s="24"/>
      <c r="F321" s="92" t="s">
        <v>472</v>
      </c>
      <c r="G321" s="87">
        <f>+G63</f>
        <v>85128</v>
      </c>
      <c r="H321" s="303">
        <f>+H63</f>
        <v>85128</v>
      </c>
      <c r="I321" s="604">
        <f>+I63</f>
        <v>0</v>
      </c>
      <c r="K321" s="14"/>
    </row>
    <row r="322" spans="1:14" ht="16.5" customHeight="1" x14ac:dyDescent="0.25">
      <c r="A322" s="40"/>
      <c r="B322" s="92"/>
      <c r="C322" s="86"/>
      <c r="D322" s="86">
        <v>13</v>
      </c>
      <c r="E322" s="24"/>
      <c r="F322" s="92" t="s">
        <v>476</v>
      </c>
      <c r="G322" s="87">
        <f>+G64</f>
        <v>200</v>
      </c>
      <c r="H322" s="303">
        <f>+H64+H222</f>
        <v>745</v>
      </c>
      <c r="I322" s="604">
        <f>+I64+I222</f>
        <v>781</v>
      </c>
      <c r="K322" s="14"/>
    </row>
    <row r="323" spans="1:14" ht="16.5" customHeight="1" x14ac:dyDescent="0.25">
      <c r="A323" s="40"/>
      <c r="B323" s="92"/>
      <c r="C323" s="86"/>
      <c r="D323" s="86">
        <v>14</v>
      </c>
      <c r="E323" s="24"/>
      <c r="F323" s="92" t="s">
        <v>477</v>
      </c>
      <c r="G323" s="87">
        <f>+G65</f>
        <v>500</v>
      </c>
      <c r="H323" s="303">
        <f>+H65</f>
        <v>500</v>
      </c>
      <c r="I323" s="604">
        <f>+I65</f>
        <v>500</v>
      </c>
      <c r="K323" s="14"/>
    </row>
    <row r="324" spans="1:14" ht="16.5" customHeight="1" x14ac:dyDescent="0.25">
      <c r="A324" s="40"/>
      <c r="B324" s="92"/>
      <c r="C324" s="86"/>
      <c r="D324" s="86">
        <v>15</v>
      </c>
      <c r="E324" s="24"/>
      <c r="F324" s="92" t="s">
        <v>478</v>
      </c>
      <c r="G324" s="87">
        <f>+G221</f>
        <v>228</v>
      </c>
      <c r="H324" s="303">
        <f>+H221</f>
        <v>240</v>
      </c>
      <c r="I324" s="604">
        <f>+I221</f>
        <v>240</v>
      </c>
      <c r="K324" s="14"/>
    </row>
    <row r="325" spans="1:14" ht="16.5" customHeight="1" x14ac:dyDescent="0.25">
      <c r="A325" s="40"/>
      <c r="B325" s="92"/>
      <c r="C325" s="86"/>
      <c r="D325" s="86">
        <v>17</v>
      </c>
      <c r="E325" s="98"/>
      <c r="F325" s="246" t="s">
        <v>86</v>
      </c>
      <c r="G325" s="87">
        <f>+G238</f>
        <v>279</v>
      </c>
      <c r="H325" s="303">
        <f>+H238</f>
        <v>1164</v>
      </c>
      <c r="I325" s="604">
        <f>+I238</f>
        <v>1027</v>
      </c>
      <c r="K325" s="14"/>
      <c r="M325" s="12">
        <v>10</v>
      </c>
      <c r="N325" s="12" t="s">
        <v>469</v>
      </c>
    </row>
    <row r="326" spans="1:14" ht="16.5" customHeight="1" x14ac:dyDescent="0.25">
      <c r="A326" s="40"/>
      <c r="B326" s="92"/>
      <c r="C326" s="86"/>
      <c r="D326" s="86">
        <v>18</v>
      </c>
      <c r="E326" s="98"/>
      <c r="F326" s="246" t="s">
        <v>491</v>
      </c>
      <c r="G326" s="87"/>
      <c r="H326" s="303">
        <f>+H147</f>
        <v>3534</v>
      </c>
      <c r="I326" s="604">
        <f>+I147</f>
        <v>2448</v>
      </c>
      <c r="K326" s="14"/>
    </row>
    <row r="327" spans="1:14" ht="16.5" customHeight="1" x14ac:dyDescent="0.25">
      <c r="A327" s="40"/>
      <c r="B327" s="92"/>
      <c r="C327" s="86"/>
      <c r="D327" s="86">
        <v>19</v>
      </c>
      <c r="E327" s="98"/>
      <c r="F327" s="246" t="s">
        <v>514</v>
      </c>
      <c r="G327" s="87"/>
      <c r="H327" s="303">
        <f>+H239</f>
        <v>2100</v>
      </c>
      <c r="I327" s="604">
        <f>+I239</f>
        <v>2055</v>
      </c>
      <c r="K327" s="14"/>
    </row>
    <row r="328" spans="1:14" ht="16.5" customHeight="1" x14ac:dyDescent="0.25">
      <c r="A328" s="40"/>
      <c r="B328" s="92"/>
      <c r="C328" s="86"/>
      <c r="D328" s="86"/>
      <c r="E328" s="98"/>
      <c r="F328" s="108" t="s">
        <v>63</v>
      </c>
      <c r="G328" s="89">
        <f>SUM(G315:G325)</f>
        <v>699516</v>
      </c>
      <c r="H328" s="432">
        <f>SUM(H315:H327)</f>
        <v>707731</v>
      </c>
      <c r="I328" s="605">
        <f>SUM(I315:I327)</f>
        <v>432571</v>
      </c>
      <c r="K328" s="14"/>
      <c r="M328" s="12">
        <v>11</v>
      </c>
      <c r="N328" s="12" t="s">
        <v>470</v>
      </c>
    </row>
    <row r="329" spans="1:14" ht="16.5" customHeight="1" x14ac:dyDescent="0.25">
      <c r="A329" s="40"/>
      <c r="B329" s="92"/>
      <c r="C329" s="86"/>
      <c r="D329" s="86"/>
      <c r="E329" s="98"/>
      <c r="F329" s="108"/>
      <c r="G329" s="89"/>
      <c r="H329" s="303"/>
      <c r="I329" s="604"/>
      <c r="K329" s="14"/>
      <c r="M329" s="12">
        <v>12</v>
      </c>
      <c r="N329" s="12" t="s">
        <v>471</v>
      </c>
    </row>
    <row r="330" spans="1:14" ht="16.5" customHeight="1" x14ac:dyDescent="0.25">
      <c r="A330" s="40"/>
      <c r="B330" s="92"/>
      <c r="C330" s="86">
        <v>2</v>
      </c>
      <c r="D330" s="86"/>
      <c r="E330" s="24" t="s">
        <v>232</v>
      </c>
      <c r="F330" s="92"/>
      <c r="G330" s="89"/>
      <c r="H330" s="303"/>
      <c r="I330" s="604"/>
      <c r="K330" s="14"/>
      <c r="M330" s="12">
        <v>13</v>
      </c>
      <c r="N330" s="12" t="s">
        <v>476</v>
      </c>
    </row>
    <row r="331" spans="1:14" ht="16.5" customHeight="1" x14ac:dyDescent="0.25">
      <c r="A331" s="40"/>
      <c r="B331" s="92"/>
      <c r="C331" s="86"/>
      <c r="D331" s="86">
        <v>2</v>
      </c>
      <c r="E331" s="98"/>
      <c r="F331" s="92" t="s">
        <v>295</v>
      </c>
      <c r="G331" s="87">
        <f>+G27+G47+G73+G223</f>
        <v>37597</v>
      </c>
      <c r="H331" s="303">
        <f>+H27+H47+H73+H153</f>
        <v>40935</v>
      </c>
      <c r="I331" s="604">
        <f>+I27+I47+I73+I153</f>
        <v>21940</v>
      </c>
      <c r="K331" s="14"/>
      <c r="M331" s="12">
        <v>14</v>
      </c>
      <c r="N331" s="12" t="s">
        <v>477</v>
      </c>
    </row>
    <row r="332" spans="1:14" ht="16.5" customHeight="1" x14ac:dyDescent="0.25">
      <c r="A332" s="40"/>
      <c r="B332" s="92"/>
      <c r="C332" s="86"/>
      <c r="D332" s="86">
        <v>3</v>
      </c>
      <c r="E332" s="98"/>
      <c r="F332" s="92" t="s">
        <v>460</v>
      </c>
      <c r="G332" s="87">
        <f>+G26</f>
        <v>13900</v>
      </c>
      <c r="H332" s="303">
        <f>+H26</f>
        <v>13900</v>
      </c>
      <c r="I332" s="604">
        <f>+I26</f>
        <v>15300</v>
      </c>
      <c r="J332" s="598"/>
      <c r="K332" s="14"/>
      <c r="M332" s="12">
        <v>15</v>
      </c>
      <c r="N332" s="12" t="s">
        <v>478</v>
      </c>
    </row>
    <row r="333" spans="1:14" ht="16.5" customHeight="1" x14ac:dyDescent="0.25">
      <c r="A333" s="40"/>
      <c r="B333" s="92"/>
      <c r="C333" s="86"/>
      <c r="D333" s="86">
        <v>9</v>
      </c>
      <c r="E333" s="98"/>
      <c r="F333" s="92" t="s">
        <v>473</v>
      </c>
      <c r="G333" s="87">
        <f t="shared" ref="G333:I336" si="82">+G69</f>
        <v>52532</v>
      </c>
      <c r="H333" s="303">
        <f t="shared" si="82"/>
        <v>52532</v>
      </c>
      <c r="I333" s="604">
        <f t="shared" si="82"/>
        <v>53562</v>
      </c>
      <c r="J333" s="598"/>
      <c r="K333" s="14"/>
      <c r="M333" s="12">
        <v>16</v>
      </c>
      <c r="N333" s="12" t="s">
        <v>479</v>
      </c>
    </row>
    <row r="334" spans="1:14" ht="16.5" customHeight="1" x14ac:dyDescent="0.25">
      <c r="A334" s="40"/>
      <c r="B334" s="92"/>
      <c r="C334" s="86"/>
      <c r="D334" s="86">
        <v>10</v>
      </c>
      <c r="E334" s="98"/>
      <c r="F334" s="92" t="s">
        <v>469</v>
      </c>
      <c r="G334" s="87">
        <f t="shared" si="82"/>
        <v>14694</v>
      </c>
      <c r="H334" s="303">
        <f t="shared" si="82"/>
        <v>14694</v>
      </c>
      <c r="I334" s="604">
        <f t="shared" si="82"/>
        <v>14694</v>
      </c>
      <c r="J334" s="598"/>
      <c r="K334" s="14"/>
    </row>
    <row r="335" spans="1:14" ht="16.5" customHeight="1" x14ac:dyDescent="0.25">
      <c r="A335" s="40"/>
      <c r="B335" s="92"/>
      <c r="C335" s="86"/>
      <c r="D335" s="86">
        <v>12</v>
      </c>
      <c r="E335" s="98"/>
      <c r="F335" s="92" t="s">
        <v>475</v>
      </c>
      <c r="G335" s="87">
        <f t="shared" si="82"/>
        <v>14455</v>
      </c>
      <c r="H335" s="303">
        <f t="shared" si="82"/>
        <v>14455</v>
      </c>
      <c r="I335" s="604">
        <f t="shared" si="82"/>
        <v>14305</v>
      </c>
      <c r="J335" s="598"/>
      <c r="K335" s="14"/>
    </row>
    <row r="336" spans="1:14" ht="16.5" customHeight="1" x14ac:dyDescent="0.25">
      <c r="A336" s="40"/>
      <c r="B336" s="92"/>
      <c r="C336" s="86"/>
      <c r="D336" s="86">
        <v>16</v>
      </c>
      <c r="E336" s="98"/>
      <c r="F336" s="92" t="s">
        <v>479</v>
      </c>
      <c r="G336" s="87">
        <f t="shared" si="82"/>
        <v>28902</v>
      </c>
      <c r="H336" s="303">
        <f t="shared" si="82"/>
        <v>26302</v>
      </c>
      <c r="I336" s="604">
        <f t="shared" si="82"/>
        <v>0</v>
      </c>
      <c r="J336" s="598"/>
      <c r="K336" s="14"/>
    </row>
    <row r="337" spans="1:11" ht="16.5" customHeight="1" x14ac:dyDescent="0.25">
      <c r="A337" s="40"/>
      <c r="B337" s="92"/>
      <c r="C337" s="86"/>
      <c r="D337" s="86">
        <v>6</v>
      </c>
      <c r="E337" s="98"/>
      <c r="F337" s="92" t="s">
        <v>376</v>
      </c>
      <c r="G337" s="87">
        <f>+G46</f>
        <v>1233</v>
      </c>
      <c r="H337" s="303">
        <f>+H46</f>
        <v>1233</v>
      </c>
      <c r="I337" s="604">
        <f>+I46</f>
        <v>1205</v>
      </c>
      <c r="J337" s="598"/>
      <c r="K337" s="14"/>
    </row>
    <row r="338" spans="1:11" ht="16.5" customHeight="1" x14ac:dyDescent="0.25">
      <c r="A338" s="40"/>
      <c r="B338" s="92"/>
      <c r="C338" s="86"/>
      <c r="D338" s="86">
        <v>18</v>
      </c>
      <c r="E338" s="24"/>
      <c r="F338" s="92" t="s">
        <v>492</v>
      </c>
      <c r="G338" s="87"/>
      <c r="H338" s="303">
        <f>+H152</f>
        <v>1480</v>
      </c>
      <c r="I338" s="604">
        <f>+I152</f>
        <v>2513</v>
      </c>
      <c r="J338" s="598"/>
      <c r="K338" s="14"/>
    </row>
    <row r="339" spans="1:11" ht="16.5" customHeight="1" x14ac:dyDescent="0.25">
      <c r="A339" s="40"/>
      <c r="B339" s="92"/>
      <c r="C339" s="86"/>
      <c r="D339" s="86">
        <v>20</v>
      </c>
      <c r="E339" s="24"/>
      <c r="F339" s="92" t="s">
        <v>517</v>
      </c>
      <c r="G339" s="87"/>
      <c r="H339" s="303">
        <f>+H28</f>
        <v>12000</v>
      </c>
      <c r="I339" s="604">
        <f>+I28</f>
        <v>0</v>
      </c>
      <c r="J339" s="598"/>
      <c r="K339" s="14"/>
    </row>
    <row r="340" spans="1:11" ht="16.5" customHeight="1" x14ac:dyDescent="0.25">
      <c r="A340" s="40"/>
      <c r="B340" s="92"/>
      <c r="C340" s="86"/>
      <c r="D340" s="86"/>
      <c r="E340" s="24"/>
      <c r="F340" s="92" t="s">
        <v>231</v>
      </c>
      <c r="G340" s="89">
        <f>SUM(G331:G337)</f>
        <v>163313</v>
      </c>
      <c r="H340" s="432">
        <f>SUM(H331:H339)</f>
        <v>177531</v>
      </c>
      <c r="I340" s="605">
        <f t="shared" ref="I340" si="83">SUM(I331:I338)</f>
        <v>123519</v>
      </c>
      <c r="J340" s="598"/>
      <c r="K340" s="14"/>
    </row>
    <row r="341" spans="1:11" ht="16.5" customHeight="1" x14ac:dyDescent="0.25">
      <c r="A341" s="40"/>
      <c r="B341" s="92"/>
      <c r="C341" s="86"/>
      <c r="D341" s="86"/>
      <c r="E341" s="24" t="s">
        <v>253</v>
      </c>
      <c r="F341" s="92"/>
      <c r="G341" s="89">
        <f>+G312+G328+G340</f>
        <v>1471645</v>
      </c>
      <c r="H341" s="89">
        <f>+H312+H328+H340</f>
        <v>1568812</v>
      </c>
      <c r="I341" s="605">
        <f>+I312+I328+I340</f>
        <v>1108173</v>
      </c>
      <c r="J341" s="598"/>
      <c r="K341" s="14"/>
    </row>
    <row r="342" spans="1:11" ht="16.5" customHeight="1" thickBot="1" x14ac:dyDescent="0.3">
      <c r="A342" s="71"/>
      <c r="E342" s="26"/>
      <c r="G342" s="205"/>
      <c r="H342" s="446"/>
      <c r="I342" s="617"/>
      <c r="J342" s="598"/>
      <c r="K342" s="14"/>
    </row>
    <row r="343" spans="1:11" ht="19.5" customHeight="1" thickTop="1" thickBot="1" x14ac:dyDescent="0.3">
      <c r="A343" s="259">
        <v>2</v>
      </c>
      <c r="B343" s="101"/>
      <c r="C343" s="101"/>
      <c r="D343" s="101"/>
      <c r="E343" s="102"/>
      <c r="F343" s="102" t="s">
        <v>79</v>
      </c>
      <c r="G343" s="286"/>
      <c r="H343" s="382"/>
      <c r="I343" s="619"/>
      <c r="K343" s="14"/>
    </row>
    <row r="344" spans="1:11" ht="16.5" customHeight="1" thickTop="1" x14ac:dyDescent="0.25">
      <c r="A344" s="6"/>
      <c r="E344" s="26"/>
      <c r="G344" s="205"/>
      <c r="H344" s="383"/>
      <c r="I344" s="616"/>
      <c r="K344" s="14"/>
    </row>
    <row r="345" spans="1:11" ht="16.5" customHeight="1" x14ac:dyDescent="0.25">
      <c r="A345" s="40"/>
      <c r="B345" s="86">
        <v>30</v>
      </c>
      <c r="C345" s="86"/>
      <c r="D345" s="86"/>
      <c r="E345" s="98"/>
      <c r="F345" s="248" t="s">
        <v>164</v>
      </c>
      <c r="G345" s="87"/>
      <c r="H345" s="303"/>
      <c r="I345" s="604"/>
      <c r="K345" s="14"/>
    </row>
    <row r="346" spans="1:11" ht="16.5" customHeight="1" x14ac:dyDescent="0.25">
      <c r="A346" s="40"/>
      <c r="B346" s="86"/>
      <c r="C346" s="86">
        <v>1</v>
      </c>
      <c r="D346" s="86"/>
      <c r="E346" s="24" t="s">
        <v>229</v>
      </c>
      <c r="F346" s="92"/>
      <c r="G346" s="87"/>
      <c r="H346" s="303"/>
      <c r="I346" s="604"/>
      <c r="K346" s="14"/>
    </row>
    <row r="347" spans="1:11" ht="16.5" customHeight="1" x14ac:dyDescent="0.25">
      <c r="A347" s="40"/>
      <c r="B347" s="86"/>
      <c r="C347" s="86"/>
      <c r="D347" s="86">
        <v>1</v>
      </c>
      <c r="E347" s="98"/>
      <c r="F347" s="92" t="s">
        <v>227</v>
      </c>
      <c r="G347" s="87">
        <v>33156</v>
      </c>
      <c r="H347" s="303">
        <f>33156-6000+600+450</f>
        <v>28206</v>
      </c>
      <c r="I347" s="604">
        <v>21455</v>
      </c>
      <c r="K347" s="14"/>
    </row>
    <row r="348" spans="1:11" ht="16.5" customHeight="1" x14ac:dyDescent="0.25">
      <c r="A348" s="40"/>
      <c r="B348" s="86"/>
      <c r="C348" s="86"/>
      <c r="D348" s="86">
        <v>2</v>
      </c>
      <c r="E348" s="98"/>
      <c r="F348" s="92" t="s">
        <v>228</v>
      </c>
      <c r="G348" s="87">
        <v>6660</v>
      </c>
      <c r="H348" s="303">
        <f>6660-1200+120+90</f>
        <v>5670</v>
      </c>
      <c r="I348" s="604">
        <v>4376</v>
      </c>
      <c r="K348" s="14"/>
    </row>
    <row r="349" spans="1:11" ht="16.5" customHeight="1" x14ac:dyDescent="0.25">
      <c r="A349" s="40"/>
      <c r="B349" s="86"/>
      <c r="C349" s="86"/>
      <c r="D349" s="86">
        <v>3</v>
      </c>
      <c r="E349" s="98"/>
      <c r="F349" s="92" t="s">
        <v>98</v>
      </c>
      <c r="G349" s="87">
        <v>6294</v>
      </c>
      <c r="H349" s="303">
        <v>6294</v>
      </c>
      <c r="I349" s="604">
        <v>5207</v>
      </c>
      <c r="K349" s="14"/>
    </row>
    <row r="350" spans="1:11" ht="16.5" customHeight="1" x14ac:dyDescent="0.25">
      <c r="A350" s="40"/>
      <c r="B350" s="86"/>
      <c r="C350" s="86"/>
      <c r="D350" s="86"/>
      <c r="E350" s="98"/>
      <c r="F350" s="421" t="s">
        <v>63</v>
      </c>
      <c r="G350" s="89">
        <f t="shared" ref="G350" si="84">SUM(G347:G349)</f>
        <v>46110</v>
      </c>
      <c r="H350" s="432">
        <f t="shared" ref="H350:I350" si="85">SUM(H347:H349)</f>
        <v>40170</v>
      </c>
      <c r="I350" s="605">
        <f t="shared" si="85"/>
        <v>31038</v>
      </c>
      <c r="K350" s="14"/>
    </row>
    <row r="351" spans="1:11" ht="16.5" customHeight="1" x14ac:dyDescent="0.25">
      <c r="A351" s="40"/>
      <c r="B351" s="86"/>
      <c r="C351" s="86"/>
      <c r="D351" s="86"/>
      <c r="E351" s="98"/>
      <c r="F351" s="421"/>
      <c r="G351" s="89"/>
      <c r="H351" s="432"/>
      <c r="I351" s="605"/>
      <c r="K351" s="14"/>
    </row>
    <row r="352" spans="1:11" ht="16.5" customHeight="1" x14ac:dyDescent="0.25">
      <c r="A352" s="40"/>
      <c r="B352" s="86"/>
      <c r="C352" s="86"/>
      <c r="D352" s="86"/>
      <c r="E352" s="98"/>
      <c r="F352" s="421" t="s">
        <v>1047</v>
      </c>
      <c r="G352" s="89"/>
      <c r="H352" s="432"/>
      <c r="I352" s="605"/>
      <c r="K352" s="14"/>
    </row>
    <row r="353" spans="1:11" ht="16.5" customHeight="1" x14ac:dyDescent="0.25">
      <c r="A353" s="40"/>
      <c r="B353" s="86"/>
      <c r="C353" s="86">
        <v>1</v>
      </c>
      <c r="D353" s="86"/>
      <c r="E353" s="24" t="s">
        <v>229</v>
      </c>
      <c r="F353" s="92"/>
      <c r="G353" s="89"/>
      <c r="H353" s="432"/>
      <c r="I353" s="605"/>
      <c r="K353" s="14"/>
    </row>
    <row r="354" spans="1:11" ht="16.5" customHeight="1" x14ac:dyDescent="0.25">
      <c r="A354" s="40"/>
      <c r="B354" s="86"/>
      <c r="C354" s="86"/>
      <c r="D354" s="86">
        <v>1</v>
      </c>
      <c r="E354" s="98"/>
      <c r="F354" s="92" t="s">
        <v>227</v>
      </c>
      <c r="G354" s="89"/>
      <c r="H354" s="432"/>
      <c r="I354" s="604">
        <v>30</v>
      </c>
      <c r="K354" s="14"/>
    </row>
    <row r="355" spans="1:11" ht="16.5" customHeight="1" x14ac:dyDescent="0.25">
      <c r="A355" s="40"/>
      <c r="B355" s="86"/>
      <c r="C355" s="86"/>
      <c r="D355" s="86">
        <v>2</v>
      </c>
      <c r="E355" s="98"/>
      <c r="F355" s="92" t="s">
        <v>228</v>
      </c>
      <c r="G355" s="89"/>
      <c r="H355" s="432"/>
      <c r="I355" s="604">
        <v>6</v>
      </c>
      <c r="K355" s="14"/>
    </row>
    <row r="356" spans="1:11" ht="16.5" customHeight="1" x14ac:dyDescent="0.25">
      <c r="A356" s="40"/>
      <c r="B356" s="86"/>
      <c r="C356" s="86"/>
      <c r="D356" s="86">
        <v>3</v>
      </c>
      <c r="E356" s="98"/>
      <c r="F356" s="92" t="s">
        <v>98</v>
      </c>
      <c r="G356" s="89"/>
      <c r="H356" s="432"/>
      <c r="I356" s="604">
        <v>4</v>
      </c>
      <c r="K356" s="14"/>
    </row>
    <row r="357" spans="1:11" ht="16.5" customHeight="1" x14ac:dyDescent="0.25">
      <c r="A357" s="40"/>
      <c r="B357" s="86"/>
      <c r="C357" s="86"/>
      <c r="D357" s="86"/>
      <c r="E357" s="98"/>
      <c r="F357" s="92"/>
      <c r="G357" s="89"/>
      <c r="H357" s="432"/>
      <c r="I357" s="605"/>
      <c r="K357" s="14"/>
    </row>
    <row r="358" spans="1:11" ht="16.5" customHeight="1" x14ac:dyDescent="0.25">
      <c r="A358" s="40"/>
      <c r="B358" s="86"/>
      <c r="C358" s="86"/>
      <c r="D358" s="86"/>
      <c r="E358" s="98"/>
      <c r="F358" s="421"/>
      <c r="G358" s="89"/>
      <c r="H358" s="303"/>
      <c r="I358" s="604"/>
      <c r="K358" s="14"/>
    </row>
    <row r="359" spans="1:11" ht="16.5" customHeight="1" x14ac:dyDescent="0.25">
      <c r="A359" s="40"/>
      <c r="B359" s="86"/>
      <c r="C359" s="17">
        <v>2</v>
      </c>
      <c r="D359" s="17"/>
      <c r="E359" s="24" t="s">
        <v>99</v>
      </c>
      <c r="F359" s="421"/>
      <c r="G359" s="89"/>
      <c r="H359" s="303"/>
      <c r="I359" s="604"/>
      <c r="K359" s="14"/>
    </row>
    <row r="360" spans="1:11" ht="16.5" customHeight="1" x14ac:dyDescent="0.25">
      <c r="A360" s="40"/>
      <c r="B360" s="86"/>
      <c r="C360" s="86"/>
      <c r="D360" s="86">
        <v>13</v>
      </c>
      <c r="E360" s="98"/>
      <c r="F360" s="246" t="s">
        <v>393</v>
      </c>
      <c r="G360" s="87">
        <v>100</v>
      </c>
      <c r="H360" s="303">
        <v>100</v>
      </c>
      <c r="I360" s="604">
        <v>67</v>
      </c>
      <c r="K360" s="14"/>
    </row>
    <row r="361" spans="1:11" ht="16.5" customHeight="1" x14ac:dyDescent="0.25">
      <c r="A361" s="40"/>
      <c r="B361" s="86"/>
      <c r="C361" s="86"/>
      <c r="D361" s="86">
        <v>2</v>
      </c>
      <c r="E361" s="98"/>
      <c r="F361" s="246" t="s">
        <v>295</v>
      </c>
      <c r="G361" s="87">
        <v>27</v>
      </c>
      <c r="H361" s="303">
        <v>27</v>
      </c>
      <c r="I361" s="604">
        <v>18</v>
      </c>
      <c r="K361" s="14"/>
    </row>
    <row r="362" spans="1:11" ht="16.5" customHeight="1" x14ac:dyDescent="0.25">
      <c r="A362" s="40"/>
      <c r="B362" s="86"/>
      <c r="C362" s="86"/>
      <c r="D362" s="86"/>
      <c r="E362" s="98"/>
      <c r="F362" s="421" t="s">
        <v>63</v>
      </c>
      <c r="G362" s="89">
        <f t="shared" ref="G362" si="86">SUM(G360:G361)</f>
        <v>127</v>
      </c>
      <c r="H362" s="432">
        <f t="shared" ref="H362:I362" si="87">SUM(H360:H361)</f>
        <v>127</v>
      </c>
      <c r="I362" s="605">
        <f t="shared" si="87"/>
        <v>85</v>
      </c>
      <c r="K362" s="14"/>
    </row>
    <row r="363" spans="1:11" ht="16.5" customHeight="1" x14ac:dyDescent="0.25">
      <c r="A363" s="40"/>
      <c r="B363" s="86"/>
      <c r="C363" s="86"/>
      <c r="D363" s="86"/>
      <c r="E363" s="98"/>
      <c r="F363" s="421"/>
      <c r="G363" s="89"/>
      <c r="H363" s="303"/>
      <c r="I363" s="604"/>
      <c r="K363" s="14"/>
    </row>
    <row r="364" spans="1:11" ht="16.5" customHeight="1" x14ac:dyDescent="0.25">
      <c r="A364" s="40"/>
      <c r="B364" s="86"/>
      <c r="C364" s="86"/>
      <c r="D364" s="86"/>
      <c r="E364" s="98"/>
      <c r="F364" s="248" t="s">
        <v>101</v>
      </c>
      <c r="G364" s="89">
        <f t="shared" ref="G364" si="88">+G350+G362</f>
        <v>46237</v>
      </c>
      <c r="H364" s="432">
        <f t="shared" ref="H364:I364" si="89">+H350+H362</f>
        <v>40297</v>
      </c>
      <c r="I364" s="605">
        <f t="shared" si="89"/>
        <v>31123</v>
      </c>
      <c r="K364" s="14"/>
    </row>
    <row r="365" spans="1:11" ht="16.5" customHeight="1" x14ac:dyDescent="0.25">
      <c r="A365" s="40"/>
      <c r="B365" s="86"/>
      <c r="C365" s="86"/>
      <c r="D365" s="86"/>
      <c r="E365" s="98"/>
      <c r="F365" s="246"/>
      <c r="G365" s="89"/>
      <c r="H365" s="303"/>
      <c r="I365" s="604"/>
      <c r="K365" s="14"/>
    </row>
    <row r="366" spans="1:11" ht="32.25" customHeight="1" x14ac:dyDescent="0.25">
      <c r="A366" s="99"/>
      <c r="B366" s="86">
        <v>32</v>
      </c>
      <c r="C366" s="86"/>
      <c r="D366" s="86"/>
      <c r="E366" s="98"/>
      <c r="F366" s="293" t="s">
        <v>305</v>
      </c>
      <c r="G366" s="88"/>
      <c r="H366" s="303"/>
      <c r="I366" s="604"/>
      <c r="K366" s="14"/>
    </row>
    <row r="367" spans="1:11" ht="16.5" customHeight="1" x14ac:dyDescent="0.25">
      <c r="A367" s="99"/>
      <c r="B367" s="86"/>
      <c r="C367" s="86">
        <v>1</v>
      </c>
      <c r="D367" s="86"/>
      <c r="E367" s="24" t="s">
        <v>229</v>
      </c>
      <c r="F367" s="92"/>
      <c r="G367" s="88"/>
      <c r="H367" s="303"/>
      <c r="I367" s="604"/>
      <c r="K367" s="14"/>
    </row>
    <row r="368" spans="1:11" ht="16.5" customHeight="1" x14ac:dyDescent="0.25">
      <c r="A368" s="99"/>
      <c r="B368" s="86"/>
      <c r="C368" s="86"/>
      <c r="D368" s="86">
        <v>1</v>
      </c>
      <c r="E368" s="98"/>
      <c r="F368" s="92" t="s">
        <v>227</v>
      </c>
      <c r="G368" s="42">
        <v>200</v>
      </c>
      <c r="H368" s="303">
        <f t="shared" ref="H368" si="90">200+689</f>
        <v>889</v>
      </c>
      <c r="I368" s="604">
        <v>789</v>
      </c>
      <c r="K368" s="14"/>
    </row>
    <row r="369" spans="1:11" ht="16.5" customHeight="1" x14ac:dyDescent="0.25">
      <c r="A369" s="99"/>
      <c r="B369" s="86"/>
      <c r="C369" s="86"/>
      <c r="D369" s="86">
        <v>2</v>
      </c>
      <c r="E369" s="98"/>
      <c r="F369" s="92" t="s">
        <v>228</v>
      </c>
      <c r="G369" s="42">
        <v>40</v>
      </c>
      <c r="H369" s="303">
        <f t="shared" ref="H369" si="91">40+140</f>
        <v>180</v>
      </c>
      <c r="I369" s="604">
        <v>168</v>
      </c>
      <c r="K369" s="14"/>
    </row>
    <row r="370" spans="1:11" ht="16.5" customHeight="1" x14ac:dyDescent="0.25">
      <c r="A370" s="99"/>
      <c r="B370" s="86"/>
      <c r="C370" s="86"/>
      <c r="D370" s="86">
        <v>3</v>
      </c>
      <c r="E370" s="98"/>
      <c r="F370" s="92" t="s">
        <v>98</v>
      </c>
      <c r="G370" s="42">
        <v>127</v>
      </c>
      <c r="H370" s="303">
        <f t="shared" ref="H370" si="92">127+120</f>
        <v>247</v>
      </c>
      <c r="I370" s="604">
        <v>235</v>
      </c>
      <c r="K370" s="14"/>
    </row>
    <row r="371" spans="1:11" ht="16.5" customHeight="1" x14ac:dyDescent="0.25">
      <c r="A371" s="99"/>
      <c r="B371" s="86"/>
      <c r="C371" s="86"/>
      <c r="D371" s="86"/>
      <c r="E371" s="98"/>
      <c r="F371" s="421" t="s">
        <v>63</v>
      </c>
      <c r="G371" s="88">
        <f t="shared" ref="G371" si="93">SUM(G368:G370)</f>
        <v>367</v>
      </c>
      <c r="H371" s="432">
        <f t="shared" ref="H371:I371" si="94">SUM(H368:H370)</f>
        <v>1316</v>
      </c>
      <c r="I371" s="605">
        <f t="shared" si="94"/>
        <v>1192</v>
      </c>
      <c r="K371" s="14"/>
    </row>
    <row r="372" spans="1:11" ht="16.5" customHeight="1" x14ac:dyDescent="0.25">
      <c r="A372" s="99"/>
      <c r="B372" s="86"/>
      <c r="C372" s="86"/>
      <c r="D372" s="86"/>
      <c r="E372" s="98"/>
      <c r="F372" s="421"/>
      <c r="G372" s="88"/>
      <c r="H372" s="303"/>
      <c r="I372" s="604"/>
      <c r="K372" s="14"/>
    </row>
    <row r="373" spans="1:11" ht="32.25" customHeight="1" x14ac:dyDescent="0.25">
      <c r="A373" s="99"/>
      <c r="B373" s="86">
        <v>42</v>
      </c>
      <c r="C373" s="86"/>
      <c r="D373" s="86"/>
      <c r="E373" s="98"/>
      <c r="F373" s="421" t="s">
        <v>405</v>
      </c>
      <c r="G373" s="88"/>
      <c r="H373" s="303"/>
      <c r="I373" s="604"/>
      <c r="K373" s="14"/>
    </row>
    <row r="374" spans="1:11" ht="16.5" customHeight="1" x14ac:dyDescent="0.25">
      <c r="A374" s="99"/>
      <c r="B374" s="86"/>
      <c r="C374" s="86">
        <v>1</v>
      </c>
      <c r="D374" s="86"/>
      <c r="E374" s="24" t="s">
        <v>229</v>
      </c>
      <c r="F374" s="92"/>
      <c r="G374" s="88"/>
      <c r="H374" s="303"/>
      <c r="I374" s="604"/>
      <c r="K374" s="14"/>
    </row>
    <row r="375" spans="1:11" ht="16.5" customHeight="1" x14ac:dyDescent="0.25">
      <c r="A375" s="99"/>
      <c r="B375" s="86"/>
      <c r="C375" s="86"/>
      <c r="D375" s="86">
        <v>1</v>
      </c>
      <c r="E375" s="98"/>
      <c r="F375" s="92" t="s">
        <v>227</v>
      </c>
      <c r="G375" s="42"/>
      <c r="H375" s="303"/>
      <c r="I375" s="604"/>
      <c r="K375" s="14"/>
    </row>
    <row r="376" spans="1:11" ht="16.5" customHeight="1" x14ac:dyDescent="0.25">
      <c r="A376" s="99"/>
      <c r="B376" s="86"/>
      <c r="C376" s="86"/>
      <c r="D376" s="86">
        <v>2</v>
      </c>
      <c r="E376" s="98"/>
      <c r="F376" s="92" t="s">
        <v>228</v>
      </c>
      <c r="G376" s="42"/>
      <c r="H376" s="303"/>
      <c r="I376" s="604"/>
      <c r="K376" s="14"/>
    </row>
    <row r="377" spans="1:11" ht="16.5" customHeight="1" x14ac:dyDescent="0.25">
      <c r="A377" s="99"/>
      <c r="B377" s="86"/>
      <c r="C377" s="86"/>
      <c r="D377" s="86">
        <v>3</v>
      </c>
      <c r="E377" s="98"/>
      <c r="F377" s="92" t="s">
        <v>98</v>
      </c>
      <c r="G377" s="42"/>
      <c r="H377" s="303"/>
      <c r="I377" s="604"/>
      <c r="K377" s="14"/>
    </row>
    <row r="378" spans="1:11" ht="16.5" customHeight="1" x14ac:dyDescent="0.25">
      <c r="A378" s="99"/>
      <c r="B378" s="86"/>
      <c r="C378" s="86"/>
      <c r="D378" s="86"/>
      <c r="E378" s="98"/>
      <c r="F378" s="421" t="s">
        <v>63</v>
      </c>
      <c r="G378" s="88">
        <f t="shared" ref="G378" si="95">SUM(G375:G377)</f>
        <v>0</v>
      </c>
      <c r="H378" s="432">
        <f t="shared" ref="H378" si="96">SUM(H375:H377)</f>
        <v>0</v>
      </c>
      <c r="I378" s="605"/>
      <c r="K378" s="14"/>
    </row>
    <row r="379" spans="1:11" ht="16.5" customHeight="1" x14ac:dyDescent="0.25">
      <c r="A379" s="99"/>
      <c r="B379" s="86"/>
      <c r="C379" s="86"/>
      <c r="D379" s="86"/>
      <c r="E379" s="98"/>
      <c r="F379" s="249"/>
      <c r="G379" s="88"/>
      <c r="H379" s="303"/>
      <c r="I379" s="604"/>
      <c r="K379" s="14"/>
    </row>
    <row r="380" spans="1:11" ht="31.5" customHeight="1" x14ac:dyDescent="0.25">
      <c r="A380" s="99"/>
      <c r="B380" s="258">
        <v>43</v>
      </c>
      <c r="C380" s="86"/>
      <c r="D380" s="17"/>
      <c r="E380" s="24"/>
      <c r="F380" s="414" t="s">
        <v>508</v>
      </c>
      <c r="G380" s="88"/>
      <c r="H380" s="303"/>
      <c r="I380" s="604"/>
      <c r="K380" s="14"/>
    </row>
    <row r="381" spans="1:11" ht="16.5" customHeight="1" x14ac:dyDescent="0.25">
      <c r="A381" s="99"/>
      <c r="B381" s="225"/>
      <c r="C381" s="86">
        <v>1</v>
      </c>
      <c r="D381" s="86"/>
      <c r="E381" s="22" t="s">
        <v>97</v>
      </c>
      <c r="F381" s="294"/>
      <c r="G381" s="88"/>
      <c r="H381" s="303"/>
      <c r="I381" s="604"/>
      <c r="K381" s="14"/>
    </row>
    <row r="382" spans="1:11" ht="16.5" customHeight="1" x14ac:dyDescent="0.25">
      <c r="A382" s="99"/>
      <c r="B382" s="225"/>
      <c r="C382" s="86"/>
      <c r="D382" s="86">
        <v>1</v>
      </c>
      <c r="E382" s="98"/>
      <c r="F382" s="92" t="s">
        <v>227</v>
      </c>
      <c r="G382" s="88"/>
      <c r="H382" s="303">
        <v>8000</v>
      </c>
      <c r="I382" s="604">
        <v>6394</v>
      </c>
      <c r="K382" s="14"/>
    </row>
    <row r="383" spans="1:11" ht="16.5" customHeight="1" x14ac:dyDescent="0.25">
      <c r="A383" s="99"/>
      <c r="B383" s="225"/>
      <c r="C383" s="86"/>
      <c r="D383" s="86">
        <v>2</v>
      </c>
      <c r="E383" s="98"/>
      <c r="F383" s="92" t="s">
        <v>228</v>
      </c>
      <c r="G383" s="88"/>
      <c r="H383" s="303">
        <v>1560</v>
      </c>
      <c r="I383" s="604">
        <v>1137</v>
      </c>
      <c r="K383" s="14"/>
    </row>
    <row r="384" spans="1:11" ht="16.5" customHeight="1" x14ac:dyDescent="0.25">
      <c r="A384" s="99"/>
      <c r="B384" s="225"/>
      <c r="C384" s="86"/>
      <c r="D384" s="86">
        <v>3</v>
      </c>
      <c r="E384" s="98"/>
      <c r="F384" s="92" t="s">
        <v>98</v>
      </c>
      <c r="G384" s="88"/>
      <c r="H384" s="303">
        <v>500</v>
      </c>
      <c r="I384" s="604">
        <v>66</v>
      </c>
      <c r="K384" s="14"/>
    </row>
    <row r="385" spans="1:11" ht="16.5" customHeight="1" x14ac:dyDescent="0.25">
      <c r="A385" s="99"/>
      <c r="B385" s="225"/>
      <c r="C385" s="86"/>
      <c r="D385" s="17"/>
      <c r="E385" s="24"/>
      <c r="F385" s="108" t="s">
        <v>63</v>
      </c>
      <c r="G385" s="88"/>
      <c r="H385" s="432">
        <f>SUM(H382:H384)</f>
        <v>10060</v>
      </c>
      <c r="I385" s="605">
        <f>SUM(I382:I384)</f>
        <v>7597</v>
      </c>
      <c r="K385" s="14"/>
    </row>
    <row r="386" spans="1:11" ht="16.5" customHeight="1" x14ac:dyDescent="0.25">
      <c r="A386" s="99"/>
      <c r="B386" s="225"/>
      <c r="C386" s="86"/>
      <c r="D386" s="17"/>
      <c r="E386" s="24"/>
      <c r="F386" s="108"/>
      <c r="G386" s="88"/>
      <c r="H386" s="303"/>
      <c r="I386" s="604"/>
      <c r="K386" s="14"/>
    </row>
    <row r="387" spans="1:11" ht="16.5" customHeight="1" x14ac:dyDescent="0.25">
      <c r="A387" s="40"/>
      <c r="B387" s="86"/>
      <c r="C387" s="86"/>
      <c r="D387" s="86"/>
      <c r="E387" s="420" t="s">
        <v>79</v>
      </c>
      <c r="F387" s="92"/>
      <c r="G387" s="87"/>
      <c r="H387" s="303"/>
      <c r="I387" s="604"/>
      <c r="K387" s="14"/>
    </row>
    <row r="388" spans="1:11" ht="16.5" customHeight="1" x14ac:dyDescent="0.25">
      <c r="A388" s="40"/>
      <c r="B388" s="86"/>
      <c r="C388" s="86"/>
      <c r="D388" s="86"/>
      <c r="E388" s="98"/>
      <c r="F388" s="257"/>
      <c r="G388" s="87"/>
      <c r="H388" s="303"/>
      <c r="I388" s="604"/>
      <c r="K388" s="14"/>
    </row>
    <row r="389" spans="1:11" ht="16.5" customHeight="1" x14ac:dyDescent="0.25">
      <c r="A389" s="40"/>
      <c r="B389" s="86"/>
      <c r="C389" s="86">
        <v>1</v>
      </c>
      <c r="D389" s="86"/>
      <c r="E389" s="24" t="s">
        <v>97</v>
      </c>
      <c r="F389" s="92"/>
      <c r="G389" s="87"/>
      <c r="H389" s="303"/>
      <c r="I389" s="604"/>
      <c r="K389" s="14"/>
    </row>
    <row r="390" spans="1:11" ht="16.5" customHeight="1" x14ac:dyDescent="0.25">
      <c r="A390" s="40"/>
      <c r="B390" s="86"/>
      <c r="C390" s="86"/>
      <c r="D390" s="86">
        <v>1</v>
      </c>
      <c r="E390" s="98"/>
      <c r="F390" s="92" t="s">
        <v>108</v>
      </c>
      <c r="G390" s="87">
        <f>+G347+G375+G368</f>
        <v>33356</v>
      </c>
      <c r="H390" s="303">
        <f t="shared" ref="H390:I390" si="97">+H347+H375+H368+H382</f>
        <v>37095</v>
      </c>
      <c r="I390" s="604">
        <f t="shared" si="97"/>
        <v>28638</v>
      </c>
      <c r="K390" s="14"/>
    </row>
    <row r="391" spans="1:11" ht="16.5" customHeight="1" x14ac:dyDescent="0.25">
      <c r="A391" s="40"/>
      <c r="B391" s="86"/>
      <c r="C391" s="86"/>
      <c r="D391" s="86">
        <v>2</v>
      </c>
      <c r="E391" s="98"/>
      <c r="F391" s="92" t="s">
        <v>228</v>
      </c>
      <c r="G391" s="87">
        <f>+G348+G376+G369</f>
        <v>6700</v>
      </c>
      <c r="H391" s="303">
        <f t="shared" ref="H391:I391" si="98">+H348+H376+H369+H383</f>
        <v>7410</v>
      </c>
      <c r="I391" s="604">
        <f t="shared" si="98"/>
        <v>5681</v>
      </c>
      <c r="K391" s="14"/>
    </row>
    <row r="392" spans="1:11" ht="16.5" customHeight="1" x14ac:dyDescent="0.25">
      <c r="A392" s="40"/>
      <c r="B392" s="86"/>
      <c r="C392" s="86"/>
      <c r="D392" s="86">
        <v>3</v>
      </c>
      <c r="E392" s="98"/>
      <c r="F392" s="92" t="s">
        <v>98</v>
      </c>
      <c r="G392" s="87">
        <f>+G349+G370</f>
        <v>6421</v>
      </c>
      <c r="H392" s="303">
        <f>+H349+H370+H384</f>
        <v>7041</v>
      </c>
      <c r="I392" s="604">
        <f>+I349+I370+I384</f>
        <v>5508</v>
      </c>
      <c r="K392" s="14"/>
    </row>
    <row r="393" spans="1:11" ht="16.5" customHeight="1" x14ac:dyDescent="0.25">
      <c r="A393" s="40"/>
      <c r="B393" s="86"/>
      <c r="C393" s="86"/>
      <c r="D393" s="86"/>
      <c r="E393" s="98"/>
      <c r="F393" s="108" t="s">
        <v>63</v>
      </c>
      <c r="G393" s="89">
        <f t="shared" ref="G393" si="99">SUM(G390:G392)</f>
        <v>46477</v>
      </c>
      <c r="H393" s="432">
        <f t="shared" ref="H393:I393" si="100">SUM(H390:H392)</f>
        <v>51546</v>
      </c>
      <c r="I393" s="605">
        <f t="shared" si="100"/>
        <v>39827</v>
      </c>
      <c r="K393" s="14"/>
    </row>
    <row r="394" spans="1:11" ht="16.5" customHeight="1" x14ac:dyDescent="0.25">
      <c r="A394" s="44"/>
      <c r="B394" s="95"/>
      <c r="C394" s="95"/>
      <c r="D394" s="95"/>
      <c r="E394" s="344"/>
      <c r="F394" s="345"/>
      <c r="G394" s="343"/>
      <c r="H394" s="303"/>
      <c r="I394" s="604"/>
      <c r="K394" s="14"/>
    </row>
    <row r="395" spans="1:11" ht="16.5" customHeight="1" x14ac:dyDescent="0.25">
      <c r="A395" s="44"/>
      <c r="B395" s="95"/>
      <c r="C395" s="17">
        <v>2</v>
      </c>
      <c r="D395" s="17"/>
      <c r="E395" s="24" t="s">
        <v>99</v>
      </c>
      <c r="F395" s="421"/>
      <c r="G395" s="343"/>
      <c r="H395" s="303"/>
      <c r="I395" s="604"/>
      <c r="K395" s="14"/>
    </row>
    <row r="396" spans="1:11" ht="16.5" customHeight="1" x14ac:dyDescent="0.25">
      <c r="A396" s="44"/>
      <c r="B396" s="95"/>
      <c r="C396" s="86"/>
      <c r="D396" s="86">
        <v>13</v>
      </c>
      <c r="E396" s="98"/>
      <c r="F396" s="246" t="s">
        <v>393</v>
      </c>
      <c r="G396" s="96">
        <f t="shared" ref="G396:G397" si="101">+G360</f>
        <v>100</v>
      </c>
      <c r="H396" s="303">
        <f t="shared" ref="H396:I396" si="102">+H360</f>
        <v>100</v>
      </c>
      <c r="I396" s="604">
        <f t="shared" si="102"/>
        <v>67</v>
      </c>
      <c r="K396" s="14"/>
    </row>
    <row r="397" spans="1:11" ht="16.5" customHeight="1" x14ac:dyDescent="0.25">
      <c r="A397" s="44"/>
      <c r="B397" s="95"/>
      <c r="C397" s="86"/>
      <c r="D397" s="86">
        <v>2</v>
      </c>
      <c r="E397" s="98"/>
      <c r="F397" s="246" t="s">
        <v>295</v>
      </c>
      <c r="G397" s="96">
        <f t="shared" si="101"/>
        <v>27</v>
      </c>
      <c r="H397" s="303">
        <f t="shared" ref="H397:I397" si="103">+H361</f>
        <v>27</v>
      </c>
      <c r="I397" s="604">
        <f t="shared" si="103"/>
        <v>18</v>
      </c>
      <c r="K397" s="14"/>
    </row>
    <row r="398" spans="1:11" ht="16.5" customHeight="1" x14ac:dyDescent="0.25">
      <c r="A398" s="44"/>
      <c r="B398" s="95"/>
      <c r="C398" s="86"/>
      <c r="D398" s="86"/>
      <c r="E398" s="98"/>
      <c r="F398" s="421" t="s">
        <v>63</v>
      </c>
      <c r="G398" s="343">
        <f t="shared" ref="G398" si="104">SUM(G396:G397)</f>
        <v>127</v>
      </c>
      <c r="H398" s="432">
        <f t="shared" ref="H398:I398" si="105">SUM(H396:H397)</f>
        <v>127</v>
      </c>
      <c r="I398" s="605">
        <f t="shared" si="105"/>
        <v>85</v>
      </c>
      <c r="K398" s="14"/>
    </row>
    <row r="399" spans="1:11" ht="16.5" customHeight="1" x14ac:dyDescent="0.25">
      <c r="A399" s="44"/>
      <c r="B399" s="95"/>
      <c r="C399" s="86"/>
      <c r="D399" s="86"/>
      <c r="E399" s="98"/>
      <c r="F399" s="421"/>
      <c r="G399" s="343"/>
      <c r="H399" s="303"/>
      <c r="I399" s="604"/>
      <c r="K399" s="14"/>
    </row>
    <row r="400" spans="1:11" ht="16.5" customHeight="1" x14ac:dyDescent="0.25">
      <c r="A400" s="40"/>
      <c r="B400" s="86"/>
      <c r="C400" s="86"/>
      <c r="D400" s="86"/>
      <c r="E400" s="24" t="s">
        <v>377</v>
      </c>
      <c r="F400" s="108"/>
      <c r="G400" s="89">
        <f t="shared" ref="G400" si="106">+G393+G398</f>
        <v>46604</v>
      </c>
      <c r="H400" s="432">
        <f t="shared" ref="H400:I400" si="107">+H393+H398</f>
        <v>51673</v>
      </c>
      <c r="I400" s="605">
        <f t="shared" si="107"/>
        <v>39912</v>
      </c>
      <c r="K400" s="14"/>
    </row>
    <row r="401" spans="1:11" ht="16.5" customHeight="1" thickBot="1" x14ac:dyDescent="0.3">
      <c r="A401" s="260"/>
      <c r="B401" s="274"/>
      <c r="C401" s="274"/>
      <c r="D401" s="274"/>
      <c r="E401" s="274"/>
      <c r="F401" s="308"/>
      <c r="G401" s="309"/>
      <c r="H401" s="381"/>
      <c r="I401" s="617"/>
      <c r="K401" s="14"/>
    </row>
    <row r="402" spans="1:11" ht="22.5" customHeight="1" thickTop="1" thickBot="1" x14ac:dyDescent="0.3">
      <c r="A402" s="232">
        <v>3</v>
      </c>
      <c r="B402" s="219"/>
      <c r="C402" s="219"/>
      <c r="D402" s="219"/>
      <c r="E402" s="219"/>
      <c r="F402" s="233" t="s">
        <v>104</v>
      </c>
      <c r="G402" s="352"/>
      <c r="H402" s="382"/>
      <c r="I402" s="618"/>
      <c r="K402" s="14"/>
    </row>
    <row r="403" spans="1:11" ht="16.5" customHeight="1" thickTop="1" x14ac:dyDescent="0.25">
      <c r="A403" s="6"/>
      <c r="F403" s="26"/>
      <c r="G403" s="205"/>
      <c r="H403" s="383"/>
      <c r="I403" s="616"/>
      <c r="K403" s="14"/>
    </row>
    <row r="404" spans="1:11" ht="16.5" customHeight="1" x14ac:dyDescent="0.25">
      <c r="A404" s="40"/>
      <c r="B404" s="86">
        <v>33</v>
      </c>
      <c r="C404" s="86"/>
      <c r="D404" s="86"/>
      <c r="E404" s="98"/>
      <c r="F404" s="248" t="s">
        <v>223</v>
      </c>
      <c r="G404" s="89"/>
      <c r="H404" s="303"/>
      <c r="I404" s="604"/>
      <c r="K404" s="14"/>
    </row>
    <row r="405" spans="1:11" ht="16.5" customHeight="1" x14ac:dyDescent="0.25">
      <c r="A405" s="40"/>
      <c r="B405" s="86"/>
      <c r="C405" s="86">
        <v>1</v>
      </c>
      <c r="D405" s="86"/>
      <c r="E405" s="24" t="s">
        <v>97</v>
      </c>
      <c r="F405" s="92"/>
      <c r="G405" s="89"/>
      <c r="H405" s="303"/>
      <c r="I405" s="604"/>
      <c r="K405" s="14"/>
    </row>
    <row r="406" spans="1:11" ht="16.5" customHeight="1" x14ac:dyDescent="0.25">
      <c r="A406" s="40"/>
      <c r="B406" s="86"/>
      <c r="C406" s="86"/>
      <c r="D406" s="86">
        <v>1</v>
      </c>
      <c r="E406" s="98"/>
      <c r="F406" s="92" t="s">
        <v>227</v>
      </c>
      <c r="G406" s="87">
        <v>4200</v>
      </c>
      <c r="H406" s="303">
        <f>4200+180+30</f>
        <v>4410</v>
      </c>
      <c r="I406" s="604">
        <v>4406</v>
      </c>
      <c r="K406" s="14"/>
    </row>
    <row r="407" spans="1:11" ht="16.5" customHeight="1" x14ac:dyDescent="0.25">
      <c r="A407" s="40"/>
      <c r="B407" s="86"/>
      <c r="C407" s="86"/>
      <c r="D407" s="86">
        <v>2</v>
      </c>
      <c r="E407" s="98"/>
      <c r="F407" s="92" t="s">
        <v>228</v>
      </c>
      <c r="G407" s="87">
        <v>840</v>
      </c>
      <c r="H407" s="303">
        <f>840+36</f>
        <v>876</v>
      </c>
      <c r="I407" s="604">
        <v>843</v>
      </c>
      <c r="K407" s="14"/>
    </row>
    <row r="408" spans="1:11" ht="16.5" customHeight="1" x14ac:dyDescent="0.25">
      <c r="A408" s="40"/>
      <c r="B408" s="86"/>
      <c r="C408" s="86"/>
      <c r="D408" s="86">
        <v>3</v>
      </c>
      <c r="E408" s="98"/>
      <c r="F408" s="92" t="s">
        <v>98</v>
      </c>
      <c r="G408" s="87">
        <v>1199</v>
      </c>
      <c r="H408" s="303">
        <f>1199-30</f>
        <v>1169</v>
      </c>
      <c r="I408" s="604">
        <v>1050</v>
      </c>
      <c r="K408" s="14"/>
    </row>
    <row r="409" spans="1:11" ht="16.5" customHeight="1" x14ac:dyDescent="0.25">
      <c r="A409" s="40"/>
      <c r="B409" s="86"/>
      <c r="C409" s="86"/>
      <c r="D409" s="86"/>
      <c r="E409" s="98"/>
      <c r="F409" s="421" t="s">
        <v>63</v>
      </c>
      <c r="G409" s="89">
        <f t="shared" ref="G409" si="108">SUM(G406:G408)</f>
        <v>6239</v>
      </c>
      <c r="H409" s="432">
        <f t="shared" ref="H409:I409" si="109">SUM(H406:H408)</f>
        <v>6455</v>
      </c>
      <c r="I409" s="605">
        <f t="shared" si="109"/>
        <v>6299</v>
      </c>
      <c r="K409" s="14"/>
    </row>
    <row r="410" spans="1:11" ht="16.5" customHeight="1" x14ac:dyDescent="0.25">
      <c r="A410" s="40"/>
      <c r="B410" s="86"/>
      <c r="C410" s="86"/>
      <c r="D410" s="86"/>
      <c r="E410" s="98"/>
      <c r="F410" s="421"/>
      <c r="G410" s="89"/>
      <c r="H410" s="432"/>
      <c r="I410" s="605"/>
      <c r="K410" s="14"/>
    </row>
    <row r="411" spans="1:11" ht="16.5" customHeight="1" x14ac:dyDescent="0.25">
      <c r="A411" s="40"/>
      <c r="B411" s="86"/>
      <c r="C411" s="86"/>
      <c r="D411" s="86"/>
      <c r="E411" s="98"/>
      <c r="F411" s="421" t="s">
        <v>1047</v>
      </c>
      <c r="G411" s="89"/>
      <c r="H411" s="432"/>
      <c r="I411" s="605"/>
      <c r="K411" s="14"/>
    </row>
    <row r="412" spans="1:11" ht="16.5" customHeight="1" x14ac:dyDescent="0.25">
      <c r="A412" s="40"/>
      <c r="B412" s="86"/>
      <c r="C412" s="86">
        <v>1</v>
      </c>
      <c r="D412" s="86"/>
      <c r="E412" s="24" t="s">
        <v>229</v>
      </c>
      <c r="F412" s="92"/>
      <c r="G412" s="89"/>
      <c r="H412" s="432"/>
      <c r="I412" s="605"/>
      <c r="K412" s="14"/>
    </row>
    <row r="413" spans="1:11" ht="16.5" customHeight="1" x14ac:dyDescent="0.25">
      <c r="A413" s="40"/>
      <c r="B413" s="86"/>
      <c r="C413" s="86"/>
      <c r="D413" s="86">
        <v>1</v>
      </c>
      <c r="E413" s="98"/>
      <c r="F413" s="92" t="s">
        <v>1048</v>
      </c>
      <c r="G413" s="89"/>
      <c r="H413" s="432"/>
      <c r="I413" s="604">
        <v>180</v>
      </c>
      <c r="K413" s="14"/>
    </row>
    <row r="414" spans="1:11" ht="16.5" customHeight="1" x14ac:dyDescent="0.25">
      <c r="A414" s="40"/>
      <c r="B414" s="86"/>
      <c r="C414" s="86"/>
      <c r="D414" s="86">
        <v>2</v>
      </c>
      <c r="E414" s="98"/>
      <c r="F414" s="92" t="s">
        <v>228</v>
      </c>
      <c r="G414" s="89"/>
      <c r="H414" s="432"/>
      <c r="I414" s="604">
        <v>29</v>
      </c>
      <c r="K414" s="14"/>
    </row>
    <row r="415" spans="1:11" ht="16.5" customHeight="1" x14ac:dyDescent="0.25">
      <c r="A415" s="40"/>
      <c r="B415" s="86"/>
      <c r="C415" s="86"/>
      <c r="D415" s="86"/>
      <c r="E415" s="98"/>
      <c r="F415" s="92"/>
      <c r="G415" s="89"/>
      <c r="H415" s="303"/>
      <c r="I415" s="604"/>
      <c r="K415" s="14"/>
    </row>
    <row r="416" spans="1:11" ht="16.5" customHeight="1" x14ac:dyDescent="0.25">
      <c r="A416" s="40"/>
      <c r="B416" s="86">
        <v>34</v>
      </c>
      <c r="C416" s="86"/>
      <c r="D416" s="86"/>
      <c r="E416" s="98"/>
      <c r="F416" s="248" t="s">
        <v>39</v>
      </c>
      <c r="G416" s="89"/>
      <c r="H416" s="303"/>
      <c r="I416" s="604"/>
      <c r="K416" s="14"/>
    </row>
    <row r="417" spans="1:11" ht="16.5" customHeight="1" x14ac:dyDescent="0.25">
      <c r="A417" s="40"/>
      <c r="B417" s="86"/>
      <c r="C417" s="86">
        <v>1</v>
      </c>
      <c r="D417" s="86"/>
      <c r="E417" s="24" t="s">
        <v>97</v>
      </c>
      <c r="F417" s="92"/>
      <c r="G417" s="89"/>
      <c r="H417" s="303"/>
      <c r="I417" s="604"/>
      <c r="K417" s="14"/>
    </row>
    <row r="418" spans="1:11" ht="16.5" customHeight="1" x14ac:dyDescent="0.25">
      <c r="A418" s="40"/>
      <c r="B418" s="86"/>
      <c r="C418" s="86"/>
      <c r="D418" s="86">
        <v>1</v>
      </c>
      <c r="E418" s="98"/>
      <c r="F418" s="92" t="s">
        <v>227</v>
      </c>
      <c r="G418" s="87">
        <v>2500</v>
      </c>
      <c r="H418" s="303">
        <v>2500</v>
      </c>
      <c r="I418" s="604">
        <v>2415</v>
      </c>
      <c r="K418" s="14"/>
    </row>
    <row r="419" spans="1:11" ht="16.5" customHeight="1" x14ac:dyDescent="0.25">
      <c r="A419" s="40"/>
      <c r="B419" s="86"/>
      <c r="C419" s="86"/>
      <c r="D419" s="86">
        <v>2</v>
      </c>
      <c r="E419" s="98"/>
      <c r="F419" s="92" t="s">
        <v>228</v>
      </c>
      <c r="G419" s="87">
        <v>500</v>
      </c>
      <c r="H419" s="303">
        <v>500</v>
      </c>
      <c r="I419" s="604">
        <v>482</v>
      </c>
      <c r="K419" s="14"/>
    </row>
    <row r="420" spans="1:11" ht="16.5" customHeight="1" x14ac:dyDescent="0.25">
      <c r="A420" s="40"/>
      <c r="B420" s="86"/>
      <c r="C420" s="86"/>
      <c r="D420" s="86">
        <v>3</v>
      </c>
      <c r="E420" s="98"/>
      <c r="F420" s="92" t="s">
        <v>98</v>
      </c>
      <c r="G420" s="87">
        <v>279</v>
      </c>
      <c r="H420" s="303">
        <v>279</v>
      </c>
      <c r="I420" s="604">
        <v>165</v>
      </c>
      <c r="K420" s="14"/>
    </row>
    <row r="421" spans="1:11" ht="16.5" customHeight="1" x14ac:dyDescent="0.25">
      <c r="A421" s="40"/>
      <c r="B421" s="86"/>
      <c r="C421" s="86"/>
      <c r="D421" s="86"/>
      <c r="E421" s="98"/>
      <c r="F421" s="421" t="s">
        <v>63</v>
      </c>
      <c r="G421" s="89">
        <f t="shared" ref="G421" si="110">SUM(G418:G420)</f>
        <v>3279</v>
      </c>
      <c r="H421" s="432">
        <f t="shared" ref="H421:I421" si="111">SUM(H418:H420)</f>
        <v>3279</v>
      </c>
      <c r="I421" s="605">
        <f t="shared" si="111"/>
        <v>3062</v>
      </c>
      <c r="K421" s="14"/>
    </row>
    <row r="422" spans="1:11" ht="16.5" customHeight="1" x14ac:dyDescent="0.25">
      <c r="A422" s="40"/>
      <c r="B422" s="86"/>
      <c r="C422" s="86"/>
      <c r="D422" s="86"/>
      <c r="E422" s="98"/>
      <c r="F422" s="247"/>
      <c r="G422" s="89"/>
      <c r="H422" s="303"/>
      <c r="I422" s="604"/>
      <c r="K422" s="14"/>
    </row>
    <row r="423" spans="1:11" ht="16.5" customHeight="1" x14ac:dyDescent="0.25">
      <c r="A423" s="40"/>
      <c r="B423" s="86">
        <v>35</v>
      </c>
      <c r="C423" s="86"/>
      <c r="D423" s="86"/>
      <c r="E423" s="98"/>
      <c r="F423" s="248" t="s">
        <v>42</v>
      </c>
      <c r="G423" s="89"/>
      <c r="H423" s="303"/>
      <c r="I423" s="604"/>
      <c r="K423" s="14"/>
    </row>
    <row r="424" spans="1:11" ht="16.5" customHeight="1" x14ac:dyDescent="0.25">
      <c r="A424" s="40"/>
      <c r="B424" s="86"/>
      <c r="C424" s="86">
        <v>1</v>
      </c>
      <c r="D424" s="86"/>
      <c r="E424" s="420" t="s">
        <v>97</v>
      </c>
      <c r="F424" s="92"/>
      <c r="G424" s="89"/>
      <c r="H424" s="303"/>
      <c r="I424" s="604"/>
      <c r="K424" s="14"/>
    </row>
    <row r="425" spans="1:11" ht="16.5" customHeight="1" x14ac:dyDescent="0.25">
      <c r="A425" s="40"/>
      <c r="B425" s="86"/>
      <c r="C425" s="86"/>
      <c r="D425" s="86">
        <v>1</v>
      </c>
      <c r="E425" s="98"/>
      <c r="F425" s="92" t="s">
        <v>227</v>
      </c>
      <c r="G425" s="87">
        <v>3034</v>
      </c>
      <c r="H425" s="303">
        <f t="shared" ref="H425" si="112">3034-734</f>
        <v>2300</v>
      </c>
      <c r="I425" s="604">
        <v>2252</v>
      </c>
      <c r="K425" s="14"/>
    </row>
    <row r="426" spans="1:11" ht="16.5" customHeight="1" x14ac:dyDescent="0.25">
      <c r="A426" s="40"/>
      <c r="B426" s="86"/>
      <c r="C426" s="86"/>
      <c r="D426" s="86">
        <v>2</v>
      </c>
      <c r="E426" s="98"/>
      <c r="F426" s="92" t="s">
        <v>228</v>
      </c>
      <c r="G426" s="87">
        <v>1097</v>
      </c>
      <c r="H426" s="303">
        <f t="shared" ref="H426" si="113">1097-490</f>
        <v>607</v>
      </c>
      <c r="I426" s="604">
        <v>447</v>
      </c>
      <c r="K426" s="14"/>
    </row>
    <row r="427" spans="1:11" ht="16.5" customHeight="1" x14ac:dyDescent="0.25">
      <c r="A427" s="40"/>
      <c r="B427" s="86"/>
      <c r="C427" s="86"/>
      <c r="D427" s="86">
        <v>3</v>
      </c>
      <c r="E427" s="98"/>
      <c r="F427" s="92" t="s">
        <v>98</v>
      </c>
      <c r="G427" s="87">
        <v>18094</v>
      </c>
      <c r="H427" s="303">
        <f>18094+1300+1000</f>
        <v>20394</v>
      </c>
      <c r="I427" s="604">
        <v>19421</v>
      </c>
      <c r="K427" s="14"/>
    </row>
    <row r="428" spans="1:11" ht="16.5" customHeight="1" x14ac:dyDescent="0.25">
      <c r="A428" s="40"/>
      <c r="B428" s="86"/>
      <c r="C428" s="86"/>
      <c r="D428" s="86"/>
      <c r="E428" s="98"/>
      <c r="F428" s="421" t="s">
        <v>63</v>
      </c>
      <c r="G428" s="89">
        <f t="shared" ref="G428" si="114">SUM(G425:G427)</f>
        <v>22225</v>
      </c>
      <c r="H428" s="432">
        <f t="shared" ref="H428:I428" si="115">SUM(H425:H427)</f>
        <v>23301</v>
      </c>
      <c r="I428" s="605">
        <f t="shared" si="115"/>
        <v>22120</v>
      </c>
      <c r="K428" s="14"/>
    </row>
    <row r="429" spans="1:11" ht="16.5" customHeight="1" x14ac:dyDescent="0.25">
      <c r="A429" s="40"/>
      <c r="B429" s="86"/>
      <c r="C429" s="86"/>
      <c r="D429" s="86"/>
      <c r="E429" s="98"/>
      <c r="F429" s="421"/>
      <c r="G429" s="89"/>
      <c r="H429" s="303"/>
      <c r="I429" s="604"/>
      <c r="K429" s="14"/>
    </row>
    <row r="430" spans="1:11" ht="16.5" customHeight="1" x14ac:dyDescent="0.25">
      <c r="A430" s="40"/>
      <c r="B430" s="86"/>
      <c r="C430" s="86">
        <v>2</v>
      </c>
      <c r="D430" s="86"/>
      <c r="E430" s="24" t="s">
        <v>103</v>
      </c>
      <c r="F430" s="92"/>
      <c r="G430" s="89"/>
      <c r="H430" s="303"/>
      <c r="I430" s="604"/>
      <c r="K430" s="14"/>
    </row>
    <row r="431" spans="1:11" ht="16.5" customHeight="1" x14ac:dyDescent="0.25">
      <c r="A431" s="40"/>
      <c r="B431" s="86"/>
      <c r="C431" s="15"/>
      <c r="D431" s="86">
        <v>2</v>
      </c>
      <c r="E431" s="24"/>
      <c r="F431" s="92" t="s">
        <v>295</v>
      </c>
      <c r="G431" s="87">
        <v>13</v>
      </c>
      <c r="H431" s="303">
        <v>13</v>
      </c>
      <c r="I431" s="604"/>
      <c r="K431" s="14"/>
    </row>
    <row r="432" spans="1:11" ht="16.5" customHeight="1" x14ac:dyDescent="0.25">
      <c r="A432" s="40"/>
      <c r="B432" s="86"/>
      <c r="C432" s="15"/>
      <c r="D432" s="86">
        <v>13</v>
      </c>
      <c r="E432" s="98"/>
      <c r="F432" s="92" t="s">
        <v>418</v>
      </c>
      <c r="G432" s="87">
        <v>48</v>
      </c>
      <c r="H432" s="303">
        <v>48</v>
      </c>
      <c r="I432" s="604"/>
      <c r="K432" s="14"/>
    </row>
    <row r="433" spans="1:11" ht="16.5" customHeight="1" x14ac:dyDescent="0.25">
      <c r="A433" s="40"/>
      <c r="B433" s="86"/>
      <c r="C433" s="15"/>
      <c r="D433" s="15"/>
      <c r="E433" s="98"/>
      <c r="F433" s="421" t="s">
        <v>63</v>
      </c>
      <c r="G433" s="89">
        <f t="shared" ref="G433" si="116">SUM(G431:G432)</f>
        <v>61</v>
      </c>
      <c r="H433" s="432">
        <f t="shared" ref="H433:I433" si="117">SUM(H431:H432)</f>
        <v>61</v>
      </c>
      <c r="I433" s="605">
        <f t="shared" si="117"/>
        <v>0</v>
      </c>
      <c r="K433" s="14"/>
    </row>
    <row r="434" spans="1:11" ht="16.5" customHeight="1" x14ac:dyDescent="0.25">
      <c r="A434" s="40"/>
      <c r="B434" s="86"/>
      <c r="C434" s="15"/>
      <c r="D434" s="15"/>
      <c r="E434" s="98"/>
      <c r="F434" s="421"/>
      <c r="G434" s="89"/>
      <c r="H434" s="303"/>
      <c r="I434" s="604"/>
      <c r="K434" s="14"/>
    </row>
    <row r="435" spans="1:11" ht="16.5" customHeight="1" x14ac:dyDescent="0.25">
      <c r="A435" s="40"/>
      <c r="B435" s="86"/>
      <c r="C435" s="15"/>
      <c r="D435" s="15"/>
      <c r="E435" s="98"/>
      <c r="F435" s="421" t="s">
        <v>101</v>
      </c>
      <c r="G435" s="89">
        <f t="shared" ref="G435" si="118">+G428+G433</f>
        <v>22286</v>
      </c>
      <c r="H435" s="432">
        <f t="shared" ref="H435:I435" si="119">+H428+H433</f>
        <v>23362</v>
      </c>
      <c r="I435" s="605">
        <f t="shared" si="119"/>
        <v>22120</v>
      </c>
      <c r="K435" s="14"/>
    </row>
    <row r="436" spans="1:11" ht="16.5" customHeight="1" x14ac:dyDescent="0.25">
      <c r="A436" s="40"/>
      <c r="B436" s="86"/>
      <c r="C436" s="15"/>
      <c r="D436" s="15"/>
      <c r="E436" s="98"/>
      <c r="F436" s="421"/>
      <c r="G436" s="89"/>
      <c r="H436" s="303"/>
      <c r="I436" s="604"/>
      <c r="K436" s="14"/>
    </row>
    <row r="437" spans="1:11" ht="16.5" customHeight="1" x14ac:dyDescent="0.25">
      <c r="A437" s="40"/>
      <c r="B437" s="86">
        <v>36</v>
      </c>
      <c r="C437" s="86"/>
      <c r="D437" s="86"/>
      <c r="E437" s="98"/>
      <c r="F437" s="250" t="s">
        <v>370</v>
      </c>
      <c r="G437" s="89"/>
      <c r="H437" s="303"/>
      <c r="I437" s="604"/>
      <c r="K437" s="14"/>
    </row>
    <row r="438" spans="1:11" ht="16.5" customHeight="1" x14ac:dyDescent="0.25">
      <c r="A438" s="40"/>
      <c r="B438" s="86"/>
      <c r="C438" s="86">
        <v>1</v>
      </c>
      <c r="D438" s="86"/>
      <c r="E438" s="420" t="s">
        <v>97</v>
      </c>
      <c r="F438" s="92"/>
      <c r="G438" s="89"/>
      <c r="H438" s="303"/>
      <c r="I438" s="604"/>
      <c r="K438" s="14"/>
    </row>
    <row r="439" spans="1:11" ht="16.5" customHeight="1" x14ac:dyDescent="0.25">
      <c r="A439" s="40"/>
      <c r="B439" s="86"/>
      <c r="C439" s="86"/>
      <c r="D439" s="86">
        <v>1</v>
      </c>
      <c r="E439" s="98"/>
      <c r="F439" s="92" t="s">
        <v>227</v>
      </c>
      <c r="G439" s="87">
        <v>5700</v>
      </c>
      <c r="H439" s="303">
        <v>5700</v>
      </c>
      <c r="I439" s="604">
        <v>5430</v>
      </c>
      <c r="K439" s="14"/>
    </row>
    <row r="440" spans="1:11" ht="16.5" customHeight="1" x14ac:dyDescent="0.25">
      <c r="A440" s="40"/>
      <c r="B440" s="86"/>
      <c r="C440" s="86"/>
      <c r="D440" s="86">
        <v>2</v>
      </c>
      <c r="E440" s="98"/>
      <c r="F440" s="92" t="s">
        <v>228</v>
      </c>
      <c r="G440" s="87">
        <v>1140</v>
      </c>
      <c r="H440" s="303">
        <v>1140</v>
      </c>
      <c r="I440" s="604">
        <v>1040</v>
      </c>
      <c r="K440" s="14"/>
    </row>
    <row r="441" spans="1:11" ht="16.5" customHeight="1" x14ac:dyDescent="0.25">
      <c r="A441" s="40"/>
      <c r="B441" s="86"/>
      <c r="C441" s="86"/>
      <c r="D441" s="86">
        <v>3</v>
      </c>
      <c r="E441" s="98"/>
      <c r="F441" s="92" t="s">
        <v>98</v>
      </c>
      <c r="G441" s="87">
        <v>1937</v>
      </c>
      <c r="H441" s="303">
        <v>1937</v>
      </c>
      <c r="I441" s="604">
        <v>1461</v>
      </c>
      <c r="K441" s="14"/>
    </row>
    <row r="442" spans="1:11" ht="16.5" customHeight="1" x14ac:dyDescent="0.25">
      <c r="A442" s="40"/>
      <c r="B442" s="86"/>
      <c r="C442" s="86"/>
      <c r="D442" s="86"/>
      <c r="E442" s="98"/>
      <c r="F442" s="421" t="s">
        <v>63</v>
      </c>
      <c r="G442" s="89">
        <f t="shared" ref="G442" si="120">SUM(G439:G441)</f>
        <v>8777</v>
      </c>
      <c r="H442" s="432">
        <f t="shared" ref="H442:I442" si="121">SUM(H439:H441)</f>
        <v>8777</v>
      </c>
      <c r="I442" s="605">
        <f t="shared" si="121"/>
        <v>7931</v>
      </c>
      <c r="K442" s="14"/>
    </row>
    <row r="443" spans="1:11" ht="16.5" customHeight="1" x14ac:dyDescent="0.25">
      <c r="A443" s="49"/>
      <c r="B443" s="93"/>
      <c r="C443" s="15"/>
      <c r="D443" s="15"/>
      <c r="E443" s="98"/>
      <c r="F443" s="421"/>
      <c r="G443" s="94"/>
      <c r="H443" s="432"/>
      <c r="I443" s="605"/>
      <c r="K443" s="14"/>
    </row>
    <row r="444" spans="1:11" ht="16.5" customHeight="1" x14ac:dyDescent="0.25">
      <c r="A444" s="49"/>
      <c r="B444" s="93"/>
      <c r="C444" s="86"/>
      <c r="D444" s="86"/>
      <c r="E444" s="98"/>
      <c r="F444" s="421" t="s">
        <v>1047</v>
      </c>
      <c r="G444" s="94"/>
      <c r="H444" s="432"/>
      <c r="I444" s="605"/>
      <c r="K444" s="14"/>
    </row>
    <row r="445" spans="1:11" ht="16.5" customHeight="1" x14ac:dyDescent="0.25">
      <c r="A445" s="49"/>
      <c r="B445" s="93"/>
      <c r="C445" s="86">
        <v>1</v>
      </c>
      <c r="D445" s="86"/>
      <c r="E445" s="24" t="s">
        <v>229</v>
      </c>
      <c r="F445" s="92"/>
      <c r="G445" s="94"/>
      <c r="H445" s="432"/>
      <c r="I445" s="605"/>
      <c r="K445" s="14"/>
    </row>
    <row r="446" spans="1:11" ht="16.5" customHeight="1" x14ac:dyDescent="0.25">
      <c r="A446" s="49"/>
      <c r="B446" s="93"/>
      <c r="C446" s="86"/>
      <c r="D446" s="86">
        <v>1</v>
      </c>
      <c r="E446" s="98"/>
      <c r="F446" s="92" t="s">
        <v>1049</v>
      </c>
      <c r="G446" s="94"/>
      <c r="H446" s="432"/>
      <c r="I446" s="604">
        <v>15</v>
      </c>
      <c r="K446" s="14"/>
    </row>
    <row r="447" spans="1:11" ht="16.5" customHeight="1" x14ac:dyDescent="0.25">
      <c r="A447" s="49"/>
      <c r="B447" s="93"/>
      <c r="C447" s="86"/>
      <c r="D447" s="86">
        <v>2</v>
      </c>
      <c r="E447" s="98"/>
      <c r="F447" s="92" t="s">
        <v>228</v>
      </c>
      <c r="G447" s="94"/>
      <c r="H447" s="303"/>
      <c r="I447" s="604"/>
      <c r="K447" s="14"/>
    </row>
    <row r="448" spans="1:11" ht="16.5" customHeight="1" x14ac:dyDescent="0.25">
      <c r="A448" s="49"/>
      <c r="B448" s="93"/>
      <c r="C448" s="86"/>
      <c r="D448" s="86"/>
      <c r="E448" s="98"/>
      <c r="F448" s="92"/>
      <c r="G448" s="94"/>
      <c r="H448" s="303"/>
      <c r="I448" s="604"/>
      <c r="K448" s="14"/>
    </row>
    <row r="449" spans="1:11" ht="16.5" customHeight="1" x14ac:dyDescent="0.25">
      <c r="A449" s="49"/>
      <c r="B449" s="93"/>
      <c r="C449" s="86">
        <v>2</v>
      </c>
      <c r="D449" s="86"/>
      <c r="E449" s="24" t="s">
        <v>103</v>
      </c>
      <c r="F449" s="92"/>
      <c r="G449" s="94"/>
      <c r="H449" s="303"/>
      <c r="I449" s="604"/>
      <c r="K449" s="14"/>
    </row>
    <row r="450" spans="1:11" ht="16.5" customHeight="1" x14ac:dyDescent="0.25">
      <c r="A450" s="49"/>
      <c r="B450" s="93"/>
      <c r="C450" s="15"/>
      <c r="D450" s="86">
        <v>2</v>
      </c>
      <c r="E450" s="24"/>
      <c r="F450" s="92" t="s">
        <v>295</v>
      </c>
      <c r="G450" s="91">
        <v>19</v>
      </c>
      <c r="H450" s="303">
        <f t="shared" ref="H450" si="122">19+15</f>
        <v>34</v>
      </c>
      <c r="I450" s="604">
        <v>21</v>
      </c>
      <c r="K450" s="14"/>
    </row>
    <row r="451" spans="1:11" ht="16.5" customHeight="1" x14ac:dyDescent="0.25">
      <c r="A451" s="49"/>
      <c r="B451" s="93"/>
      <c r="C451" s="15"/>
      <c r="D451" s="86">
        <v>13</v>
      </c>
      <c r="E451" s="98"/>
      <c r="F451" s="92" t="s">
        <v>418</v>
      </c>
      <c r="G451" s="91">
        <v>72</v>
      </c>
      <c r="H451" s="303">
        <f t="shared" ref="H451" si="123">72+55</f>
        <v>127</v>
      </c>
      <c r="I451" s="604">
        <v>126</v>
      </c>
      <c r="K451" s="14"/>
    </row>
    <row r="452" spans="1:11" ht="16.5" customHeight="1" x14ac:dyDescent="0.25">
      <c r="A452" s="49"/>
      <c r="B452" s="93"/>
      <c r="C452" s="15"/>
      <c r="D452" s="15"/>
      <c r="E452" s="98"/>
      <c r="F452" s="421" t="s">
        <v>63</v>
      </c>
      <c r="G452" s="94">
        <f t="shared" ref="G452" si="124">SUM(G450:G451)</f>
        <v>91</v>
      </c>
      <c r="H452" s="432">
        <f t="shared" ref="H452:I452" si="125">SUM(H450:H451)</f>
        <v>161</v>
      </c>
      <c r="I452" s="605">
        <f t="shared" si="125"/>
        <v>147</v>
      </c>
      <c r="K452" s="14"/>
    </row>
    <row r="453" spans="1:11" ht="16.5" customHeight="1" x14ac:dyDescent="0.25">
      <c r="A453" s="49"/>
      <c r="B453" s="93"/>
      <c r="C453" s="15"/>
      <c r="D453" s="15"/>
      <c r="E453" s="98"/>
      <c r="F453" s="421"/>
      <c r="G453" s="94"/>
      <c r="H453" s="303"/>
      <c r="I453" s="604"/>
      <c r="K453" s="14"/>
    </row>
    <row r="454" spans="1:11" ht="16.5" customHeight="1" x14ac:dyDescent="0.25">
      <c r="A454" s="49"/>
      <c r="B454" s="93"/>
      <c r="C454" s="15"/>
      <c r="D454" s="15"/>
      <c r="E454" s="98"/>
      <c r="F454" s="421" t="s">
        <v>101</v>
      </c>
      <c r="G454" s="94">
        <f>+G442+G452</f>
        <v>8868</v>
      </c>
      <c r="H454" s="432">
        <f>+H442+H452</f>
        <v>8938</v>
      </c>
      <c r="I454" s="605">
        <f>+I442+I452</f>
        <v>8078</v>
      </c>
      <c r="K454" s="14"/>
    </row>
    <row r="455" spans="1:11" ht="16.5" customHeight="1" x14ac:dyDescent="0.25">
      <c r="A455" s="49"/>
      <c r="B455" s="93"/>
      <c r="C455" s="15"/>
      <c r="D455" s="15"/>
      <c r="E455" s="98"/>
      <c r="F455" s="421"/>
      <c r="G455" s="94"/>
      <c r="H455" s="303"/>
      <c r="I455" s="604"/>
      <c r="K455" s="14"/>
    </row>
    <row r="456" spans="1:11" ht="16.5" customHeight="1" x14ac:dyDescent="0.25">
      <c r="A456" s="49"/>
      <c r="B456" s="86">
        <v>37</v>
      </c>
      <c r="C456" s="86"/>
      <c r="D456" s="86"/>
      <c r="E456" s="98"/>
      <c r="F456" s="250" t="s">
        <v>371</v>
      </c>
      <c r="G456" s="89"/>
      <c r="H456" s="303"/>
      <c r="I456" s="604"/>
      <c r="K456" s="14"/>
    </row>
    <row r="457" spans="1:11" ht="16.5" customHeight="1" x14ac:dyDescent="0.25">
      <c r="A457" s="49"/>
      <c r="B457" s="86"/>
      <c r="C457" s="86">
        <v>1</v>
      </c>
      <c r="D457" s="86"/>
      <c r="E457" s="420" t="s">
        <v>97</v>
      </c>
      <c r="F457" s="92"/>
      <c r="G457" s="89"/>
      <c r="H457" s="303"/>
      <c r="I457" s="604"/>
      <c r="K457" s="14"/>
    </row>
    <row r="458" spans="1:11" ht="16.5" customHeight="1" x14ac:dyDescent="0.25">
      <c r="A458" s="49"/>
      <c r="B458" s="86"/>
      <c r="C458" s="86"/>
      <c r="D458" s="86">
        <v>1</v>
      </c>
      <c r="E458" s="98"/>
      <c r="F458" s="92" t="s">
        <v>227</v>
      </c>
      <c r="G458" s="87">
        <v>3620</v>
      </c>
      <c r="H458" s="303">
        <v>3620</v>
      </c>
      <c r="I458" s="604">
        <v>3529</v>
      </c>
      <c r="K458" s="14"/>
    </row>
    <row r="459" spans="1:11" ht="16.5" customHeight="1" x14ac:dyDescent="0.25">
      <c r="A459" s="49"/>
      <c r="B459" s="86"/>
      <c r="C459" s="86"/>
      <c r="D459" s="86">
        <v>2</v>
      </c>
      <c r="E459" s="98"/>
      <c r="F459" s="92" t="s">
        <v>228</v>
      </c>
      <c r="G459" s="87">
        <v>724</v>
      </c>
      <c r="H459" s="303">
        <v>724</v>
      </c>
      <c r="I459" s="604">
        <v>677</v>
      </c>
      <c r="K459" s="14"/>
    </row>
    <row r="460" spans="1:11" ht="16.5" customHeight="1" x14ac:dyDescent="0.25">
      <c r="A460" s="49"/>
      <c r="B460" s="86"/>
      <c r="C460" s="86"/>
      <c r="D460" s="86">
        <v>3</v>
      </c>
      <c r="E460" s="98"/>
      <c r="F460" s="92" t="s">
        <v>98</v>
      </c>
      <c r="G460" s="87">
        <v>467</v>
      </c>
      <c r="H460" s="303">
        <v>467</v>
      </c>
      <c r="I460" s="604">
        <v>404</v>
      </c>
      <c r="K460" s="14"/>
    </row>
    <row r="461" spans="1:11" ht="16.5" customHeight="1" x14ac:dyDescent="0.25">
      <c r="A461" s="49"/>
      <c r="B461" s="86"/>
      <c r="C461" s="86"/>
      <c r="D461" s="86"/>
      <c r="E461" s="98"/>
      <c r="F461" s="421" t="s">
        <v>63</v>
      </c>
      <c r="G461" s="89">
        <f t="shared" ref="G461" si="126">SUM(G458:G460)</f>
        <v>4811</v>
      </c>
      <c r="H461" s="432">
        <f t="shared" ref="H461:I461" si="127">SUM(H458:H460)</f>
        <v>4811</v>
      </c>
      <c r="I461" s="605">
        <f t="shared" si="127"/>
        <v>4610</v>
      </c>
      <c r="K461" s="14"/>
    </row>
    <row r="462" spans="1:11" ht="16.5" customHeight="1" x14ac:dyDescent="0.25">
      <c r="A462" s="49"/>
      <c r="B462" s="93"/>
      <c r="C462" s="15"/>
      <c r="D462" s="15"/>
      <c r="E462" s="98"/>
      <c r="F462" s="246"/>
      <c r="G462" s="91"/>
      <c r="H462" s="303"/>
      <c r="I462" s="604"/>
      <c r="K462" s="14"/>
    </row>
    <row r="463" spans="1:11" ht="16.5" customHeight="1" x14ac:dyDescent="0.25">
      <c r="A463" s="40"/>
      <c r="B463" s="92">
        <v>38</v>
      </c>
      <c r="C463" s="86"/>
      <c r="D463" s="86"/>
      <c r="E463" s="98"/>
      <c r="F463" s="250" t="s">
        <v>309</v>
      </c>
      <c r="G463" s="42"/>
      <c r="H463" s="303"/>
      <c r="I463" s="604"/>
      <c r="K463" s="14"/>
    </row>
    <row r="464" spans="1:11" ht="16.5" customHeight="1" x14ac:dyDescent="0.25">
      <c r="A464" s="40"/>
      <c r="B464" s="92"/>
      <c r="C464" s="86">
        <v>1</v>
      </c>
      <c r="D464" s="86"/>
      <c r="E464" s="420" t="s">
        <v>229</v>
      </c>
      <c r="F464" s="92"/>
      <c r="G464" s="42"/>
      <c r="H464" s="303"/>
      <c r="I464" s="604"/>
      <c r="K464" s="14"/>
    </row>
    <row r="465" spans="1:11" ht="16.5" customHeight="1" x14ac:dyDescent="0.25">
      <c r="A465" s="40"/>
      <c r="B465" s="92"/>
      <c r="C465" s="86"/>
      <c r="D465" s="86">
        <v>3</v>
      </c>
      <c r="E465" s="98"/>
      <c r="F465" s="246" t="s">
        <v>208</v>
      </c>
      <c r="G465" s="42">
        <v>597</v>
      </c>
      <c r="H465" s="303">
        <f>597+400</f>
        <v>997</v>
      </c>
      <c r="I465" s="604">
        <v>759</v>
      </c>
      <c r="K465" s="14"/>
    </row>
    <row r="466" spans="1:11" ht="16.5" customHeight="1" x14ac:dyDescent="0.25">
      <c r="A466" s="40"/>
      <c r="B466" s="92"/>
      <c r="C466" s="86"/>
      <c r="D466" s="86"/>
      <c r="E466" s="98"/>
      <c r="F466" s="421" t="s">
        <v>63</v>
      </c>
      <c r="G466" s="89">
        <f t="shared" ref="G466" si="128">SUM(G465:G465)</f>
        <v>597</v>
      </c>
      <c r="H466" s="432">
        <f t="shared" ref="H466:I466" si="129">SUM(H465:H465)</f>
        <v>997</v>
      </c>
      <c r="I466" s="605">
        <f t="shared" si="129"/>
        <v>759</v>
      </c>
      <c r="K466" s="14"/>
    </row>
    <row r="467" spans="1:11" ht="16.5" customHeight="1" x14ac:dyDescent="0.25">
      <c r="A467" s="40"/>
      <c r="B467" s="92"/>
      <c r="C467" s="86"/>
      <c r="D467" s="86"/>
      <c r="E467" s="98"/>
      <c r="F467" s="421"/>
      <c r="G467" s="89"/>
      <c r="H467" s="303"/>
      <c r="I467" s="604"/>
      <c r="K467" s="14"/>
    </row>
    <row r="468" spans="1:11" ht="16.5" customHeight="1" x14ac:dyDescent="0.25">
      <c r="A468" s="49"/>
      <c r="B468" s="93">
        <v>17</v>
      </c>
      <c r="C468" s="15"/>
      <c r="D468" s="15"/>
      <c r="E468" s="98"/>
      <c r="F468" s="250" t="s">
        <v>244</v>
      </c>
      <c r="G468" s="94"/>
      <c r="H468" s="303"/>
      <c r="I468" s="604"/>
      <c r="K468" s="14"/>
    </row>
    <row r="469" spans="1:11" ht="16.5" customHeight="1" x14ac:dyDescent="0.25">
      <c r="A469" s="49"/>
      <c r="B469" s="93"/>
      <c r="C469" s="86">
        <v>1</v>
      </c>
      <c r="D469" s="86"/>
      <c r="E469" s="420" t="s">
        <v>97</v>
      </c>
      <c r="F469" s="92"/>
      <c r="G469" s="94"/>
      <c r="H469" s="303"/>
      <c r="I469" s="604"/>
      <c r="K469" s="14"/>
    </row>
    <row r="470" spans="1:11" ht="16.5" customHeight="1" x14ac:dyDescent="0.25">
      <c r="A470" s="49"/>
      <c r="B470" s="93"/>
      <c r="C470" s="86"/>
      <c r="D470" s="86">
        <v>1</v>
      </c>
      <c r="E470" s="98"/>
      <c r="F470" s="92" t="s">
        <v>227</v>
      </c>
      <c r="G470" s="94"/>
      <c r="H470" s="303">
        <f>978+734+1468</f>
        <v>3180</v>
      </c>
      <c r="I470" s="604">
        <v>2936</v>
      </c>
      <c r="K470" s="14"/>
    </row>
    <row r="471" spans="1:11" ht="16.5" customHeight="1" x14ac:dyDescent="0.25">
      <c r="A471" s="49"/>
      <c r="B471" s="93"/>
      <c r="C471" s="86"/>
      <c r="D471" s="86">
        <v>2</v>
      </c>
      <c r="E471" s="98"/>
      <c r="F471" s="92" t="s">
        <v>228</v>
      </c>
      <c r="G471" s="94"/>
      <c r="H471" s="303">
        <f>95+490+143</f>
        <v>728</v>
      </c>
      <c r="I471" s="604">
        <v>289</v>
      </c>
      <c r="K471" s="14"/>
    </row>
    <row r="472" spans="1:11" ht="16.5" customHeight="1" x14ac:dyDescent="0.25">
      <c r="A472" s="49"/>
      <c r="B472" s="93"/>
      <c r="C472" s="15"/>
      <c r="D472" s="15"/>
      <c r="E472" s="98"/>
      <c r="F472" s="421" t="s">
        <v>63</v>
      </c>
      <c r="G472" s="94"/>
      <c r="H472" s="432">
        <f t="shared" ref="H472:I472" si="130">SUM(H470:H471)</f>
        <v>3908</v>
      </c>
      <c r="I472" s="605">
        <f t="shared" si="130"/>
        <v>3225</v>
      </c>
      <c r="K472" s="14"/>
    </row>
    <row r="473" spans="1:11" ht="16.5" customHeight="1" x14ac:dyDescent="0.25">
      <c r="A473" s="49"/>
      <c r="B473" s="93"/>
      <c r="C473" s="15"/>
      <c r="D473" s="15"/>
      <c r="E473" s="98"/>
      <c r="F473" s="92"/>
      <c r="G473" s="94"/>
      <c r="H473" s="303"/>
      <c r="I473" s="604"/>
      <c r="K473" s="14"/>
    </row>
    <row r="474" spans="1:11" ht="35.25" customHeight="1" x14ac:dyDescent="0.25">
      <c r="A474" s="49"/>
      <c r="B474" s="258">
        <v>43</v>
      </c>
      <c r="C474" s="86"/>
      <c r="D474" s="17"/>
      <c r="E474" s="24"/>
      <c r="F474" s="414" t="s">
        <v>508</v>
      </c>
      <c r="G474" s="94"/>
      <c r="H474" s="303"/>
      <c r="I474" s="604"/>
      <c r="K474" s="14"/>
    </row>
    <row r="475" spans="1:11" ht="16.5" customHeight="1" x14ac:dyDescent="0.25">
      <c r="A475" s="49"/>
      <c r="B475" s="225"/>
      <c r="C475" s="86">
        <v>1</v>
      </c>
      <c r="D475" s="86"/>
      <c r="E475" s="22" t="s">
        <v>97</v>
      </c>
      <c r="F475" s="294"/>
      <c r="G475" s="94"/>
      <c r="H475" s="303"/>
      <c r="I475" s="604"/>
      <c r="K475" s="14"/>
    </row>
    <row r="476" spans="1:11" ht="16.5" customHeight="1" x14ac:dyDescent="0.25">
      <c r="A476" s="49"/>
      <c r="B476" s="225"/>
      <c r="C476" s="86"/>
      <c r="D476" s="86">
        <v>1</v>
      </c>
      <c r="E476" s="98"/>
      <c r="F476" s="92" t="s">
        <v>227</v>
      </c>
      <c r="G476" s="94"/>
      <c r="H476" s="303">
        <v>1200</v>
      </c>
      <c r="I476" s="604">
        <v>735</v>
      </c>
      <c r="K476" s="14"/>
    </row>
    <row r="477" spans="1:11" ht="16.5" customHeight="1" x14ac:dyDescent="0.25">
      <c r="A477" s="49"/>
      <c r="B477" s="225"/>
      <c r="C477" s="86"/>
      <c r="D477" s="86">
        <v>2</v>
      </c>
      <c r="E477" s="98"/>
      <c r="F477" s="92" t="s">
        <v>228</v>
      </c>
      <c r="G477" s="94"/>
      <c r="H477" s="303">
        <v>234</v>
      </c>
      <c r="I477" s="604">
        <v>144</v>
      </c>
      <c r="K477" s="14"/>
    </row>
    <row r="478" spans="1:11" ht="16.5" customHeight="1" x14ac:dyDescent="0.25">
      <c r="A478" s="49"/>
      <c r="B478" s="225"/>
      <c r="C478" s="86"/>
      <c r="D478" s="17"/>
      <c r="E478" s="24"/>
      <c r="F478" s="108" t="s">
        <v>63</v>
      </c>
      <c r="G478" s="94"/>
      <c r="H478" s="432">
        <f>SUM(H476:H477)</f>
        <v>1434</v>
      </c>
      <c r="I478" s="605">
        <f>SUM(I476:I477)</f>
        <v>879</v>
      </c>
      <c r="K478" s="14"/>
    </row>
    <row r="479" spans="1:11" ht="16.5" customHeight="1" x14ac:dyDescent="0.25">
      <c r="A479" s="49"/>
      <c r="B479" s="93"/>
      <c r="C479" s="15"/>
      <c r="D479" s="15"/>
      <c r="E479" s="98"/>
      <c r="F479" s="92"/>
      <c r="G479" s="94"/>
      <c r="H479" s="303"/>
      <c r="I479" s="604"/>
      <c r="K479" s="14"/>
    </row>
    <row r="480" spans="1:11" ht="16.5" customHeight="1" x14ac:dyDescent="0.25">
      <c r="A480" s="49"/>
      <c r="B480" s="93"/>
      <c r="C480" s="15"/>
      <c r="D480" s="15"/>
      <c r="E480" s="420" t="s">
        <v>105</v>
      </c>
      <c r="F480" s="92"/>
      <c r="G480" s="94"/>
      <c r="H480" s="303"/>
      <c r="I480" s="604"/>
      <c r="K480" s="14"/>
    </row>
    <row r="481" spans="1:11" ht="16.5" customHeight="1" x14ac:dyDescent="0.25">
      <c r="A481" s="49"/>
      <c r="B481" s="93"/>
      <c r="C481" s="15"/>
      <c r="D481" s="15"/>
      <c r="E481" s="420"/>
      <c r="F481" s="92"/>
      <c r="G481" s="94"/>
      <c r="H481" s="303"/>
      <c r="I481" s="604"/>
      <c r="K481" s="14"/>
    </row>
    <row r="482" spans="1:11" ht="16.5" customHeight="1" x14ac:dyDescent="0.25">
      <c r="A482" s="40"/>
      <c r="B482" s="92"/>
      <c r="C482" s="86">
        <v>1</v>
      </c>
      <c r="D482" s="86"/>
      <c r="E482" s="24" t="s">
        <v>97</v>
      </c>
      <c r="F482" s="92"/>
      <c r="G482" s="87"/>
      <c r="H482" s="303"/>
      <c r="I482" s="604"/>
      <c r="K482" s="14"/>
    </row>
    <row r="483" spans="1:11" ht="16.5" customHeight="1" x14ac:dyDescent="0.25">
      <c r="A483" s="40"/>
      <c r="B483" s="92"/>
      <c r="C483" s="86"/>
      <c r="D483" s="86">
        <v>1</v>
      </c>
      <c r="E483" s="98"/>
      <c r="F483" s="92" t="s">
        <v>234</v>
      </c>
      <c r="G483" s="87">
        <f>+G406+G418+G425+G439+G458</f>
        <v>19054</v>
      </c>
      <c r="H483" s="303">
        <f>+H406+H418+H425+H439+H458+H470+H476</f>
        <v>22910</v>
      </c>
      <c r="I483" s="604">
        <f>+I406+I418+I425+I439+I458+I470+I476</f>
        <v>21703</v>
      </c>
      <c r="K483" s="14"/>
    </row>
    <row r="484" spans="1:11" ht="16.5" customHeight="1" x14ac:dyDescent="0.25">
      <c r="A484" s="40"/>
      <c r="B484" s="92"/>
      <c r="C484" s="86"/>
      <c r="D484" s="86">
        <v>2</v>
      </c>
      <c r="E484" s="98"/>
      <c r="F484" s="92" t="s">
        <v>228</v>
      </c>
      <c r="G484" s="87">
        <f>+G407+G419+G426+G440+G459</f>
        <v>4301</v>
      </c>
      <c r="H484" s="303">
        <f>+H407+H419+H426+H440+H459+H471+H477</f>
        <v>4809</v>
      </c>
      <c r="I484" s="604">
        <f>+I407+I419+I426+I440+I459+I471+I477</f>
        <v>3922</v>
      </c>
      <c r="K484" s="14"/>
    </row>
    <row r="485" spans="1:11" ht="16.5" customHeight="1" x14ac:dyDescent="0.25">
      <c r="A485" s="40"/>
      <c r="B485" s="92"/>
      <c r="C485" s="86"/>
      <c r="D485" s="86">
        <v>3</v>
      </c>
      <c r="E485" s="98"/>
      <c r="F485" s="246" t="s">
        <v>98</v>
      </c>
      <c r="G485" s="87">
        <f>+G408+G420+G427+G441+G460+G465</f>
        <v>22573</v>
      </c>
      <c r="H485" s="303">
        <f>+H408+H420+H427+H441+H460+H465</f>
        <v>25243</v>
      </c>
      <c r="I485" s="604">
        <f>+I408+I420+I427+I441+I460+I465</f>
        <v>23260</v>
      </c>
      <c r="K485" s="14"/>
    </row>
    <row r="486" spans="1:11" ht="16.5" customHeight="1" x14ac:dyDescent="0.25">
      <c r="A486" s="40"/>
      <c r="B486" s="92"/>
      <c r="C486" s="86"/>
      <c r="D486" s="86"/>
      <c r="E486" s="98"/>
      <c r="F486" s="421" t="s">
        <v>63</v>
      </c>
      <c r="G486" s="89">
        <f t="shared" ref="G486" si="131">SUM(G483:G485)</f>
        <v>45928</v>
      </c>
      <c r="H486" s="432">
        <f t="shared" ref="H486:I486" si="132">SUM(H483:H485)</f>
        <v>52962</v>
      </c>
      <c r="I486" s="605">
        <f t="shared" si="132"/>
        <v>48885</v>
      </c>
      <c r="K486" s="14"/>
    </row>
    <row r="487" spans="1:11" ht="16.5" customHeight="1" x14ac:dyDescent="0.25">
      <c r="A487" s="40"/>
      <c r="B487" s="92"/>
      <c r="C487" s="86"/>
      <c r="D487" s="86"/>
      <c r="E487" s="98"/>
      <c r="F487" s="421"/>
      <c r="G487" s="89"/>
      <c r="H487" s="303"/>
      <c r="I487" s="604"/>
      <c r="K487" s="14"/>
    </row>
    <row r="488" spans="1:11" ht="16.5" customHeight="1" x14ac:dyDescent="0.25">
      <c r="A488" s="40"/>
      <c r="B488" s="92"/>
      <c r="C488" s="86">
        <v>2</v>
      </c>
      <c r="D488" s="17"/>
      <c r="E488" s="24" t="s">
        <v>400</v>
      </c>
      <c r="F488" s="108"/>
      <c r="G488" s="89"/>
      <c r="H488" s="303"/>
      <c r="I488" s="604"/>
      <c r="K488" s="14"/>
    </row>
    <row r="489" spans="1:11" ht="16.5" customHeight="1" x14ac:dyDescent="0.25">
      <c r="A489" s="40"/>
      <c r="B489" s="92"/>
      <c r="C489" s="17"/>
      <c r="D489" s="86">
        <v>13</v>
      </c>
      <c r="E489" s="98"/>
      <c r="F489" s="92" t="s">
        <v>395</v>
      </c>
      <c r="G489" s="87">
        <f>+G451+G432</f>
        <v>120</v>
      </c>
      <c r="H489" s="303">
        <f>+H451+H432</f>
        <v>175</v>
      </c>
      <c r="I489" s="604">
        <f>+I451+I432</f>
        <v>126</v>
      </c>
      <c r="K489" s="14"/>
    </row>
    <row r="490" spans="1:11" ht="16.5" customHeight="1" x14ac:dyDescent="0.25">
      <c r="A490" s="40"/>
      <c r="B490" s="92"/>
      <c r="C490" s="17"/>
      <c r="D490" s="86">
        <v>2</v>
      </c>
      <c r="E490" s="98"/>
      <c r="F490" s="92" t="s">
        <v>295</v>
      </c>
      <c r="G490" s="87">
        <f>+G450+G431</f>
        <v>32</v>
      </c>
      <c r="H490" s="303">
        <f>+H450+H431</f>
        <v>47</v>
      </c>
      <c r="I490" s="604">
        <f>+I450+I431</f>
        <v>21</v>
      </c>
      <c r="K490" s="14"/>
    </row>
    <row r="491" spans="1:11" ht="16.5" customHeight="1" x14ac:dyDescent="0.25">
      <c r="A491" s="40"/>
      <c r="B491" s="92"/>
      <c r="C491" s="17"/>
      <c r="D491" s="17"/>
      <c r="E491" s="24"/>
      <c r="F491" s="108" t="s">
        <v>63</v>
      </c>
      <c r="G491" s="89">
        <f t="shared" ref="G491" si="133">SUM(G489:G490)</f>
        <v>152</v>
      </c>
      <c r="H491" s="432">
        <f t="shared" ref="H491:I491" si="134">SUM(H489:H490)</f>
        <v>222</v>
      </c>
      <c r="I491" s="605">
        <f t="shared" si="134"/>
        <v>147</v>
      </c>
      <c r="K491" s="14"/>
    </row>
    <row r="492" spans="1:11" ht="16.5" customHeight="1" x14ac:dyDescent="0.25">
      <c r="A492" s="40"/>
      <c r="B492" s="92"/>
      <c r="C492" s="17"/>
      <c r="D492" s="17"/>
      <c r="E492" s="24"/>
      <c r="F492" s="108"/>
      <c r="G492" s="89"/>
      <c r="H492" s="303"/>
      <c r="I492" s="604"/>
      <c r="K492" s="14"/>
    </row>
    <row r="493" spans="1:11" ht="16.5" customHeight="1" x14ac:dyDescent="0.25">
      <c r="A493" s="40"/>
      <c r="B493" s="92"/>
      <c r="C493" s="17"/>
      <c r="D493" s="17"/>
      <c r="E493" s="24"/>
      <c r="F493" s="108" t="s">
        <v>101</v>
      </c>
      <c r="G493" s="89">
        <f t="shared" ref="G493" si="135">+G491+G486</f>
        <v>46080</v>
      </c>
      <c r="H493" s="432">
        <f t="shared" ref="H493:I493" si="136">+H491+H486</f>
        <v>53184</v>
      </c>
      <c r="I493" s="605">
        <f t="shared" si="136"/>
        <v>49032</v>
      </c>
      <c r="K493" s="14"/>
    </row>
    <row r="494" spans="1:11" ht="16.5" customHeight="1" thickBot="1" x14ac:dyDescent="0.3">
      <c r="A494" s="44"/>
      <c r="B494" s="357"/>
      <c r="C494" s="95"/>
      <c r="D494" s="95"/>
      <c r="E494" s="344"/>
      <c r="F494" s="422"/>
      <c r="G494" s="384"/>
      <c r="H494" s="381"/>
      <c r="I494" s="617"/>
      <c r="K494" s="14"/>
    </row>
    <row r="495" spans="1:11" ht="21" customHeight="1" thickTop="1" thickBot="1" x14ac:dyDescent="0.3">
      <c r="A495" s="259">
        <v>4</v>
      </c>
      <c r="B495" s="101"/>
      <c r="C495" s="101"/>
      <c r="D495" s="101"/>
      <c r="E495" s="101"/>
      <c r="F495" s="358" t="s">
        <v>311</v>
      </c>
      <c r="G495" s="286"/>
      <c r="H495" s="382"/>
      <c r="I495" s="618"/>
      <c r="K495" s="14"/>
    </row>
    <row r="496" spans="1:11" ht="16.5" customHeight="1" thickTop="1" x14ac:dyDescent="0.25">
      <c r="A496" s="49"/>
      <c r="B496" s="93"/>
      <c r="C496" s="15"/>
      <c r="D496" s="15"/>
      <c r="E496" s="245"/>
      <c r="F496" s="294"/>
      <c r="G496" s="385"/>
      <c r="H496" s="383"/>
      <c r="I496" s="616"/>
      <c r="K496" s="14"/>
    </row>
    <row r="497" spans="1:11" ht="16.5" customHeight="1" x14ac:dyDescent="0.25">
      <c r="A497" s="40"/>
      <c r="B497" s="86">
        <v>39</v>
      </c>
      <c r="C497" s="86"/>
      <c r="D497" s="86"/>
      <c r="E497" s="98"/>
      <c r="F497" s="248" t="s">
        <v>290</v>
      </c>
      <c r="G497" s="89"/>
      <c r="H497" s="303"/>
      <c r="I497" s="604"/>
      <c r="K497" s="14"/>
    </row>
    <row r="498" spans="1:11" ht="16.5" customHeight="1" x14ac:dyDescent="0.25">
      <c r="A498" s="40"/>
      <c r="B498" s="86"/>
      <c r="C498" s="86">
        <v>1</v>
      </c>
      <c r="D498" s="86"/>
      <c r="E498" s="24" t="s">
        <v>97</v>
      </c>
      <c r="F498" s="92"/>
      <c r="G498" s="89"/>
      <c r="H498" s="303"/>
      <c r="I498" s="604"/>
      <c r="K498" s="14"/>
    </row>
    <row r="499" spans="1:11" ht="16.5" customHeight="1" x14ac:dyDescent="0.25">
      <c r="A499" s="40"/>
      <c r="B499" s="86"/>
      <c r="C499" s="86"/>
      <c r="D499" s="86">
        <v>1</v>
      </c>
      <c r="E499" s="98"/>
      <c r="F499" s="92" t="s">
        <v>227</v>
      </c>
      <c r="G499" s="87">
        <v>35237</v>
      </c>
      <c r="H499" s="303">
        <f>35237+300-2000-350</f>
        <v>33187</v>
      </c>
      <c r="I499" s="604">
        <v>32320</v>
      </c>
      <c r="K499" s="14"/>
    </row>
    <row r="500" spans="1:11" ht="16.5" customHeight="1" x14ac:dyDescent="0.25">
      <c r="A500" s="40"/>
      <c r="B500" s="86"/>
      <c r="C500" s="86"/>
      <c r="D500" s="86">
        <v>2</v>
      </c>
      <c r="E500" s="98"/>
      <c r="F500" s="92" t="s">
        <v>228</v>
      </c>
      <c r="G500" s="87">
        <v>7047</v>
      </c>
      <c r="H500" s="303">
        <f>7047+60-400-200</f>
        <v>6507</v>
      </c>
      <c r="I500" s="604">
        <v>6377</v>
      </c>
      <c r="K500" s="14"/>
    </row>
    <row r="501" spans="1:11" ht="16.5" customHeight="1" x14ac:dyDescent="0.25">
      <c r="A501" s="40"/>
      <c r="B501" s="86"/>
      <c r="C501" s="86"/>
      <c r="D501" s="86">
        <v>3</v>
      </c>
      <c r="E501" s="98"/>
      <c r="F501" s="92" t="s">
        <v>98</v>
      </c>
      <c r="G501" s="87">
        <v>191</v>
      </c>
      <c r="H501" s="303">
        <f>191+50</f>
        <v>241</v>
      </c>
      <c r="I501" s="604">
        <v>197</v>
      </c>
      <c r="K501" s="14"/>
    </row>
    <row r="502" spans="1:11" ht="16.5" customHeight="1" x14ac:dyDescent="0.25">
      <c r="A502" s="40"/>
      <c r="B502" s="86"/>
      <c r="C502" s="86"/>
      <c r="D502" s="86"/>
      <c r="E502" s="98"/>
      <c r="F502" s="421" t="s">
        <v>63</v>
      </c>
      <c r="G502" s="89">
        <f t="shared" ref="G502" si="137">SUM(G499:G501)</f>
        <v>42475</v>
      </c>
      <c r="H502" s="432">
        <f t="shared" ref="H502:I502" si="138">SUM(H499:H501)</f>
        <v>39935</v>
      </c>
      <c r="I502" s="605">
        <f t="shared" si="138"/>
        <v>38894</v>
      </c>
      <c r="K502" s="14"/>
    </row>
    <row r="503" spans="1:11" ht="16.5" customHeight="1" x14ac:dyDescent="0.25">
      <c r="A503" s="40"/>
      <c r="B503" s="86"/>
      <c r="C503" s="86"/>
      <c r="D503" s="86"/>
      <c r="E503" s="98"/>
      <c r="F503" s="421" t="s">
        <v>1047</v>
      </c>
      <c r="G503" s="89"/>
      <c r="H503" s="432"/>
      <c r="I503" s="605"/>
      <c r="K503" s="14"/>
    </row>
    <row r="504" spans="1:11" ht="16.5" customHeight="1" x14ac:dyDescent="0.25">
      <c r="A504" s="40"/>
      <c r="B504" s="86"/>
      <c r="C504" s="86">
        <v>1</v>
      </c>
      <c r="D504" s="86"/>
      <c r="E504" s="24" t="s">
        <v>229</v>
      </c>
      <c r="F504" s="92"/>
      <c r="G504" s="89"/>
      <c r="H504" s="432"/>
      <c r="I504" s="605"/>
      <c r="K504" s="14"/>
    </row>
    <row r="505" spans="1:11" ht="16.5" customHeight="1" x14ac:dyDescent="0.25">
      <c r="A505" s="40"/>
      <c r="B505" s="86"/>
      <c r="C505" s="86"/>
      <c r="D505" s="86">
        <v>1</v>
      </c>
      <c r="E505" s="98"/>
      <c r="F505" s="92" t="s">
        <v>1050</v>
      </c>
      <c r="G505" s="89"/>
      <c r="H505" s="432"/>
      <c r="I505" s="604">
        <v>229</v>
      </c>
      <c r="K505" s="14"/>
    </row>
    <row r="506" spans="1:11" ht="16.5" customHeight="1" x14ac:dyDescent="0.25">
      <c r="A506" s="40"/>
      <c r="B506" s="86"/>
      <c r="C506" s="86"/>
      <c r="D506" s="86">
        <v>2</v>
      </c>
      <c r="E506" s="98"/>
      <c r="F506" s="92" t="s">
        <v>228</v>
      </c>
      <c r="G506" s="89"/>
      <c r="H506" s="432"/>
      <c r="I506" s="604">
        <v>32</v>
      </c>
      <c r="K506" s="14"/>
    </row>
    <row r="507" spans="1:11" ht="16.5" customHeight="1" x14ac:dyDescent="0.25">
      <c r="A507" s="40"/>
      <c r="B507" s="86"/>
      <c r="C507" s="86"/>
      <c r="D507" s="86"/>
      <c r="E507" s="98"/>
      <c r="F507" s="421"/>
      <c r="G507" s="89"/>
      <c r="H507" s="303"/>
      <c r="I507" s="604"/>
      <c r="K507" s="14"/>
    </row>
    <row r="508" spans="1:11" ht="16.5" customHeight="1" x14ac:dyDescent="0.25">
      <c r="A508" s="40"/>
      <c r="B508" s="86">
        <v>40</v>
      </c>
      <c r="C508" s="86"/>
      <c r="D508" s="86"/>
      <c r="E508" s="98"/>
      <c r="F508" s="250" t="s">
        <v>291</v>
      </c>
      <c r="G508" s="89"/>
      <c r="H508" s="303"/>
      <c r="I508" s="604"/>
      <c r="K508" s="14"/>
    </row>
    <row r="509" spans="1:11" ht="16.5" customHeight="1" x14ac:dyDescent="0.25">
      <c r="A509" s="40"/>
      <c r="B509" s="86"/>
      <c r="C509" s="86">
        <v>1</v>
      </c>
      <c r="D509" s="86"/>
      <c r="E509" s="24" t="s">
        <v>97</v>
      </c>
      <c r="F509" s="92"/>
      <c r="G509" s="89"/>
      <c r="H509" s="303"/>
      <c r="I509" s="604"/>
      <c r="K509" s="14"/>
    </row>
    <row r="510" spans="1:11" ht="16.5" customHeight="1" x14ac:dyDescent="0.25">
      <c r="A510" s="40"/>
      <c r="B510" s="86"/>
      <c r="C510" s="86"/>
      <c r="D510" s="86">
        <v>3</v>
      </c>
      <c r="E510" s="98"/>
      <c r="F510" s="92" t="s">
        <v>98</v>
      </c>
      <c r="G510" s="87">
        <v>4064</v>
      </c>
      <c r="H510" s="303">
        <f>4064-115+1800+400</f>
        <v>6149</v>
      </c>
      <c r="I510" s="604">
        <v>4844</v>
      </c>
      <c r="K510" s="14"/>
    </row>
    <row r="511" spans="1:11" ht="16.5" customHeight="1" x14ac:dyDescent="0.25">
      <c r="A511" s="40"/>
      <c r="B511" s="86"/>
      <c r="C511" s="86"/>
      <c r="D511" s="86"/>
      <c r="E511" s="98"/>
      <c r="F511" s="421" t="s">
        <v>63</v>
      </c>
      <c r="G511" s="89">
        <f t="shared" ref="G511" si="139">SUM(G510)</f>
        <v>4064</v>
      </c>
      <c r="H511" s="432">
        <f t="shared" ref="H511:I511" si="140">SUM(H510)</f>
        <v>6149</v>
      </c>
      <c r="I511" s="605">
        <f t="shared" si="140"/>
        <v>4844</v>
      </c>
      <c r="K511" s="14"/>
    </row>
    <row r="512" spans="1:11" ht="16.5" customHeight="1" x14ac:dyDescent="0.25">
      <c r="A512" s="40"/>
      <c r="B512" s="86"/>
      <c r="C512" s="86"/>
      <c r="D512" s="86"/>
      <c r="E512" s="98"/>
      <c r="F512" s="421"/>
      <c r="G512" s="89"/>
      <c r="H512" s="432"/>
      <c r="I512" s="605"/>
      <c r="K512" s="14"/>
    </row>
    <row r="513" spans="1:11" ht="16.5" customHeight="1" x14ac:dyDescent="0.25">
      <c r="A513" s="40"/>
      <c r="B513" s="86"/>
      <c r="C513" s="86">
        <v>2</v>
      </c>
      <c r="D513" s="17"/>
      <c r="E513" s="24" t="s">
        <v>400</v>
      </c>
      <c r="F513" s="108"/>
      <c r="G513" s="89"/>
      <c r="H513" s="432"/>
      <c r="I513" s="605"/>
      <c r="K513" s="14"/>
    </row>
    <row r="514" spans="1:11" ht="16.5" customHeight="1" x14ac:dyDescent="0.25">
      <c r="A514" s="40"/>
      <c r="B514" s="86"/>
      <c r="C514" s="17"/>
      <c r="D514" s="86">
        <v>13</v>
      </c>
      <c r="E514" s="98"/>
      <c r="F514" s="92" t="s">
        <v>395</v>
      </c>
      <c r="G514" s="89"/>
      <c r="H514" s="303">
        <f>90+500+80</f>
        <v>670</v>
      </c>
      <c r="I514" s="604">
        <v>626</v>
      </c>
      <c r="K514" s="14"/>
    </row>
    <row r="515" spans="1:11" ht="16.5" customHeight="1" x14ac:dyDescent="0.25">
      <c r="A515" s="40"/>
      <c r="B515" s="86"/>
      <c r="C515" s="17"/>
      <c r="D515" s="86">
        <v>2</v>
      </c>
      <c r="E515" s="98"/>
      <c r="F515" s="92" t="s">
        <v>295</v>
      </c>
      <c r="G515" s="89"/>
      <c r="H515" s="303">
        <f>100+25+20</f>
        <v>145</v>
      </c>
      <c r="I515" s="604">
        <v>169</v>
      </c>
      <c r="K515" s="14"/>
    </row>
    <row r="516" spans="1:11" ht="16.5" customHeight="1" x14ac:dyDescent="0.25">
      <c r="A516" s="40"/>
      <c r="B516" s="86"/>
      <c r="C516" s="17"/>
      <c r="D516" s="17"/>
      <c r="E516" s="24"/>
      <c r="F516" s="108" t="s">
        <v>63</v>
      </c>
      <c r="G516" s="89"/>
      <c r="H516" s="432">
        <f>SUM(H514:H515)</f>
        <v>815</v>
      </c>
      <c r="I516" s="605">
        <f>SUM(I514:I515)</f>
        <v>795</v>
      </c>
      <c r="K516" s="14"/>
    </row>
    <row r="517" spans="1:11" ht="16.5" customHeight="1" x14ac:dyDescent="0.25">
      <c r="A517" s="40"/>
      <c r="B517" s="86"/>
      <c r="C517" s="86"/>
      <c r="D517" s="86"/>
      <c r="E517" s="98"/>
      <c r="F517" s="421"/>
      <c r="G517" s="89"/>
      <c r="H517" s="432"/>
      <c r="I517" s="605"/>
      <c r="K517" s="14"/>
    </row>
    <row r="518" spans="1:11" ht="16.5" customHeight="1" x14ac:dyDescent="0.25">
      <c r="A518" s="40"/>
      <c r="B518" s="86"/>
      <c r="C518" s="86"/>
      <c r="D518" s="86"/>
      <c r="E518" s="98"/>
      <c r="F518" s="421" t="s">
        <v>101</v>
      </c>
      <c r="G518" s="89"/>
      <c r="H518" s="432">
        <f>+H511+H516</f>
        <v>6964</v>
      </c>
      <c r="I518" s="605">
        <f>+I511+I516</f>
        <v>5639</v>
      </c>
      <c r="K518" s="14"/>
    </row>
    <row r="519" spans="1:11" ht="16.5" customHeight="1" x14ac:dyDescent="0.25">
      <c r="A519" s="40"/>
      <c r="B519" s="86"/>
      <c r="C519" s="86"/>
      <c r="D519" s="86"/>
      <c r="E519" s="98"/>
      <c r="F519" s="421"/>
      <c r="G519" s="89"/>
      <c r="H519" s="303"/>
      <c r="I519" s="604"/>
      <c r="K519" s="14"/>
    </row>
    <row r="520" spans="1:11" ht="16.5" customHeight="1" x14ac:dyDescent="0.25">
      <c r="A520" s="40"/>
      <c r="B520" s="86">
        <v>41</v>
      </c>
      <c r="C520" s="86"/>
      <c r="D520" s="86"/>
      <c r="E520" s="98"/>
      <c r="F520" s="250" t="s">
        <v>306</v>
      </c>
      <c r="G520" s="89"/>
      <c r="H520" s="303"/>
      <c r="I520" s="604"/>
      <c r="K520" s="14"/>
    </row>
    <row r="521" spans="1:11" ht="16.5" customHeight="1" x14ac:dyDescent="0.25">
      <c r="A521" s="40"/>
      <c r="B521" s="86"/>
      <c r="C521" s="86">
        <v>1</v>
      </c>
      <c r="D521" s="86"/>
      <c r="E521" s="24" t="s">
        <v>97</v>
      </c>
      <c r="F521" s="92"/>
      <c r="G521" s="89"/>
      <c r="H521" s="303"/>
      <c r="I521" s="604"/>
      <c r="K521" s="14"/>
    </row>
    <row r="522" spans="1:11" ht="16.5" customHeight="1" x14ac:dyDescent="0.25">
      <c r="A522" s="40"/>
      <c r="B522" s="86"/>
      <c r="C522" s="86"/>
      <c r="D522" s="86">
        <v>1</v>
      </c>
      <c r="E522" s="98"/>
      <c r="F522" s="92" t="s">
        <v>227</v>
      </c>
      <c r="G522" s="87">
        <v>700</v>
      </c>
      <c r="H522" s="303">
        <v>700</v>
      </c>
      <c r="I522" s="604">
        <v>507</v>
      </c>
      <c r="K522" s="14"/>
    </row>
    <row r="523" spans="1:11" ht="16.5" customHeight="1" x14ac:dyDescent="0.25">
      <c r="A523" s="40"/>
      <c r="B523" s="86"/>
      <c r="C523" s="86"/>
      <c r="D523" s="86">
        <v>2</v>
      </c>
      <c r="E523" s="98"/>
      <c r="F523" s="92" t="s">
        <v>228</v>
      </c>
      <c r="G523" s="87">
        <v>140</v>
      </c>
      <c r="H523" s="303">
        <v>140</v>
      </c>
      <c r="I523" s="604">
        <v>89</v>
      </c>
      <c r="K523" s="14"/>
    </row>
    <row r="524" spans="1:11" ht="16.5" customHeight="1" x14ac:dyDescent="0.25">
      <c r="A524" s="40"/>
      <c r="B524" s="86"/>
      <c r="C524" s="86"/>
      <c r="D524" s="86">
        <v>3</v>
      </c>
      <c r="E524" s="98"/>
      <c r="F524" s="92" t="s">
        <v>98</v>
      </c>
      <c r="G524" s="87"/>
      <c r="H524" s="303"/>
      <c r="I524" s="604"/>
      <c r="K524" s="14"/>
    </row>
    <row r="525" spans="1:11" ht="16.5" customHeight="1" x14ac:dyDescent="0.25">
      <c r="A525" s="40"/>
      <c r="B525" s="86"/>
      <c r="C525" s="86"/>
      <c r="D525" s="86"/>
      <c r="E525" s="98"/>
      <c r="F525" s="421" t="s">
        <v>63</v>
      </c>
      <c r="G525" s="89">
        <f t="shared" ref="G525" si="141">SUM(G522:G524)</f>
        <v>840</v>
      </c>
      <c r="H525" s="432">
        <f t="shared" ref="H525:I525" si="142">SUM(H522:H524)</f>
        <v>840</v>
      </c>
      <c r="I525" s="605">
        <f t="shared" si="142"/>
        <v>596</v>
      </c>
      <c r="K525" s="14"/>
    </row>
    <row r="526" spans="1:11" ht="16.5" customHeight="1" x14ac:dyDescent="0.25">
      <c r="A526" s="40"/>
      <c r="B526" s="86"/>
      <c r="C526" s="86"/>
      <c r="D526" s="86"/>
      <c r="E526" s="98"/>
      <c r="F526" s="421"/>
      <c r="G526" s="89"/>
      <c r="H526" s="303"/>
      <c r="I526" s="604"/>
      <c r="K526" s="14"/>
    </row>
    <row r="527" spans="1:11" ht="16.5" customHeight="1" x14ac:dyDescent="0.25">
      <c r="A527" s="40"/>
      <c r="B527" s="92"/>
      <c r="C527" s="86"/>
      <c r="D527" s="86"/>
      <c r="E527" s="24" t="s">
        <v>311</v>
      </c>
      <c r="F527" s="421"/>
      <c r="G527" s="89"/>
      <c r="H527" s="303"/>
      <c r="I527" s="604"/>
      <c r="K527" s="14"/>
    </row>
    <row r="528" spans="1:11" ht="16.5" customHeight="1" x14ac:dyDescent="0.25">
      <c r="A528" s="40"/>
      <c r="B528" s="92"/>
      <c r="C528" s="86"/>
      <c r="D528" s="86"/>
      <c r="E528" s="98"/>
      <c r="F528" s="421"/>
      <c r="G528" s="89"/>
      <c r="H528" s="303"/>
      <c r="I528" s="604"/>
      <c r="K528" s="14"/>
    </row>
    <row r="529" spans="1:11" ht="16.5" customHeight="1" x14ac:dyDescent="0.25">
      <c r="A529" s="40"/>
      <c r="B529" s="92"/>
      <c r="C529" s="86">
        <v>1</v>
      </c>
      <c r="D529" s="86"/>
      <c r="E529" s="24" t="s">
        <v>97</v>
      </c>
      <c r="F529" s="421"/>
      <c r="G529" s="89"/>
      <c r="H529" s="303"/>
      <c r="I529" s="604"/>
      <c r="K529" s="14"/>
    </row>
    <row r="530" spans="1:11" ht="16.5" customHeight="1" x14ac:dyDescent="0.25">
      <c r="A530" s="40"/>
      <c r="B530" s="92"/>
      <c r="C530" s="86"/>
      <c r="D530" s="86">
        <v>1</v>
      </c>
      <c r="E530" s="98"/>
      <c r="F530" s="92" t="s">
        <v>227</v>
      </c>
      <c r="G530" s="87">
        <f>+G499+G522</f>
        <v>35937</v>
      </c>
      <c r="H530" s="303">
        <f t="shared" ref="H530:I530" si="143">+H499+H522</f>
        <v>33887</v>
      </c>
      <c r="I530" s="604">
        <f t="shared" si="143"/>
        <v>32827</v>
      </c>
      <c r="K530" s="14"/>
    </row>
    <row r="531" spans="1:11" ht="16.5" customHeight="1" x14ac:dyDescent="0.25">
      <c r="A531" s="40"/>
      <c r="B531" s="92"/>
      <c r="C531" s="86"/>
      <c r="D531" s="86">
        <v>2</v>
      </c>
      <c r="E531" s="98"/>
      <c r="F531" s="92" t="s">
        <v>228</v>
      </c>
      <c r="G531" s="87">
        <f>+G500+G523</f>
        <v>7187</v>
      </c>
      <c r="H531" s="303">
        <f t="shared" ref="H531:I531" si="144">+H500+H523</f>
        <v>6647</v>
      </c>
      <c r="I531" s="604">
        <f t="shared" si="144"/>
        <v>6466</v>
      </c>
    </row>
    <row r="532" spans="1:11" ht="16.5" customHeight="1" x14ac:dyDescent="0.25">
      <c r="A532" s="40"/>
      <c r="B532" s="86"/>
      <c r="C532" s="86"/>
      <c r="D532" s="86">
        <v>3</v>
      </c>
      <c r="E532" s="98"/>
      <c r="F532" s="92" t="s">
        <v>98</v>
      </c>
      <c r="G532" s="87">
        <f t="shared" ref="G532" si="145">+G501+G510+G524</f>
        <v>4255</v>
      </c>
      <c r="H532" s="303">
        <f t="shared" ref="H532:I532" si="146">+H501+H510+H524</f>
        <v>6390</v>
      </c>
      <c r="I532" s="604">
        <f t="shared" si="146"/>
        <v>5041</v>
      </c>
      <c r="K532" s="14"/>
    </row>
    <row r="533" spans="1:11" ht="16.5" customHeight="1" x14ac:dyDescent="0.25">
      <c r="A533" s="40"/>
      <c r="B533" s="92"/>
      <c r="C533" s="86"/>
      <c r="D533" s="86"/>
      <c r="E533" s="98"/>
      <c r="F533" s="108" t="s">
        <v>63</v>
      </c>
      <c r="G533" s="89">
        <f t="shared" ref="G533" si="147">SUM(G530:G532)</f>
        <v>47379</v>
      </c>
      <c r="H533" s="432">
        <f t="shared" ref="H533:I533" si="148">SUM(H530:H532)</f>
        <v>46924</v>
      </c>
      <c r="I533" s="605">
        <f t="shared" si="148"/>
        <v>44334</v>
      </c>
      <c r="K533" s="14"/>
    </row>
    <row r="534" spans="1:11" ht="16.5" customHeight="1" x14ac:dyDescent="0.25">
      <c r="A534" s="40"/>
      <c r="B534" s="86"/>
      <c r="C534" s="16"/>
      <c r="D534" s="16"/>
      <c r="E534" s="311"/>
      <c r="F534" s="221"/>
      <c r="G534" s="242"/>
      <c r="H534" s="303"/>
      <c r="I534" s="604"/>
      <c r="K534" s="14"/>
    </row>
    <row r="535" spans="1:11" ht="16.5" customHeight="1" x14ac:dyDescent="0.25">
      <c r="A535" s="40"/>
      <c r="B535" s="86"/>
      <c r="C535" s="86">
        <v>2</v>
      </c>
      <c r="D535" s="17"/>
      <c r="E535" s="17" t="s">
        <v>400</v>
      </c>
      <c r="F535" s="17"/>
      <c r="G535" s="89"/>
      <c r="H535" s="432"/>
      <c r="I535" s="605"/>
      <c r="K535" s="14"/>
    </row>
    <row r="536" spans="1:11" ht="16.5" customHeight="1" x14ac:dyDescent="0.25">
      <c r="A536" s="40"/>
      <c r="B536" s="86"/>
      <c r="C536" s="17"/>
      <c r="D536" s="86">
        <v>13</v>
      </c>
      <c r="E536" s="98"/>
      <c r="F536" s="92" t="s">
        <v>395</v>
      </c>
      <c r="G536" s="89"/>
      <c r="H536" s="303">
        <f>+H514</f>
        <v>670</v>
      </c>
      <c r="I536" s="604">
        <f>+I514</f>
        <v>626</v>
      </c>
      <c r="K536" s="14"/>
    </row>
    <row r="537" spans="1:11" ht="16.5" customHeight="1" x14ac:dyDescent="0.25">
      <c r="A537" s="40"/>
      <c r="B537" s="86"/>
      <c r="C537" s="17"/>
      <c r="D537" s="86">
        <v>2</v>
      </c>
      <c r="E537" s="98"/>
      <c r="F537" s="92" t="s">
        <v>295</v>
      </c>
      <c r="G537" s="89"/>
      <c r="H537" s="303">
        <f>+H515</f>
        <v>145</v>
      </c>
      <c r="I537" s="604">
        <f>+I515</f>
        <v>169</v>
      </c>
      <c r="K537" s="14"/>
    </row>
    <row r="538" spans="1:11" ht="16.5" customHeight="1" x14ac:dyDescent="0.25">
      <c r="A538" s="40"/>
      <c r="B538" s="86"/>
      <c r="C538" s="17"/>
      <c r="D538" s="17"/>
      <c r="E538" s="24"/>
      <c r="F538" s="108" t="s">
        <v>63</v>
      </c>
      <c r="G538" s="89"/>
      <c r="H538" s="432">
        <f>SUM(H536:H537)</f>
        <v>815</v>
      </c>
      <c r="I538" s="605">
        <f>SUM(I536:I537)</f>
        <v>795</v>
      </c>
      <c r="K538" s="14"/>
    </row>
    <row r="539" spans="1:11" ht="16.5" customHeight="1" x14ac:dyDescent="0.25">
      <c r="A539" s="40"/>
      <c r="B539" s="86"/>
      <c r="C539" s="86"/>
      <c r="D539" s="86"/>
      <c r="E539" s="98"/>
      <c r="F539" s="108"/>
      <c r="G539" s="89"/>
      <c r="H539" s="303"/>
      <c r="I539" s="604"/>
      <c r="K539" s="14"/>
    </row>
    <row r="540" spans="1:11" ht="16.5" customHeight="1" x14ac:dyDescent="0.25">
      <c r="A540" s="40"/>
      <c r="B540" s="86"/>
      <c r="C540" s="86"/>
      <c r="D540" s="86"/>
      <c r="E540" s="98"/>
      <c r="F540" s="108"/>
      <c r="G540" s="89"/>
      <c r="H540" s="303"/>
      <c r="I540" s="604"/>
      <c r="K540" s="14"/>
    </row>
    <row r="541" spans="1:11" ht="16.5" customHeight="1" x14ac:dyDescent="0.25">
      <c r="A541" s="40"/>
      <c r="B541" s="86"/>
      <c r="C541" s="17"/>
      <c r="D541" s="17"/>
      <c r="E541" s="24"/>
      <c r="F541" s="108" t="s">
        <v>101</v>
      </c>
      <c r="G541" s="89">
        <f t="shared" ref="G541" si="149">+G533</f>
        <v>47379</v>
      </c>
      <c r="H541" s="432">
        <f>+H533+H538</f>
        <v>47739</v>
      </c>
      <c r="I541" s="605">
        <f>+I533+I538</f>
        <v>45129</v>
      </c>
      <c r="K541" s="14"/>
    </row>
    <row r="542" spans="1:11" ht="16.5" customHeight="1" thickBot="1" x14ac:dyDescent="0.3">
      <c r="A542" s="240"/>
      <c r="B542" s="392"/>
      <c r="C542" s="393"/>
      <c r="D542" s="393"/>
      <c r="E542" s="394"/>
      <c r="F542" s="392"/>
      <c r="G542" s="395"/>
      <c r="H542" s="387"/>
      <c r="I542" s="614"/>
      <c r="K542" s="14"/>
    </row>
    <row r="543" spans="1:11" ht="19.5" customHeight="1" thickBot="1" x14ac:dyDescent="0.3">
      <c r="A543" s="106"/>
      <c r="B543" s="107"/>
      <c r="C543" s="85"/>
      <c r="D543" s="85"/>
      <c r="E543" s="252"/>
      <c r="F543" s="253" t="s">
        <v>107</v>
      </c>
      <c r="G543" s="386"/>
      <c r="H543" s="391"/>
      <c r="I543" s="615"/>
    </row>
    <row r="544" spans="1:11" ht="16.5" customHeight="1" thickTop="1" x14ac:dyDescent="0.25">
      <c r="A544" s="40"/>
      <c r="B544" s="92"/>
      <c r="C544" s="86">
        <v>1</v>
      </c>
      <c r="D544" s="86"/>
      <c r="E544" s="24" t="s">
        <v>97</v>
      </c>
      <c r="F544" s="92"/>
      <c r="G544" s="87"/>
      <c r="H544" s="303"/>
      <c r="I544" s="604"/>
    </row>
    <row r="545" spans="1:12" ht="16.5" customHeight="1" x14ac:dyDescent="0.25">
      <c r="A545" s="40"/>
      <c r="B545" s="92"/>
      <c r="C545" s="86"/>
      <c r="D545" s="86">
        <v>1</v>
      </c>
      <c r="E545" s="98"/>
      <c r="F545" s="92" t="s">
        <v>108</v>
      </c>
      <c r="G545" s="87">
        <f t="shared" ref="G545:I547" si="150">+G301+G390+G483+G530</f>
        <v>212398</v>
      </c>
      <c r="H545" s="303">
        <f t="shared" si="150"/>
        <v>226391</v>
      </c>
      <c r="I545" s="604">
        <f t="shared" si="150"/>
        <v>162807</v>
      </c>
      <c r="K545" s="14"/>
    </row>
    <row r="546" spans="1:12" ht="16.5" customHeight="1" x14ac:dyDescent="0.25">
      <c r="A546" s="40"/>
      <c r="B546" s="92"/>
      <c r="C546" s="86"/>
      <c r="D546" s="86">
        <v>2</v>
      </c>
      <c r="E546" s="98"/>
      <c r="F546" s="92" t="s">
        <v>109</v>
      </c>
      <c r="G546" s="87">
        <f t="shared" si="150"/>
        <v>42119</v>
      </c>
      <c r="H546" s="303">
        <f t="shared" si="150"/>
        <v>41623</v>
      </c>
      <c r="I546" s="604">
        <f t="shared" si="150"/>
        <v>28976</v>
      </c>
      <c r="K546" s="14"/>
    </row>
    <row r="547" spans="1:12" ht="16.5" customHeight="1" x14ac:dyDescent="0.25">
      <c r="A547" s="40"/>
      <c r="B547" s="92"/>
      <c r="C547" s="86"/>
      <c r="D547" s="86">
        <v>3</v>
      </c>
      <c r="E547" s="98"/>
      <c r="F547" s="92" t="s">
        <v>98</v>
      </c>
      <c r="G547" s="87">
        <f t="shared" si="150"/>
        <v>347111</v>
      </c>
      <c r="H547" s="303">
        <f t="shared" si="150"/>
        <v>382141</v>
      </c>
      <c r="I547" s="604">
        <f t="shared" si="150"/>
        <v>329433</v>
      </c>
      <c r="K547" s="14"/>
    </row>
    <row r="548" spans="1:12" ht="16.5" customHeight="1" x14ac:dyDescent="0.25">
      <c r="A548" s="40"/>
      <c r="B548" s="92"/>
      <c r="C548" s="86"/>
      <c r="D548" s="86">
        <v>4</v>
      </c>
      <c r="E548" s="98"/>
      <c r="F548" s="92" t="s">
        <v>316</v>
      </c>
      <c r="G548" s="87">
        <f t="shared" ref="G548:I549" si="151">+G304</f>
        <v>8330</v>
      </c>
      <c r="H548" s="303">
        <f t="shared" si="151"/>
        <v>10485</v>
      </c>
      <c r="I548" s="604">
        <f t="shared" si="151"/>
        <v>8667</v>
      </c>
      <c r="K548" s="14"/>
    </row>
    <row r="549" spans="1:12" ht="16.5" customHeight="1" x14ac:dyDescent="0.25">
      <c r="A549" s="40"/>
      <c r="B549" s="92"/>
      <c r="C549" s="86"/>
      <c r="D549" s="86">
        <v>5</v>
      </c>
      <c r="E549" s="98"/>
      <c r="F549" s="92" t="s">
        <v>110</v>
      </c>
      <c r="G549" s="87">
        <f t="shared" si="151"/>
        <v>4570</v>
      </c>
      <c r="H549" s="303">
        <f t="shared" si="151"/>
        <v>4870</v>
      </c>
      <c r="I549" s="604">
        <f t="shared" si="151"/>
        <v>3557</v>
      </c>
      <c r="J549" s="27"/>
    </row>
    <row r="550" spans="1:12" ht="16.5" customHeight="1" x14ac:dyDescent="0.25">
      <c r="A550" s="40"/>
      <c r="B550" s="92"/>
      <c r="C550" s="86"/>
      <c r="D550" s="16">
        <v>6</v>
      </c>
      <c r="E550" s="98"/>
      <c r="F550" s="92" t="s">
        <v>111</v>
      </c>
      <c r="G550" s="87">
        <f t="shared" ref="G550:I551" si="152">SUM(G306)</f>
        <v>0</v>
      </c>
      <c r="H550" s="303">
        <f t="shared" si="152"/>
        <v>0</v>
      </c>
      <c r="I550" s="604">
        <f t="shared" si="152"/>
        <v>0</v>
      </c>
      <c r="J550" s="27"/>
    </row>
    <row r="551" spans="1:12" ht="16.5" customHeight="1" x14ac:dyDescent="0.25">
      <c r="A551" s="40"/>
      <c r="B551" s="92"/>
      <c r="C551" s="86"/>
      <c r="D551" s="86">
        <v>7</v>
      </c>
      <c r="E551" s="98"/>
      <c r="F551" s="92" t="s">
        <v>112</v>
      </c>
      <c r="G551" s="87">
        <f t="shared" si="152"/>
        <v>0</v>
      </c>
      <c r="H551" s="303">
        <f t="shared" si="152"/>
        <v>0</v>
      </c>
      <c r="I551" s="604">
        <f t="shared" si="152"/>
        <v>0</v>
      </c>
      <c r="J551" s="27"/>
    </row>
    <row r="552" spans="1:12" ht="16.5" customHeight="1" x14ac:dyDescent="0.25">
      <c r="A552" s="40"/>
      <c r="B552" s="92"/>
      <c r="C552" s="86"/>
      <c r="D552" s="86">
        <v>8</v>
      </c>
      <c r="E552" s="98"/>
      <c r="F552" s="92" t="s">
        <v>86</v>
      </c>
      <c r="G552" s="87">
        <f t="shared" ref="G552:I554" si="153">+G308</f>
        <v>125919</v>
      </c>
      <c r="H552" s="303">
        <f t="shared" si="153"/>
        <v>131015</v>
      </c>
      <c r="I552" s="604">
        <f t="shared" si="153"/>
        <v>113332</v>
      </c>
      <c r="J552" s="27"/>
    </row>
    <row r="553" spans="1:12" ht="16.5" customHeight="1" x14ac:dyDescent="0.25">
      <c r="A553" s="40"/>
      <c r="B553" s="92"/>
      <c r="C553" s="86"/>
      <c r="D553" s="86">
        <v>9</v>
      </c>
      <c r="E553" s="98"/>
      <c r="F553" s="92" t="s">
        <v>378</v>
      </c>
      <c r="G553" s="87">
        <f t="shared" si="153"/>
        <v>2000</v>
      </c>
      <c r="H553" s="303">
        <f t="shared" si="153"/>
        <v>2300</v>
      </c>
      <c r="I553" s="604">
        <f t="shared" si="153"/>
        <v>2200</v>
      </c>
      <c r="J553" s="27"/>
    </row>
    <row r="554" spans="1:12" ht="16.5" customHeight="1" x14ac:dyDescent="0.25">
      <c r="A554" s="40"/>
      <c r="B554" s="92"/>
      <c r="C554" s="86"/>
      <c r="D554" s="86">
        <v>10</v>
      </c>
      <c r="E554" s="98"/>
      <c r="F554" s="92" t="s">
        <v>480</v>
      </c>
      <c r="G554" s="87">
        <f t="shared" si="153"/>
        <v>6153</v>
      </c>
      <c r="H554" s="303">
        <f t="shared" si="153"/>
        <v>6157</v>
      </c>
      <c r="I554" s="604">
        <f t="shared" si="153"/>
        <v>6157</v>
      </c>
      <c r="J554" s="27"/>
    </row>
    <row r="555" spans="1:12" ht="16.5" customHeight="1" x14ac:dyDescent="0.25">
      <c r="A555" s="40"/>
      <c r="B555" s="92"/>
      <c r="C555" s="86"/>
      <c r="D555" s="86">
        <v>11</v>
      </c>
      <c r="E555" s="98"/>
      <c r="F555" s="92" t="s">
        <v>500</v>
      </c>
      <c r="G555" s="87"/>
      <c r="H555" s="303">
        <f>+H311</f>
        <v>30000</v>
      </c>
      <c r="I555" s="604">
        <f>+I311</f>
        <v>30000</v>
      </c>
      <c r="J555" s="27"/>
    </row>
    <row r="556" spans="1:12" ht="16.5" customHeight="1" x14ac:dyDescent="0.25">
      <c r="A556" s="40"/>
      <c r="B556" s="92"/>
      <c r="C556" s="86"/>
      <c r="D556" s="86"/>
      <c r="E556" s="98"/>
      <c r="F556" s="421" t="s">
        <v>63</v>
      </c>
      <c r="G556" s="89">
        <f>SUM(G545:G554)</f>
        <v>748600</v>
      </c>
      <c r="H556" s="432">
        <f t="shared" ref="H556:I556" si="154">SUM(H545:H555)</f>
        <v>834982</v>
      </c>
      <c r="I556" s="605">
        <f t="shared" si="154"/>
        <v>685129</v>
      </c>
      <c r="J556" s="27"/>
      <c r="L556" s="14"/>
    </row>
    <row r="557" spans="1:12" ht="16.5" customHeight="1" x14ac:dyDescent="0.25">
      <c r="A557" s="40"/>
      <c r="B557" s="92"/>
      <c r="C557" s="86"/>
      <c r="D557" s="86"/>
      <c r="E557" s="98"/>
      <c r="F557" s="239"/>
      <c r="G557" s="89"/>
      <c r="H557" s="303"/>
      <c r="I557" s="604"/>
      <c r="J557" s="27"/>
    </row>
    <row r="558" spans="1:12" ht="16.5" customHeight="1" x14ac:dyDescent="0.25">
      <c r="A558" s="40"/>
      <c r="B558" s="92"/>
      <c r="C558" s="86">
        <v>2</v>
      </c>
      <c r="D558" s="86"/>
      <c r="E558" s="24" t="s">
        <v>103</v>
      </c>
      <c r="F558" s="92"/>
      <c r="G558" s="87"/>
      <c r="H558" s="303"/>
      <c r="I558" s="604"/>
      <c r="J558" s="27"/>
    </row>
    <row r="559" spans="1:12" ht="16.5" customHeight="1" x14ac:dyDescent="0.25">
      <c r="A559" s="40"/>
      <c r="B559" s="92"/>
      <c r="C559" s="86"/>
      <c r="D559" s="86">
        <v>1</v>
      </c>
      <c r="E559" s="24"/>
      <c r="F559" s="92" t="s">
        <v>474</v>
      </c>
      <c r="G559" s="87">
        <f>+G315</f>
        <v>360207</v>
      </c>
      <c r="H559" s="303">
        <f>+H315</f>
        <v>360387</v>
      </c>
      <c r="I559" s="604">
        <f>+I315</f>
        <v>321590</v>
      </c>
      <c r="J559" s="27"/>
    </row>
    <row r="560" spans="1:12" ht="16.5" customHeight="1" x14ac:dyDescent="0.25">
      <c r="A560" s="40"/>
      <c r="B560" s="92"/>
      <c r="C560" s="86"/>
      <c r="D560" s="86">
        <v>2</v>
      </c>
      <c r="E560" s="24"/>
      <c r="F560" s="92" t="s">
        <v>295</v>
      </c>
      <c r="G560" s="87">
        <f>+G316+G490+G397</f>
        <v>148610</v>
      </c>
      <c r="H560" s="303">
        <f>+H316+H490+H397+H537</f>
        <v>149749</v>
      </c>
      <c r="I560" s="604">
        <f>+I316+I490+I397+I537</f>
        <v>1563</v>
      </c>
    </row>
    <row r="561" spans="1:9" ht="16.5" customHeight="1" x14ac:dyDescent="0.25">
      <c r="A561" s="40"/>
      <c r="B561" s="92"/>
      <c r="C561" s="86"/>
      <c r="D561" s="86">
        <v>4</v>
      </c>
      <c r="E561" s="98"/>
      <c r="F561" s="92" t="s">
        <v>463</v>
      </c>
      <c r="G561" s="87">
        <f t="shared" ref="G561:I565" si="155">+G317</f>
        <v>1851</v>
      </c>
      <c r="H561" s="303">
        <f t="shared" si="155"/>
        <v>1851</v>
      </c>
      <c r="I561" s="604">
        <f t="shared" si="155"/>
        <v>327</v>
      </c>
    </row>
    <row r="562" spans="1:9" ht="16.5" customHeight="1" x14ac:dyDescent="0.25">
      <c r="A562" s="40"/>
      <c r="B562" s="108"/>
      <c r="C562" s="86"/>
      <c r="D562" s="86">
        <v>5</v>
      </c>
      <c r="E562" s="98"/>
      <c r="F562" s="92" t="s">
        <v>485</v>
      </c>
      <c r="G562" s="87">
        <f t="shared" si="155"/>
        <v>1077</v>
      </c>
      <c r="H562" s="303">
        <f t="shared" si="155"/>
        <v>1077</v>
      </c>
      <c r="I562" s="604">
        <f t="shared" si="155"/>
        <v>818</v>
      </c>
    </row>
    <row r="563" spans="1:9" ht="16.5" customHeight="1" x14ac:dyDescent="0.25">
      <c r="A563" s="40"/>
      <c r="B563" s="108"/>
      <c r="C563" s="86"/>
      <c r="D563" s="86">
        <v>7</v>
      </c>
      <c r="E563" s="24"/>
      <c r="F563" s="92" t="s">
        <v>466</v>
      </c>
      <c r="G563" s="87">
        <f t="shared" si="155"/>
        <v>467</v>
      </c>
      <c r="H563" s="303">
        <f t="shared" si="155"/>
        <v>447</v>
      </c>
      <c r="I563" s="604">
        <f t="shared" si="155"/>
        <v>402</v>
      </c>
    </row>
    <row r="564" spans="1:9" ht="16.5" customHeight="1" x14ac:dyDescent="0.25">
      <c r="A564" s="40"/>
      <c r="B564" s="108"/>
      <c r="C564" s="86"/>
      <c r="D564" s="86">
        <v>8</v>
      </c>
      <c r="E564" s="24"/>
      <c r="F564" s="92" t="s">
        <v>467</v>
      </c>
      <c r="G564" s="87">
        <f t="shared" si="155"/>
        <v>101028</v>
      </c>
      <c r="H564" s="303">
        <f t="shared" si="155"/>
        <v>101028</v>
      </c>
      <c r="I564" s="604">
        <f t="shared" si="155"/>
        <v>101028</v>
      </c>
    </row>
    <row r="565" spans="1:9" ht="17.25" customHeight="1" x14ac:dyDescent="0.25">
      <c r="A565" s="40"/>
      <c r="B565" s="108"/>
      <c r="C565" s="86"/>
      <c r="D565" s="86">
        <v>11</v>
      </c>
      <c r="E565" s="24"/>
      <c r="F565" s="92" t="s">
        <v>472</v>
      </c>
      <c r="G565" s="87">
        <f t="shared" si="155"/>
        <v>85128</v>
      </c>
      <c r="H565" s="303">
        <f t="shared" si="155"/>
        <v>85128</v>
      </c>
      <c r="I565" s="604">
        <f t="shared" si="155"/>
        <v>0</v>
      </c>
    </row>
    <row r="566" spans="1:9" ht="17.25" customHeight="1" x14ac:dyDescent="0.25">
      <c r="A566" s="40"/>
      <c r="B566" s="108"/>
      <c r="C566" s="86"/>
      <c r="D566" s="86">
        <v>13</v>
      </c>
      <c r="E566" s="24"/>
      <c r="F566" s="92" t="s">
        <v>476</v>
      </c>
      <c r="G566" s="87">
        <f>+G322+G489+G396</f>
        <v>420</v>
      </c>
      <c r="H566" s="303">
        <f>+H322+H489+H396+H536</f>
        <v>1690</v>
      </c>
      <c r="I566" s="604">
        <f>+I322+I489+I396+I536</f>
        <v>1600</v>
      </c>
    </row>
    <row r="567" spans="1:9" ht="17.25" customHeight="1" x14ac:dyDescent="0.25">
      <c r="A567" s="40"/>
      <c r="B567" s="108"/>
      <c r="C567" s="86"/>
      <c r="D567" s="86">
        <v>14</v>
      </c>
      <c r="E567" s="24"/>
      <c r="F567" s="92" t="s">
        <v>477</v>
      </c>
      <c r="G567" s="87">
        <f t="shared" ref="G567:I569" si="156">+G323</f>
        <v>500</v>
      </c>
      <c r="H567" s="303">
        <f t="shared" si="156"/>
        <v>500</v>
      </c>
      <c r="I567" s="604">
        <f t="shared" si="156"/>
        <v>500</v>
      </c>
    </row>
    <row r="568" spans="1:9" ht="17.25" customHeight="1" x14ac:dyDescent="0.25">
      <c r="A568" s="40"/>
      <c r="B568" s="108"/>
      <c r="C568" s="86"/>
      <c r="D568" s="86">
        <v>15</v>
      </c>
      <c r="E568" s="24"/>
      <c r="F568" s="92" t="s">
        <v>478</v>
      </c>
      <c r="G568" s="87">
        <f t="shared" si="156"/>
        <v>228</v>
      </c>
      <c r="H568" s="303">
        <f t="shared" si="156"/>
        <v>240</v>
      </c>
      <c r="I568" s="604">
        <f t="shared" si="156"/>
        <v>240</v>
      </c>
    </row>
    <row r="569" spans="1:9" ht="17.25" customHeight="1" x14ac:dyDescent="0.25">
      <c r="A569" s="40"/>
      <c r="B569" s="108"/>
      <c r="C569" s="86"/>
      <c r="D569" s="86">
        <v>17</v>
      </c>
      <c r="E569" s="98"/>
      <c r="F569" s="246" t="s">
        <v>86</v>
      </c>
      <c r="G569" s="87">
        <f t="shared" si="156"/>
        <v>279</v>
      </c>
      <c r="H569" s="303">
        <f t="shared" si="156"/>
        <v>1164</v>
      </c>
      <c r="I569" s="604">
        <f t="shared" si="156"/>
        <v>1027</v>
      </c>
    </row>
    <row r="570" spans="1:9" ht="17.25" customHeight="1" x14ac:dyDescent="0.25">
      <c r="A570" s="40"/>
      <c r="B570" s="108"/>
      <c r="C570" s="86"/>
      <c r="D570" s="86">
        <v>18</v>
      </c>
      <c r="E570" s="98"/>
      <c r="F570" s="246" t="s">
        <v>491</v>
      </c>
      <c r="G570" s="87"/>
      <c r="H570" s="303">
        <f>+H326</f>
        <v>3534</v>
      </c>
      <c r="I570" s="604">
        <f>+I326</f>
        <v>2448</v>
      </c>
    </row>
    <row r="571" spans="1:9" ht="17.25" customHeight="1" x14ac:dyDescent="0.25">
      <c r="A571" s="40"/>
      <c r="B571" s="108"/>
      <c r="C571" s="86"/>
      <c r="D571" s="86">
        <v>19</v>
      </c>
      <c r="E571" s="98"/>
      <c r="F571" s="246" t="s">
        <v>514</v>
      </c>
      <c r="G571" s="87"/>
      <c r="H571" s="303">
        <f>+H327</f>
        <v>2100</v>
      </c>
      <c r="I571" s="604">
        <f>+I327</f>
        <v>2055</v>
      </c>
    </row>
    <row r="572" spans="1:9" ht="16.5" customHeight="1" x14ac:dyDescent="0.25">
      <c r="A572" s="40"/>
      <c r="B572" s="92"/>
      <c r="C572" s="86"/>
      <c r="D572" s="86"/>
      <c r="E572" s="98"/>
      <c r="F572" s="108" t="s">
        <v>63</v>
      </c>
      <c r="G572" s="89">
        <f>SUM(G559:G569)</f>
        <v>699795</v>
      </c>
      <c r="H572" s="432">
        <f>SUM(H559:H571)</f>
        <v>708895</v>
      </c>
      <c r="I572" s="605">
        <f>SUM(I559:I571)</f>
        <v>433598</v>
      </c>
    </row>
    <row r="573" spans="1:9" ht="16.5" customHeight="1" x14ac:dyDescent="0.25">
      <c r="A573" s="40"/>
      <c r="B573" s="92"/>
      <c r="C573" s="86"/>
      <c r="D573" s="86"/>
      <c r="E573" s="98"/>
      <c r="F573" s="108"/>
      <c r="G573" s="87"/>
      <c r="H573" s="303"/>
      <c r="I573" s="604"/>
    </row>
    <row r="574" spans="1:9" ht="16.5" customHeight="1" x14ac:dyDescent="0.25">
      <c r="A574" s="40"/>
      <c r="B574" s="92"/>
      <c r="C574" s="86">
        <v>2</v>
      </c>
      <c r="D574" s="86"/>
      <c r="E574" s="24" t="s">
        <v>232</v>
      </c>
      <c r="F574" s="92"/>
      <c r="G574" s="87"/>
      <c r="H574" s="303"/>
      <c r="I574" s="604"/>
    </row>
    <row r="575" spans="1:9" ht="16.5" customHeight="1" x14ac:dyDescent="0.25">
      <c r="A575" s="40"/>
      <c r="B575" s="92"/>
      <c r="C575" s="86"/>
      <c r="D575" s="86">
        <v>2</v>
      </c>
      <c r="E575" s="98"/>
      <c r="F575" s="92" t="s">
        <v>295</v>
      </c>
      <c r="G575" s="87">
        <f t="shared" ref="G575:I581" si="157">+G331</f>
        <v>37597</v>
      </c>
      <c r="H575" s="303">
        <f t="shared" si="157"/>
        <v>40935</v>
      </c>
      <c r="I575" s="604">
        <f t="shared" si="157"/>
        <v>21940</v>
      </c>
    </row>
    <row r="576" spans="1:9" ht="16.5" customHeight="1" x14ac:dyDescent="0.25">
      <c r="A576" s="40"/>
      <c r="B576" s="92"/>
      <c r="C576" s="86"/>
      <c r="D576" s="86">
        <v>3</v>
      </c>
      <c r="E576" s="98"/>
      <c r="F576" s="92" t="s">
        <v>462</v>
      </c>
      <c r="G576" s="87">
        <f t="shared" si="157"/>
        <v>13900</v>
      </c>
      <c r="H576" s="303">
        <f t="shared" si="157"/>
        <v>13900</v>
      </c>
      <c r="I576" s="604">
        <f t="shared" si="157"/>
        <v>15300</v>
      </c>
    </row>
    <row r="577" spans="1:12" ht="16.5" customHeight="1" x14ac:dyDescent="0.25">
      <c r="A577" s="40"/>
      <c r="B577" s="92"/>
      <c r="C577" s="86"/>
      <c r="D577" s="86">
        <v>9</v>
      </c>
      <c r="E577" s="98"/>
      <c r="F577" s="92" t="s">
        <v>473</v>
      </c>
      <c r="G577" s="87">
        <f t="shared" si="157"/>
        <v>52532</v>
      </c>
      <c r="H577" s="303">
        <f t="shared" si="157"/>
        <v>52532</v>
      </c>
      <c r="I577" s="604">
        <f t="shared" si="157"/>
        <v>53562</v>
      </c>
    </row>
    <row r="578" spans="1:12" ht="16.5" customHeight="1" x14ac:dyDescent="0.25">
      <c r="A578" s="40"/>
      <c r="B578" s="92"/>
      <c r="C578" s="86"/>
      <c r="D578" s="86">
        <v>10</v>
      </c>
      <c r="E578" s="98"/>
      <c r="F578" s="92" t="s">
        <v>469</v>
      </c>
      <c r="G578" s="87">
        <f t="shared" si="157"/>
        <v>14694</v>
      </c>
      <c r="H578" s="303">
        <f t="shared" si="157"/>
        <v>14694</v>
      </c>
      <c r="I578" s="604">
        <f t="shared" si="157"/>
        <v>14694</v>
      </c>
    </row>
    <row r="579" spans="1:12" ht="16.5" customHeight="1" x14ac:dyDescent="0.25">
      <c r="A579" s="40"/>
      <c r="B579" s="92"/>
      <c r="C579" s="86"/>
      <c r="D579" s="86">
        <v>12</v>
      </c>
      <c r="E579" s="98"/>
      <c r="F579" s="92" t="s">
        <v>475</v>
      </c>
      <c r="G579" s="87">
        <f t="shared" si="157"/>
        <v>14455</v>
      </c>
      <c r="H579" s="303">
        <f t="shared" si="157"/>
        <v>14455</v>
      </c>
      <c r="I579" s="604">
        <f t="shared" si="157"/>
        <v>14305</v>
      </c>
    </row>
    <row r="580" spans="1:12" ht="16.5" customHeight="1" x14ac:dyDescent="0.25">
      <c r="A580" s="40"/>
      <c r="B580" s="92"/>
      <c r="C580" s="86"/>
      <c r="D580" s="86">
        <v>16</v>
      </c>
      <c r="E580" s="98"/>
      <c r="F580" s="92" t="s">
        <v>479</v>
      </c>
      <c r="G580" s="87">
        <f t="shared" si="157"/>
        <v>28902</v>
      </c>
      <c r="H580" s="303">
        <f t="shared" si="157"/>
        <v>26302</v>
      </c>
      <c r="I580" s="604">
        <f t="shared" si="157"/>
        <v>0</v>
      </c>
    </row>
    <row r="581" spans="1:12" ht="16.5" customHeight="1" x14ac:dyDescent="0.25">
      <c r="A581" s="40"/>
      <c r="B581" s="92"/>
      <c r="C581" s="86"/>
      <c r="D581" s="86">
        <v>6</v>
      </c>
      <c r="E581" s="98"/>
      <c r="F581" s="92" t="s">
        <v>376</v>
      </c>
      <c r="G581" s="87">
        <f t="shared" si="157"/>
        <v>1233</v>
      </c>
      <c r="H581" s="303">
        <f t="shared" si="157"/>
        <v>1233</v>
      </c>
      <c r="I581" s="604">
        <f t="shared" si="157"/>
        <v>1205</v>
      </c>
    </row>
    <row r="582" spans="1:12" ht="16.5" customHeight="1" x14ac:dyDescent="0.25">
      <c r="A582" s="40"/>
      <c r="B582" s="92"/>
      <c r="C582" s="86"/>
      <c r="D582" s="86">
        <v>18</v>
      </c>
      <c r="E582" s="24"/>
      <c r="F582" s="92" t="s">
        <v>492</v>
      </c>
      <c r="G582" s="87"/>
      <c r="H582" s="303">
        <f>+H338</f>
        <v>1480</v>
      </c>
      <c r="I582" s="604">
        <f>+I338</f>
        <v>2513</v>
      </c>
    </row>
    <row r="583" spans="1:12" ht="16.5" customHeight="1" x14ac:dyDescent="0.25">
      <c r="A583" s="40"/>
      <c r="B583" s="92"/>
      <c r="C583" s="86"/>
      <c r="D583" s="86">
        <v>20</v>
      </c>
      <c r="E583" s="24"/>
      <c r="F583" s="92" t="s">
        <v>517</v>
      </c>
      <c r="G583" s="87"/>
      <c r="H583" s="303">
        <f>+H339</f>
        <v>12000</v>
      </c>
      <c r="I583" s="604">
        <f>+I339</f>
        <v>0</v>
      </c>
    </row>
    <row r="584" spans="1:12" ht="16.5" customHeight="1" x14ac:dyDescent="0.25">
      <c r="A584" s="40"/>
      <c r="B584" s="92"/>
      <c r="C584" s="86"/>
      <c r="D584" s="86"/>
      <c r="E584" s="24"/>
      <c r="F584" s="92" t="s">
        <v>231</v>
      </c>
      <c r="G584" s="89">
        <f>SUM(G575:G581)</f>
        <v>163313</v>
      </c>
      <c r="H584" s="432">
        <f>SUM(H575:H583)</f>
        <v>177531</v>
      </c>
      <c r="I584" s="605">
        <f>SUM(I575:I583)</f>
        <v>123519</v>
      </c>
      <c r="L584" s="14"/>
    </row>
    <row r="585" spans="1:12" ht="16.5" customHeight="1" x14ac:dyDescent="0.25">
      <c r="A585" s="40"/>
      <c r="B585" s="92"/>
      <c r="C585" s="86"/>
      <c r="D585" s="15"/>
      <c r="E585" s="24"/>
      <c r="F585" s="92"/>
      <c r="G585" s="87"/>
      <c r="H585" s="303"/>
      <c r="I585" s="604"/>
      <c r="L585" s="14"/>
    </row>
    <row r="586" spans="1:12" ht="16.5" customHeight="1" x14ac:dyDescent="0.25">
      <c r="A586" s="40"/>
      <c r="B586" s="92"/>
      <c r="C586" s="86"/>
      <c r="D586" s="15"/>
      <c r="E586" s="24"/>
      <c r="F586" s="291" t="s">
        <v>247</v>
      </c>
      <c r="G586" s="89">
        <f t="shared" ref="G586" si="158">-G552-G569</f>
        <v>-126198</v>
      </c>
      <c r="H586" s="432">
        <f t="shared" ref="H586:I586" si="159">-H552-H569</f>
        <v>-132179</v>
      </c>
      <c r="I586" s="605">
        <f t="shared" si="159"/>
        <v>-114359</v>
      </c>
      <c r="L586" s="14"/>
    </row>
    <row r="587" spans="1:12" ht="16.5" customHeight="1" x14ac:dyDescent="0.25">
      <c r="A587" s="40"/>
      <c r="B587" s="92"/>
      <c r="C587" s="86"/>
      <c r="D587" s="15"/>
      <c r="E587" s="24"/>
      <c r="F587" s="356" t="s">
        <v>424</v>
      </c>
      <c r="G587" s="87">
        <f t="shared" ref="G587" si="160">+-G552</f>
        <v>-125919</v>
      </c>
      <c r="H587" s="303">
        <f t="shared" ref="H587:I587" si="161">+-H552</f>
        <v>-131015</v>
      </c>
      <c r="I587" s="604">
        <f t="shared" si="161"/>
        <v>-113332</v>
      </c>
      <c r="L587" s="14"/>
    </row>
    <row r="588" spans="1:12" ht="16.5" customHeight="1" x14ac:dyDescent="0.25">
      <c r="A588" s="40"/>
      <c r="B588" s="92"/>
      <c r="C588" s="86"/>
      <c r="D588" s="15"/>
      <c r="E588" s="24"/>
      <c r="F588" s="356" t="s">
        <v>425</v>
      </c>
      <c r="G588" s="87">
        <f t="shared" ref="G588" si="162">+-G569</f>
        <v>-279</v>
      </c>
      <c r="H588" s="303">
        <f t="shared" ref="H588:I588" si="163">+-H569</f>
        <v>-1164</v>
      </c>
      <c r="I588" s="604">
        <f t="shared" si="163"/>
        <v>-1027</v>
      </c>
      <c r="L588" s="14"/>
    </row>
    <row r="589" spans="1:12" ht="16.5" customHeight="1" x14ac:dyDescent="0.25">
      <c r="A589" s="40"/>
      <c r="B589" s="92"/>
      <c r="C589" s="86"/>
      <c r="D589" s="86"/>
      <c r="E589" s="98"/>
      <c r="F589" s="92"/>
      <c r="G589" s="87"/>
      <c r="H589" s="303"/>
      <c r="I589" s="604"/>
    </row>
    <row r="590" spans="1:12" ht="16.5" customHeight="1" x14ac:dyDescent="0.25">
      <c r="A590" s="40"/>
      <c r="B590" s="92"/>
      <c r="C590" s="86"/>
      <c r="D590" s="17"/>
      <c r="E590" s="314" t="s">
        <v>106</v>
      </c>
      <c r="G590" s="89">
        <f t="shared" ref="G590" si="164">+G556+G572+G584+G586</f>
        <v>1485510</v>
      </c>
      <c r="H590" s="432">
        <f t="shared" ref="H590:I590" si="165">+H556+H572+H584+H586</f>
        <v>1589229</v>
      </c>
      <c r="I590" s="605">
        <f t="shared" si="165"/>
        <v>1127887</v>
      </c>
    </row>
    <row r="591" spans="1:12" ht="16.5" customHeight="1" thickBot="1" x14ac:dyDescent="0.3">
      <c r="A591" s="607"/>
      <c r="B591" s="608"/>
      <c r="C591" s="608"/>
      <c r="D591" s="608"/>
      <c r="E591" s="609"/>
      <c r="F591" s="610"/>
      <c r="G591" s="611"/>
      <c r="H591" s="612"/>
      <c r="I591" s="613"/>
    </row>
    <row r="592" spans="1:12" ht="16.5" thickTop="1" x14ac:dyDescent="0.25">
      <c r="I592" s="16"/>
    </row>
    <row r="593" spans="9:9" ht="10.5" customHeight="1" x14ac:dyDescent="0.25">
      <c r="I593" s="12"/>
    </row>
    <row r="594" spans="9:9" x14ac:dyDescent="0.25">
      <c r="I594" s="12"/>
    </row>
    <row r="595" spans="9:9" x14ac:dyDescent="0.25">
      <c r="I595" s="12"/>
    </row>
    <row r="596" spans="9:9" x14ac:dyDescent="0.25">
      <c r="I596" s="12"/>
    </row>
    <row r="597" spans="9:9" x14ac:dyDescent="0.25">
      <c r="I597" s="12"/>
    </row>
    <row r="598" spans="9:9" x14ac:dyDescent="0.25">
      <c r="I598" s="12"/>
    </row>
    <row r="599" spans="9:9" x14ac:dyDescent="0.25">
      <c r="I599" s="12"/>
    </row>
    <row r="600" spans="9:9" x14ac:dyDescent="0.25">
      <c r="I600" s="12"/>
    </row>
    <row r="601" spans="9:9" x14ac:dyDescent="0.25">
      <c r="I601" s="12"/>
    </row>
    <row r="602" spans="9:9" x14ac:dyDescent="0.25">
      <c r="I602" s="12"/>
    </row>
    <row r="603" spans="9:9" x14ac:dyDescent="0.25">
      <c r="I603" s="12"/>
    </row>
    <row r="604" spans="9:9" x14ac:dyDescent="0.25">
      <c r="I604" s="12"/>
    </row>
    <row r="605" spans="9:9" x14ac:dyDescent="0.25">
      <c r="I605" s="12"/>
    </row>
    <row r="606" spans="9:9" x14ac:dyDescent="0.25">
      <c r="I606" s="12"/>
    </row>
    <row r="607" spans="9:9" x14ac:dyDescent="0.25">
      <c r="I607" s="12"/>
    </row>
    <row r="608" spans="9:9" x14ac:dyDescent="0.25">
      <c r="I608" s="12"/>
    </row>
    <row r="609" spans="9:9" x14ac:dyDescent="0.25">
      <c r="I609" s="12"/>
    </row>
    <row r="610" spans="9:9" x14ac:dyDescent="0.25">
      <c r="I610" s="12"/>
    </row>
    <row r="611" spans="9:9" x14ac:dyDescent="0.25">
      <c r="I611" s="12"/>
    </row>
    <row r="612" spans="9:9" x14ac:dyDescent="0.25">
      <c r="I612" s="12"/>
    </row>
    <row r="613" spans="9:9" x14ac:dyDescent="0.25">
      <c r="I613" s="12"/>
    </row>
    <row r="614" spans="9:9" x14ac:dyDescent="0.25">
      <c r="I614" s="12"/>
    </row>
    <row r="615" spans="9:9" x14ac:dyDescent="0.25">
      <c r="I615" s="12"/>
    </row>
    <row r="616" spans="9:9" x14ac:dyDescent="0.25">
      <c r="I616" s="12"/>
    </row>
    <row r="617" spans="9:9" x14ac:dyDescent="0.25">
      <c r="I617" s="12"/>
    </row>
    <row r="618" spans="9:9" x14ac:dyDescent="0.25">
      <c r="I618" s="12"/>
    </row>
    <row r="619" spans="9:9" x14ac:dyDescent="0.25">
      <c r="I619" s="12"/>
    </row>
    <row r="620" spans="9:9" x14ac:dyDescent="0.25">
      <c r="I620" s="12"/>
    </row>
    <row r="621" spans="9:9" x14ac:dyDescent="0.25">
      <c r="I621" s="12"/>
    </row>
    <row r="622" spans="9:9" x14ac:dyDescent="0.25">
      <c r="I622" s="12"/>
    </row>
    <row r="623" spans="9:9" x14ac:dyDescent="0.25">
      <c r="I623" s="12"/>
    </row>
    <row r="624" spans="9:9" x14ac:dyDescent="0.25">
      <c r="I624" s="12"/>
    </row>
    <row r="625" spans="9:9" x14ac:dyDescent="0.25">
      <c r="I625" s="12"/>
    </row>
    <row r="626" spans="9:9" x14ac:dyDescent="0.25">
      <c r="I626" s="12"/>
    </row>
    <row r="627" spans="9:9" x14ac:dyDescent="0.25">
      <c r="I627" s="12"/>
    </row>
    <row r="628" spans="9:9" x14ac:dyDescent="0.25">
      <c r="I628" s="12"/>
    </row>
    <row r="629" spans="9:9" x14ac:dyDescent="0.25">
      <c r="I629" s="12"/>
    </row>
    <row r="630" spans="9:9" x14ac:dyDescent="0.25">
      <c r="I630" s="12"/>
    </row>
    <row r="631" spans="9:9" x14ac:dyDescent="0.25">
      <c r="I631" s="12"/>
    </row>
    <row r="632" spans="9:9" x14ac:dyDescent="0.25">
      <c r="I632" s="12"/>
    </row>
    <row r="633" spans="9:9" x14ac:dyDescent="0.25">
      <c r="I633" s="12"/>
    </row>
    <row r="634" spans="9:9" x14ac:dyDescent="0.25">
      <c r="I634" s="12"/>
    </row>
    <row r="635" spans="9:9" x14ac:dyDescent="0.25">
      <c r="I635" s="12"/>
    </row>
    <row r="636" spans="9:9" x14ac:dyDescent="0.25">
      <c r="I636" s="12"/>
    </row>
    <row r="637" spans="9:9" x14ac:dyDescent="0.25">
      <c r="I637" s="12"/>
    </row>
    <row r="638" spans="9:9" x14ac:dyDescent="0.25">
      <c r="I638" s="12"/>
    </row>
    <row r="639" spans="9:9" x14ac:dyDescent="0.25">
      <c r="I639" s="12"/>
    </row>
    <row r="640" spans="9:9" x14ac:dyDescent="0.25">
      <c r="I640" s="12"/>
    </row>
    <row r="641" spans="9:9" x14ac:dyDescent="0.25">
      <c r="I641" s="12"/>
    </row>
    <row r="642" spans="9:9" x14ac:dyDescent="0.25">
      <c r="I642" s="12"/>
    </row>
    <row r="643" spans="9:9" x14ac:dyDescent="0.25">
      <c r="I643" s="12"/>
    </row>
    <row r="644" spans="9:9" x14ac:dyDescent="0.25">
      <c r="I644" s="12"/>
    </row>
    <row r="645" spans="9:9" x14ac:dyDescent="0.25">
      <c r="I645" s="12"/>
    </row>
    <row r="646" spans="9:9" x14ac:dyDescent="0.25">
      <c r="I646" s="12"/>
    </row>
    <row r="647" spans="9:9" x14ac:dyDescent="0.25">
      <c r="I647" s="12"/>
    </row>
    <row r="648" spans="9:9" x14ac:dyDescent="0.25">
      <c r="I648" s="12"/>
    </row>
    <row r="649" spans="9:9" x14ac:dyDescent="0.25">
      <c r="I649" s="12"/>
    </row>
    <row r="650" spans="9:9" x14ac:dyDescent="0.25">
      <c r="I650" s="12"/>
    </row>
    <row r="651" spans="9:9" x14ac:dyDescent="0.25">
      <c r="I651" s="12"/>
    </row>
    <row r="652" spans="9:9" x14ac:dyDescent="0.25">
      <c r="I652" s="12"/>
    </row>
    <row r="653" spans="9:9" x14ac:dyDescent="0.25">
      <c r="I653" s="12"/>
    </row>
    <row r="654" spans="9:9" x14ac:dyDescent="0.25">
      <c r="I654" s="12"/>
    </row>
    <row r="655" spans="9:9" x14ac:dyDescent="0.25">
      <c r="I655" s="12"/>
    </row>
    <row r="656" spans="9:9" x14ac:dyDescent="0.25">
      <c r="I656" s="12"/>
    </row>
    <row r="657" spans="9:9" x14ac:dyDescent="0.25">
      <c r="I657" s="12"/>
    </row>
    <row r="658" spans="9:9" x14ac:dyDescent="0.25">
      <c r="I658" s="12"/>
    </row>
    <row r="659" spans="9:9" x14ac:dyDescent="0.25">
      <c r="I659" s="12"/>
    </row>
    <row r="660" spans="9:9" x14ac:dyDescent="0.25">
      <c r="I660" s="12"/>
    </row>
    <row r="661" spans="9:9" x14ac:dyDescent="0.25">
      <c r="I661" s="12"/>
    </row>
    <row r="662" spans="9:9" x14ac:dyDescent="0.25">
      <c r="I662" s="12"/>
    </row>
    <row r="663" spans="9:9" x14ac:dyDescent="0.25">
      <c r="I663" s="12"/>
    </row>
    <row r="664" spans="9:9" x14ac:dyDescent="0.25">
      <c r="I664" s="12"/>
    </row>
    <row r="665" spans="9:9" x14ac:dyDescent="0.25">
      <c r="I665" s="12"/>
    </row>
    <row r="666" spans="9:9" x14ac:dyDescent="0.25">
      <c r="I666" s="12"/>
    </row>
    <row r="667" spans="9:9" x14ac:dyDescent="0.25">
      <c r="I667" s="12"/>
    </row>
    <row r="668" spans="9:9" x14ac:dyDescent="0.25">
      <c r="I668" s="12"/>
    </row>
    <row r="669" spans="9:9" x14ac:dyDescent="0.25">
      <c r="I669" s="12"/>
    </row>
    <row r="670" spans="9:9" x14ac:dyDescent="0.25">
      <c r="I670" s="12"/>
    </row>
    <row r="671" spans="9:9" x14ac:dyDescent="0.25">
      <c r="I671" s="12"/>
    </row>
    <row r="672" spans="9:9" x14ac:dyDescent="0.25">
      <c r="I672" s="12"/>
    </row>
    <row r="673" spans="9:9" x14ac:dyDescent="0.25">
      <c r="I673" s="12"/>
    </row>
    <row r="674" spans="9:9" x14ac:dyDescent="0.25">
      <c r="I674" s="12"/>
    </row>
    <row r="675" spans="9:9" x14ac:dyDescent="0.25">
      <c r="I675" s="12"/>
    </row>
    <row r="676" spans="9:9" x14ac:dyDescent="0.25">
      <c r="I676" s="12"/>
    </row>
    <row r="677" spans="9:9" x14ac:dyDescent="0.25">
      <c r="I677" s="12"/>
    </row>
    <row r="678" spans="9:9" x14ac:dyDescent="0.25">
      <c r="I678" s="12"/>
    </row>
    <row r="679" spans="9:9" x14ac:dyDescent="0.25">
      <c r="I679" s="12"/>
    </row>
    <row r="680" spans="9:9" x14ac:dyDescent="0.25">
      <c r="I680" s="12"/>
    </row>
    <row r="681" spans="9:9" x14ac:dyDescent="0.25">
      <c r="I681" s="12"/>
    </row>
    <row r="682" spans="9:9" x14ac:dyDescent="0.25">
      <c r="I682" s="12"/>
    </row>
    <row r="683" spans="9:9" x14ac:dyDescent="0.25">
      <c r="I683" s="12"/>
    </row>
    <row r="684" spans="9:9" x14ac:dyDescent="0.25">
      <c r="I684" s="12"/>
    </row>
    <row r="685" spans="9:9" x14ac:dyDescent="0.25">
      <c r="I685" s="12"/>
    </row>
    <row r="686" spans="9:9" x14ac:dyDescent="0.25">
      <c r="I686" s="12"/>
    </row>
    <row r="687" spans="9:9" x14ac:dyDescent="0.25">
      <c r="I687" s="12"/>
    </row>
    <row r="688" spans="9:9" x14ac:dyDescent="0.25">
      <c r="I688" s="12"/>
    </row>
    <row r="689" spans="9:9" x14ac:dyDescent="0.25">
      <c r="I689" s="12"/>
    </row>
    <row r="690" spans="9:9" x14ac:dyDescent="0.25">
      <c r="I690" s="12"/>
    </row>
    <row r="691" spans="9:9" x14ac:dyDescent="0.25">
      <c r="I691" s="12"/>
    </row>
    <row r="692" spans="9:9" x14ac:dyDescent="0.25">
      <c r="I692" s="12"/>
    </row>
    <row r="693" spans="9:9" x14ac:dyDescent="0.25">
      <c r="I693" s="12"/>
    </row>
    <row r="694" spans="9:9" x14ac:dyDescent="0.25">
      <c r="I694" s="12"/>
    </row>
    <row r="695" spans="9:9" x14ac:dyDescent="0.25">
      <c r="I695" s="12"/>
    </row>
    <row r="696" spans="9:9" x14ac:dyDescent="0.25">
      <c r="I696" s="12"/>
    </row>
  </sheetData>
  <mergeCells count="3">
    <mergeCell ref="A1:H1"/>
    <mergeCell ref="G3:H3"/>
    <mergeCell ref="I3:I4"/>
  </mergeCells>
  <phoneticPr fontId="2" type="noConversion"/>
  <conditionalFormatting sqref="G318">
    <cfRule type="cellIs" dxfId="3" priority="35" operator="equal">
      <formula>F318</formula>
    </cfRule>
  </conditionalFormatting>
  <conditionalFormatting sqref="H535:I589">
    <cfRule type="cellIs" dxfId="2" priority="1" operator="equal">
      <formula>#REF!</formula>
    </cfRule>
  </conditionalFormatting>
  <conditionalFormatting sqref="H9:I534">
    <cfRule type="cellIs" dxfId="1" priority="3" operator="equal">
      <formula>#REF!</formula>
    </cfRule>
  </conditionalFormatting>
  <conditionalFormatting sqref="H318:I318">
    <cfRule type="cellIs" dxfId="0" priority="2" operator="equal">
      <formula>#REF!</formula>
    </cfRule>
  </conditionalFormatting>
  <printOptions horizontalCentered="1"/>
  <pageMargins left="0.19685039370078741" right="0.19685039370078741" top="0.35433070866141736" bottom="0.35433070866141736" header="0.11811023622047245" footer="7.874015748031496E-2"/>
  <pageSetup paperSize="9" scale="65" orientation="portrait" horizontalDpi="300" verticalDpi="300" r:id="rId1"/>
  <headerFooter alignWithMargins="0">
    <oddHeader>&amp;R4.melléklet a 9/2019.(V.29.)
önkormányzati rendelethez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25"/>
  <sheetViews>
    <sheetView workbookViewId="0">
      <selection activeCell="E17" sqref="E17"/>
    </sheetView>
  </sheetViews>
  <sheetFormatPr defaultRowHeight="15.75" x14ac:dyDescent="0.25"/>
  <cols>
    <col min="1" max="1" width="9.140625" style="12"/>
    <col min="2" max="2" width="8.42578125" style="12" customWidth="1"/>
    <col min="3" max="3" width="34.85546875" style="12" customWidth="1"/>
    <col min="4" max="4" width="12.7109375" style="12" customWidth="1"/>
    <col min="5" max="5" width="13.140625" style="12" customWidth="1"/>
    <col min="6" max="6" width="10.28515625" style="12" customWidth="1"/>
    <col min="7" max="16384" width="9.140625" style="12"/>
  </cols>
  <sheetData>
    <row r="2" spans="1:7" x14ac:dyDescent="0.25">
      <c r="F2" s="111"/>
    </row>
    <row r="3" spans="1:7" x14ac:dyDescent="0.25">
      <c r="D3" s="111"/>
    </row>
    <row r="5" spans="1:7" x14ac:dyDescent="0.25">
      <c r="A5" s="669" t="s">
        <v>422</v>
      </c>
      <c r="B5" s="669"/>
      <c r="C5" s="669"/>
      <c r="D5" s="669"/>
      <c r="E5" s="25"/>
    </row>
    <row r="6" spans="1:7" x14ac:dyDescent="0.25">
      <c r="B6" s="669" t="s">
        <v>526</v>
      </c>
      <c r="C6" s="669"/>
      <c r="D6" s="26"/>
      <c r="E6" s="26"/>
    </row>
    <row r="7" spans="1:7" x14ac:dyDescent="0.25">
      <c r="C7" s="25"/>
    </row>
    <row r="8" spans="1:7" ht="16.5" thickBot="1" x14ac:dyDescent="0.3">
      <c r="C8" s="25"/>
      <c r="D8" s="27" t="s">
        <v>47</v>
      </c>
      <c r="E8" s="427"/>
      <c r="F8" s="427"/>
    </row>
    <row r="9" spans="1:7" ht="32.25" customHeight="1" x14ac:dyDescent="0.25">
      <c r="B9" s="7"/>
      <c r="C9" s="238"/>
      <c r="D9" s="13" t="s">
        <v>209</v>
      </c>
      <c r="E9" s="447" t="s">
        <v>525</v>
      </c>
      <c r="F9" s="447" t="s">
        <v>522</v>
      </c>
    </row>
    <row r="10" spans="1:7" x14ac:dyDescent="0.25">
      <c r="B10" s="112" t="s">
        <v>45</v>
      </c>
      <c r="C10" s="5" t="s">
        <v>46</v>
      </c>
      <c r="D10" s="112" t="s">
        <v>114</v>
      </c>
      <c r="E10" s="115" t="s">
        <v>114</v>
      </c>
      <c r="F10" s="1"/>
    </row>
    <row r="11" spans="1:7" ht="16.5" thickBot="1" x14ac:dyDescent="0.3">
      <c r="B11" s="4"/>
      <c r="C11" s="10"/>
      <c r="D11" s="4"/>
      <c r="E11" s="4"/>
      <c r="F11" s="4"/>
    </row>
    <row r="12" spans="1:7" ht="16.5" thickBot="1" x14ac:dyDescent="0.3">
      <c r="B12" s="114">
        <v>1</v>
      </c>
      <c r="C12" s="114">
        <v>2</v>
      </c>
      <c r="D12" s="114">
        <v>3</v>
      </c>
      <c r="F12" s="448"/>
      <c r="G12" s="6"/>
    </row>
    <row r="13" spans="1:7" x14ac:dyDescent="0.25">
      <c r="B13" s="113"/>
      <c r="C13" s="1"/>
      <c r="D13" s="1"/>
      <c r="E13" s="7"/>
      <c r="F13" s="449"/>
    </row>
    <row r="14" spans="1:7" x14ac:dyDescent="0.25">
      <c r="B14" s="112" t="s">
        <v>92</v>
      </c>
      <c r="C14" s="120" t="s">
        <v>93</v>
      </c>
      <c r="D14" s="122">
        <v>800</v>
      </c>
      <c r="E14" s="120">
        <v>800</v>
      </c>
      <c r="F14" s="581">
        <v>680</v>
      </c>
    </row>
    <row r="15" spans="1:7" x14ac:dyDescent="0.25">
      <c r="B15" s="118"/>
      <c r="C15" s="119"/>
      <c r="D15" s="116"/>
      <c r="E15" s="1"/>
      <c r="F15" s="8"/>
    </row>
    <row r="16" spans="1:7" x14ac:dyDescent="0.25">
      <c r="B16" s="112" t="s">
        <v>94</v>
      </c>
      <c r="C16" s="119" t="s">
        <v>294</v>
      </c>
      <c r="D16" s="116">
        <f>SUM(D17:D19)</f>
        <v>3650</v>
      </c>
      <c r="E16" s="116">
        <f>SUM(E17:E20)</f>
        <v>3950</v>
      </c>
      <c r="F16" s="116">
        <f>SUM(F17:F20)</f>
        <v>2777</v>
      </c>
    </row>
    <row r="17" spans="1:6" x14ac:dyDescent="0.25">
      <c r="B17" s="209" t="s">
        <v>7</v>
      </c>
      <c r="C17" s="169" t="s">
        <v>185</v>
      </c>
      <c r="D17" s="208">
        <v>500</v>
      </c>
      <c r="E17" s="1">
        <v>700</v>
      </c>
      <c r="F17" s="8">
        <v>619</v>
      </c>
    </row>
    <row r="18" spans="1:6" x14ac:dyDescent="0.25">
      <c r="B18" s="209" t="s">
        <v>10</v>
      </c>
      <c r="C18" s="169" t="s">
        <v>423</v>
      </c>
      <c r="D18" s="208">
        <v>3000</v>
      </c>
      <c r="E18" s="1">
        <v>3000</v>
      </c>
      <c r="F18" s="8">
        <v>2000</v>
      </c>
    </row>
    <row r="19" spans="1:6" x14ac:dyDescent="0.25">
      <c r="B19" s="209" t="s">
        <v>11</v>
      </c>
      <c r="C19" s="169" t="s">
        <v>382</v>
      </c>
      <c r="D19" s="208">
        <v>150</v>
      </c>
      <c r="E19" s="1">
        <v>150</v>
      </c>
      <c r="F19" s="8">
        <v>133</v>
      </c>
    </row>
    <row r="20" spans="1:6" x14ac:dyDescent="0.25">
      <c r="B20" s="209" t="s">
        <v>12</v>
      </c>
      <c r="C20" s="169" t="s">
        <v>1056</v>
      </c>
      <c r="D20" s="208"/>
      <c r="E20" s="1">
        <v>100</v>
      </c>
      <c r="F20" s="8">
        <v>25</v>
      </c>
    </row>
    <row r="21" spans="1:6" ht="16.5" thickBot="1" x14ac:dyDescent="0.3">
      <c r="B21" s="112" t="s">
        <v>487</v>
      </c>
      <c r="C21" s="121" t="s">
        <v>488</v>
      </c>
      <c r="D21" s="117">
        <v>120</v>
      </c>
      <c r="E21" s="4">
        <v>120</v>
      </c>
      <c r="F21" s="4">
        <v>100</v>
      </c>
    </row>
    <row r="22" spans="1:6" x14ac:dyDescent="0.25">
      <c r="B22" s="7"/>
      <c r="C22" s="7"/>
      <c r="D22" s="123"/>
      <c r="E22" s="7"/>
      <c r="F22" s="8"/>
    </row>
    <row r="23" spans="1:6" x14ac:dyDescent="0.25">
      <c r="A23" s="26"/>
      <c r="B23" s="115"/>
      <c r="C23" s="124" t="s">
        <v>48</v>
      </c>
      <c r="D23" s="125">
        <f>+D16+D14+D21</f>
        <v>4570</v>
      </c>
      <c r="E23" s="125">
        <f t="shared" ref="E23:F23" si="0">+E16+E14+E21</f>
        <v>4870</v>
      </c>
      <c r="F23" s="125">
        <f t="shared" si="0"/>
        <v>3557</v>
      </c>
    </row>
    <row r="24" spans="1:6" ht="16.5" thickBot="1" x14ac:dyDescent="0.3">
      <c r="A24" s="26"/>
      <c r="B24" s="115"/>
      <c r="C24" s="127"/>
      <c r="D24" s="125"/>
      <c r="E24" s="1"/>
      <c r="F24" s="4"/>
    </row>
    <row r="25" spans="1:6" x14ac:dyDescent="0.25">
      <c r="B25" s="11"/>
      <c r="C25" s="11"/>
      <c r="D25" s="11"/>
      <c r="E25" s="11"/>
      <c r="F25" s="11"/>
    </row>
  </sheetData>
  <mergeCells count="2">
    <mergeCell ref="A5:D5"/>
    <mergeCell ref="B6:C6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&amp;R4/A. melléklet a 9/2019. (V.29.)
önkormányzati rendelethez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46"/>
  <sheetViews>
    <sheetView topLeftCell="A25" workbookViewId="0">
      <selection activeCell="C45" sqref="C45"/>
    </sheetView>
  </sheetViews>
  <sheetFormatPr defaultRowHeight="15.75" x14ac:dyDescent="0.25"/>
  <cols>
    <col min="1" max="1" width="48" style="12" customWidth="1"/>
    <col min="2" max="4" width="13" style="12" customWidth="1"/>
    <col min="5" max="16384" width="9.140625" style="12"/>
  </cols>
  <sheetData>
    <row r="2" spans="1:4" x14ac:dyDescent="0.25">
      <c r="A2" s="669" t="s">
        <v>433</v>
      </c>
      <c r="B2" s="669"/>
      <c r="C2" s="669"/>
      <c r="D2" s="669"/>
    </row>
    <row r="3" spans="1:4" ht="16.5" thickBot="1" x14ac:dyDescent="0.3"/>
    <row r="4" spans="1:4" x14ac:dyDescent="0.25">
      <c r="A4" s="229" t="s">
        <v>194</v>
      </c>
      <c r="B4" s="234" t="s">
        <v>190</v>
      </c>
      <c r="C4" s="234" t="s">
        <v>191</v>
      </c>
      <c r="D4" s="235" t="s">
        <v>193</v>
      </c>
    </row>
    <row r="5" spans="1:4" ht="16.5" thickBot="1" x14ac:dyDescent="0.3">
      <c r="A5" s="230" t="s">
        <v>195</v>
      </c>
      <c r="B5" s="292" t="s">
        <v>6</v>
      </c>
      <c r="C5" s="292" t="s">
        <v>192</v>
      </c>
      <c r="D5" s="236" t="s">
        <v>192</v>
      </c>
    </row>
    <row r="6" spans="1:4" x14ac:dyDescent="0.25">
      <c r="A6" s="213" t="s">
        <v>256</v>
      </c>
      <c r="B6" s="346">
        <f>+B8+B10+B12+B14+B16+B18</f>
        <v>62</v>
      </c>
      <c r="C6" s="215">
        <f>+C8+C10+C12+C14+C16+C18+C19</f>
        <v>48</v>
      </c>
      <c r="D6" s="215">
        <f>+D8+D10+D12+D14+D16+D18+D19</f>
        <v>37.1</v>
      </c>
    </row>
    <row r="7" spans="1:4" x14ac:dyDescent="0.25">
      <c r="A7" s="60" t="s">
        <v>257</v>
      </c>
      <c r="C7" s="16"/>
      <c r="D7" s="350"/>
    </row>
    <row r="8" spans="1:4" x14ac:dyDescent="0.25">
      <c r="A8" s="60" t="s">
        <v>198</v>
      </c>
      <c r="B8" s="12">
        <v>1</v>
      </c>
      <c r="C8" s="16">
        <v>0</v>
      </c>
      <c r="D8" s="350">
        <v>0</v>
      </c>
    </row>
    <row r="9" spans="1:4" x14ac:dyDescent="0.25">
      <c r="A9" s="60" t="s">
        <v>319</v>
      </c>
      <c r="C9" s="16"/>
      <c r="D9" s="350"/>
    </row>
    <row r="10" spans="1:4" x14ac:dyDescent="0.25">
      <c r="A10" s="60" t="s">
        <v>496</v>
      </c>
      <c r="B10" s="12">
        <f>3+18+1+1</f>
        <v>23</v>
      </c>
      <c r="C10" s="16">
        <v>22</v>
      </c>
      <c r="D10" s="350">
        <f>2+1+4.4+0.5+0.2</f>
        <v>8.1</v>
      </c>
    </row>
    <row r="11" spans="1:4" x14ac:dyDescent="0.25">
      <c r="A11" s="60" t="s">
        <v>320</v>
      </c>
      <c r="C11" s="16"/>
      <c r="D11" s="350"/>
    </row>
    <row r="12" spans="1:4" x14ac:dyDescent="0.25">
      <c r="A12" s="60" t="s">
        <v>420</v>
      </c>
      <c r="B12" s="12">
        <v>34</v>
      </c>
      <c r="C12" s="16">
        <v>22</v>
      </c>
      <c r="D12" s="350">
        <v>24</v>
      </c>
    </row>
    <row r="13" spans="1:4" x14ac:dyDescent="0.25">
      <c r="A13" s="60" t="s">
        <v>310</v>
      </c>
      <c r="C13" s="16"/>
      <c r="D13" s="350"/>
    </row>
    <row r="14" spans="1:4" x14ac:dyDescent="0.25">
      <c r="A14" s="60" t="s">
        <v>421</v>
      </c>
      <c r="B14" s="12">
        <v>2</v>
      </c>
      <c r="C14" s="16">
        <v>2</v>
      </c>
      <c r="D14" s="350">
        <v>2</v>
      </c>
    </row>
    <row r="15" spans="1:4" x14ac:dyDescent="0.25">
      <c r="A15" s="60" t="s">
        <v>271</v>
      </c>
      <c r="C15" s="16"/>
      <c r="D15" s="350"/>
    </row>
    <row r="16" spans="1:4" x14ac:dyDescent="0.25">
      <c r="A16" s="60" t="s">
        <v>200</v>
      </c>
      <c r="B16" s="12">
        <v>1</v>
      </c>
      <c r="C16" s="16">
        <v>0</v>
      </c>
      <c r="D16" s="350">
        <v>1</v>
      </c>
    </row>
    <row r="17" spans="1:4" x14ac:dyDescent="0.25">
      <c r="A17" s="60" t="s">
        <v>315</v>
      </c>
      <c r="C17" s="16"/>
      <c r="D17" s="350"/>
    </row>
    <row r="18" spans="1:4" x14ac:dyDescent="0.25">
      <c r="A18" s="598" t="s">
        <v>497</v>
      </c>
      <c r="B18" s="16">
        <v>1</v>
      </c>
      <c r="C18" s="16">
        <v>1</v>
      </c>
      <c r="D18" s="350">
        <v>1</v>
      </c>
    </row>
    <row r="19" spans="1:4" x14ac:dyDescent="0.25">
      <c r="A19" s="49" t="s">
        <v>1064</v>
      </c>
      <c r="C19" s="16">
        <v>1</v>
      </c>
      <c r="D19" s="350">
        <v>1</v>
      </c>
    </row>
    <row r="20" spans="1:4" x14ac:dyDescent="0.25">
      <c r="A20" s="99" t="s">
        <v>196</v>
      </c>
      <c r="B20" s="225">
        <f>SUM(B22:B25)</f>
        <v>11</v>
      </c>
      <c r="C20" s="17">
        <f>SUM(C22:C25)</f>
        <v>9</v>
      </c>
      <c r="D20" s="351">
        <f>SUM(D22:D25)</f>
        <v>8</v>
      </c>
    </row>
    <row r="21" spans="1:4" x14ac:dyDescent="0.25">
      <c r="A21" s="60" t="s">
        <v>197</v>
      </c>
      <c r="C21" s="16"/>
      <c r="D21" s="350"/>
    </row>
    <row r="22" spans="1:4" x14ac:dyDescent="0.25">
      <c r="A22" s="60" t="s">
        <v>199</v>
      </c>
      <c r="B22" s="12">
        <v>8</v>
      </c>
      <c r="C22" s="16">
        <v>7</v>
      </c>
      <c r="D22" s="350">
        <v>6</v>
      </c>
    </row>
    <row r="23" spans="1:4" x14ac:dyDescent="0.25">
      <c r="A23" s="60" t="s">
        <v>498</v>
      </c>
      <c r="B23" s="12">
        <v>1</v>
      </c>
      <c r="C23" s="16">
        <v>1</v>
      </c>
      <c r="D23" s="350">
        <v>1</v>
      </c>
    </row>
    <row r="24" spans="1:4" x14ac:dyDescent="0.25">
      <c r="A24" s="60" t="s">
        <v>499</v>
      </c>
      <c r="B24" s="12">
        <v>1</v>
      </c>
      <c r="C24" s="16">
        <v>1</v>
      </c>
      <c r="D24" s="350">
        <v>1</v>
      </c>
    </row>
    <row r="25" spans="1:4" x14ac:dyDescent="0.25">
      <c r="A25" s="60" t="s">
        <v>1065</v>
      </c>
      <c r="B25" s="12">
        <v>1</v>
      </c>
      <c r="C25" s="16">
        <v>0</v>
      </c>
      <c r="D25" s="350">
        <v>0</v>
      </c>
    </row>
    <row r="26" spans="1:4" x14ac:dyDescent="0.25">
      <c r="A26" s="99" t="s">
        <v>201</v>
      </c>
      <c r="B26" s="225">
        <f>SUM(B27:B38)</f>
        <v>9</v>
      </c>
      <c r="C26" s="17">
        <f>SUM(C27:C38)</f>
        <v>9</v>
      </c>
      <c r="D26" s="380">
        <f>SUM(D27:D38)</f>
        <v>9</v>
      </c>
    </row>
    <row r="27" spans="1:4" x14ac:dyDescent="0.25">
      <c r="A27" s="6" t="s">
        <v>202</v>
      </c>
      <c r="B27" s="95"/>
      <c r="C27" s="95"/>
      <c r="D27" s="350"/>
    </row>
    <row r="28" spans="1:4" x14ac:dyDescent="0.25">
      <c r="A28" s="6" t="s">
        <v>200</v>
      </c>
      <c r="B28" s="16">
        <v>1</v>
      </c>
      <c r="C28" s="16">
        <v>1</v>
      </c>
      <c r="D28" s="350">
        <v>1</v>
      </c>
    </row>
    <row r="29" spans="1:4" x14ac:dyDescent="0.25">
      <c r="A29" s="6" t="s">
        <v>203</v>
      </c>
      <c r="B29" s="16"/>
      <c r="C29" s="16"/>
      <c r="D29" s="350"/>
    </row>
    <row r="30" spans="1:4" x14ac:dyDescent="0.25">
      <c r="A30" s="6" t="s">
        <v>200</v>
      </c>
      <c r="B30" s="16">
        <v>1</v>
      </c>
      <c r="C30" s="16">
        <v>1</v>
      </c>
      <c r="D30" s="350">
        <v>1</v>
      </c>
    </row>
    <row r="31" spans="1:4" x14ac:dyDescent="0.25">
      <c r="A31" s="6" t="s">
        <v>204</v>
      </c>
      <c r="B31" s="16"/>
      <c r="C31" s="16"/>
      <c r="D31" s="350"/>
    </row>
    <row r="32" spans="1:4" x14ac:dyDescent="0.25">
      <c r="A32" s="6" t="s">
        <v>200</v>
      </c>
      <c r="B32" s="16">
        <v>1</v>
      </c>
      <c r="C32" s="16">
        <v>1</v>
      </c>
      <c r="D32" s="350">
        <v>1</v>
      </c>
    </row>
    <row r="33" spans="1:4" x14ac:dyDescent="0.25">
      <c r="A33" s="6" t="s">
        <v>383</v>
      </c>
      <c r="B33" s="16"/>
      <c r="C33" s="16"/>
      <c r="D33" s="350"/>
    </row>
    <row r="34" spans="1:4" ht="17.25" customHeight="1" x14ac:dyDescent="0.25">
      <c r="A34" s="6" t="s">
        <v>200</v>
      </c>
      <c r="B34" s="16">
        <v>1</v>
      </c>
      <c r="C34" s="16">
        <v>1</v>
      </c>
      <c r="D34" s="350">
        <v>1</v>
      </c>
    </row>
    <row r="35" spans="1:4" ht="17.25" customHeight="1" x14ac:dyDescent="0.25">
      <c r="A35" s="6" t="s">
        <v>239</v>
      </c>
      <c r="B35" s="16"/>
      <c r="C35" s="16"/>
      <c r="D35" s="350"/>
    </row>
    <row r="36" spans="1:4" ht="17.25" customHeight="1" x14ac:dyDescent="0.25">
      <c r="A36" s="6" t="s">
        <v>240</v>
      </c>
      <c r="B36" s="16">
        <v>2</v>
      </c>
      <c r="C36" s="16">
        <v>2</v>
      </c>
      <c r="D36" s="350">
        <v>2</v>
      </c>
    </row>
    <row r="37" spans="1:4" ht="17.25" customHeight="1" x14ac:dyDescent="0.25">
      <c r="A37" s="6" t="s">
        <v>320</v>
      </c>
      <c r="B37" s="16"/>
      <c r="C37" s="16"/>
      <c r="D37" s="350"/>
    </row>
    <row r="38" spans="1:4" ht="17.25" customHeight="1" x14ac:dyDescent="0.25">
      <c r="A38" s="6" t="s">
        <v>484</v>
      </c>
      <c r="B38" s="16">
        <v>3</v>
      </c>
      <c r="C38" s="16">
        <v>3</v>
      </c>
      <c r="D38" s="350">
        <v>3</v>
      </c>
    </row>
    <row r="39" spans="1:4" ht="17.25" customHeight="1" x14ac:dyDescent="0.25">
      <c r="A39" s="313" t="s">
        <v>313</v>
      </c>
      <c r="B39" s="17">
        <f>SUM(B40:B41)</f>
        <v>10</v>
      </c>
      <c r="C39" s="17">
        <f>SUM(C40:C41)</f>
        <v>10</v>
      </c>
      <c r="D39" s="351">
        <f>SUM(D40:D41)</f>
        <v>10</v>
      </c>
    </row>
    <row r="40" spans="1:4" ht="17.25" customHeight="1" x14ac:dyDescent="0.25">
      <c r="A40" s="6" t="s">
        <v>314</v>
      </c>
      <c r="B40" s="16"/>
      <c r="C40" s="16"/>
      <c r="D40" s="350"/>
    </row>
    <row r="41" spans="1:4" ht="17.25" customHeight="1" thickBot="1" x14ac:dyDescent="0.3">
      <c r="A41" s="6" t="s">
        <v>200</v>
      </c>
      <c r="B41" s="16">
        <v>10</v>
      </c>
      <c r="C41" s="16">
        <v>10</v>
      </c>
      <c r="D41" s="350">
        <v>10</v>
      </c>
    </row>
    <row r="42" spans="1:4" x14ac:dyDescent="0.25">
      <c r="A42" s="229" t="s">
        <v>490</v>
      </c>
      <c r="B42" s="347">
        <f>+B43+B44+B45+B46</f>
        <v>92</v>
      </c>
      <c r="C42" s="347">
        <f>+C43+C44+C45+C46</f>
        <v>76</v>
      </c>
      <c r="D42" s="347">
        <f>+D43+D44+D45+D46</f>
        <v>64</v>
      </c>
    </row>
    <row r="43" spans="1:4" x14ac:dyDescent="0.25">
      <c r="A43" s="230" t="s">
        <v>205</v>
      </c>
      <c r="B43" s="348">
        <f>+B22+B23</f>
        <v>9</v>
      </c>
      <c r="C43" s="348">
        <f>+C22+C23</f>
        <v>8</v>
      </c>
      <c r="D43" s="348">
        <f>+D22+D23</f>
        <v>7</v>
      </c>
    </row>
    <row r="44" spans="1:4" x14ac:dyDescent="0.25">
      <c r="A44" s="230" t="s">
        <v>321</v>
      </c>
      <c r="B44" s="348">
        <f>+B8+B16+B28+B30+B32+B34+B36+B41</f>
        <v>18</v>
      </c>
      <c r="C44" s="348">
        <f>+C8+C16+C28+C30+C32+C34+C36+C41</f>
        <v>16</v>
      </c>
      <c r="D44" s="348">
        <f>+D8+D16+D28+D30+D32+D34+D36+D41</f>
        <v>17</v>
      </c>
    </row>
    <row r="45" spans="1:4" x14ac:dyDescent="0.25">
      <c r="A45" s="230" t="s">
        <v>206</v>
      </c>
      <c r="B45" s="348">
        <f>+B10+B14+B18+B25+B24</f>
        <v>28</v>
      </c>
      <c r="C45" s="348">
        <f>+C10+C14+C18+C25+C24+C19</f>
        <v>27</v>
      </c>
      <c r="D45" s="348">
        <f>+D10+D14+D18+D25+D24+D19</f>
        <v>13</v>
      </c>
    </row>
    <row r="46" spans="1:4" ht="16.5" thickBot="1" x14ac:dyDescent="0.3">
      <c r="A46" s="231" t="s">
        <v>207</v>
      </c>
      <c r="B46" s="349">
        <f>+B38+B12</f>
        <v>37</v>
      </c>
      <c r="C46" s="349">
        <f>+C38+C12</f>
        <v>25</v>
      </c>
      <c r="D46" s="349">
        <f>+D38+D12</f>
        <v>27</v>
      </c>
    </row>
  </sheetData>
  <mergeCells count="1">
    <mergeCell ref="A2:D2"/>
  </mergeCells>
  <phoneticPr fontId="2" type="noConversion"/>
  <printOptions horizontalCentered="1"/>
  <pageMargins left="0.39370078740157483" right="0.39370078740157483" top="0.39370078740157483" bottom="0.39370078740157483" header="0.11811023622047245" footer="0.11811023622047245"/>
  <pageSetup paperSize="9" scale="90" orientation="portrait" horizontalDpi="300" verticalDpi="300" r:id="rId1"/>
  <headerFooter alignWithMargins="0">
    <oddHeader>&amp;R4/b. melléklet a 9/2019. (V.29.)
 önkormányzati rendelethez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9</vt:i4>
      </vt:variant>
    </vt:vector>
  </HeadingPairs>
  <TitlesOfParts>
    <vt:vector size="30" baseType="lpstr">
      <vt:lpstr>1.sz.m.</vt:lpstr>
      <vt:lpstr>2. sz. m. (mód)</vt:lpstr>
      <vt:lpstr>2a</vt:lpstr>
      <vt:lpstr>2b</vt:lpstr>
      <vt:lpstr>2c</vt:lpstr>
      <vt:lpstr>3. sz. m. (mód) </vt:lpstr>
      <vt:lpstr>4 sz. m.(mód) </vt:lpstr>
      <vt:lpstr>4a</vt:lpstr>
      <vt:lpstr>4.b.</vt:lpstr>
      <vt:lpstr>4c.</vt:lpstr>
      <vt:lpstr>4d.</vt:lpstr>
      <vt:lpstr>5.sz.m.(mód)</vt:lpstr>
      <vt:lpstr>6.sz.m</vt:lpstr>
      <vt:lpstr>7.sz.m.</vt:lpstr>
      <vt:lpstr>8.sz.m</vt:lpstr>
      <vt:lpstr>9.sz.m</vt:lpstr>
      <vt:lpstr>10. sz. m.</vt:lpstr>
      <vt:lpstr>11.sz.m.</vt:lpstr>
      <vt:lpstr>12.sz.m.</vt:lpstr>
      <vt:lpstr>13.sz.m.</vt:lpstr>
      <vt:lpstr>14.sz.m.</vt:lpstr>
      <vt:lpstr>'2. sz. m. (mód)'!Nyomtatási_cím</vt:lpstr>
      <vt:lpstr>'3. sz. m. (mód) '!Nyomtatási_cím</vt:lpstr>
      <vt:lpstr>'4 sz. m.(mód) '!Nyomtatási_cím</vt:lpstr>
      <vt:lpstr>'4.b.'!Nyomtatási_cím</vt:lpstr>
      <vt:lpstr>'1.sz.m.'!Nyomtatási_terület</vt:lpstr>
      <vt:lpstr>'2a'!Nyomtatási_terület</vt:lpstr>
      <vt:lpstr>'3. sz. m. (mód) '!Nyomtatási_terület</vt:lpstr>
      <vt:lpstr>'4 sz. m.(mód) '!Nyomtatási_terület</vt:lpstr>
      <vt:lpstr>'4.b.'!Nyomtatási_terület</vt:lpstr>
    </vt:vector>
  </TitlesOfParts>
  <Company>Polgármesteri Hivatal Maroslele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Maroslele</cp:lastModifiedBy>
  <cp:lastPrinted>2019-05-30T09:34:57Z</cp:lastPrinted>
  <dcterms:created xsi:type="dcterms:W3CDTF">2006-11-14T10:29:53Z</dcterms:created>
  <dcterms:modified xsi:type="dcterms:W3CDTF">2019-05-30T09:35:29Z</dcterms:modified>
</cp:coreProperties>
</file>