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. Mérlegszerű" sheetId="1" r:id="rId1"/>
    <sheet name="2,a Elemi bevételek" sheetId="2" state="hidden" r:id="rId2"/>
    <sheet name="2,a Elemi bevételek " sheetId="3" r:id="rId3"/>
    <sheet name="2,b Elemi kiadások" sheetId="4" r:id="rId4"/>
    <sheet name="3. Hivatal" sheetId="5" state="hidden" r:id="rId5"/>
    <sheet name="5. Felhalmozás" sheetId="6" r:id="rId6"/>
    <sheet name="6,a Műk. mérleg" sheetId="7" r:id="rId7"/>
    <sheet name="6,b Beruh. mérleg" sheetId="8" r:id="rId8"/>
    <sheet name="7. Tartalékok" sheetId="9" r:id="rId9"/>
    <sheet name="9. Projekt" sheetId="10" r:id="rId10"/>
    <sheet name="10. Likviditási terv" sheetId="11" r:id="rId11"/>
    <sheet name="12. Többéves döntések" sheetId="12" r:id="rId12"/>
    <sheet name="14. Bölcsőde" sheetId="13" r:id="rId13"/>
  </sheets>
  <definedNames>
    <definedName name="_xlfn.IFERROR" hidden="1">#NAME?</definedName>
    <definedName name="_xlnm.Print_Area" localSheetId="0">'1. Mérlegszerű'!$A$1:$W$62</definedName>
    <definedName name="_xlnm.Print_Area" localSheetId="10">'10. Likviditási terv'!$A$1:$O$27</definedName>
    <definedName name="_xlnm.Print_Area" localSheetId="12">'14. Bölcsőde'!$A$1:$G$32</definedName>
    <definedName name="_xlnm.Print_Area" localSheetId="1">'2,a Elemi bevételek'!$A$1:$G$43</definedName>
    <definedName name="_xlnm.Print_Area" localSheetId="2">'2,a Elemi bevételek '!$A$1:$G$39</definedName>
    <definedName name="_xlnm.Print_Area" localSheetId="3">'2,b Elemi kiadások'!$A$1:$K$65</definedName>
    <definedName name="_xlnm.Print_Area" localSheetId="4">'3. Hivatal'!$A$1:$G$50</definedName>
    <definedName name="_xlnm.Print_Area" localSheetId="5">'5. Felhalmozás'!$A$1:$V$34</definedName>
    <definedName name="_xlnm.Print_Area" localSheetId="6">'6,a Műk. mérleg'!$A$1:$Q$30</definedName>
    <definedName name="_xlnm.Print_Area" localSheetId="7">'6,b Beruh. mérleg'!$A$1:$U$30</definedName>
    <definedName name="_xlnm.Print_Area" localSheetId="9">'9. Projekt'!$A$1:$K$17</definedName>
  </definedNames>
  <calcPr fullCalcOnLoad="1"/>
</workbook>
</file>

<file path=xl/comments13.xml><?xml version="1.0" encoding="utf-8"?>
<comments xmlns="http://schemas.openxmlformats.org/spreadsheetml/2006/main">
  <authors>
    <author>tothnora</author>
  </authors>
  <commentList>
    <comment ref="A7" authorId="0">
      <text>
        <r>
          <rPr>
            <b/>
            <sz val="9"/>
            <rFont val="Tahoma"/>
            <family val="2"/>
          </rPr>
          <t>tothnora: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tothnora</author>
  </authors>
  <commentList>
    <comment ref="A8" authorId="0">
      <text>
        <r>
          <rPr>
            <b/>
            <sz val="9"/>
            <rFont val="Tahoma"/>
            <family val="2"/>
          </rPr>
          <t>tothnora: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<sst xmlns="http://schemas.openxmlformats.org/spreadsheetml/2006/main" count="1108" uniqueCount="582">
  <si>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</si>
  <si>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</si>
  <si>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</si>
  <si>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</si>
  <si>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</si>
  <si>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</si>
  <si>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</si>
  <si>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</si>
  <si>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</si>
  <si>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</si>
  <si>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</si>
  <si>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</si>
  <si>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</si>
  <si>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</si>
  <si>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</si>
  <si>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</si>
  <si>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</si>
  <si>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</si>
  <si>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</si>
  <si>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</si>
  <si>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</si>
  <si>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</si>
  <si>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</si>
  <si>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</si>
  <si>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</si>
  <si>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</si>
  <si>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</si>
  <si>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</si>
  <si>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</si>
  <si>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</si>
  <si>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</si>
  <si>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</si>
  <si>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</si>
  <si>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</si>
  <si>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</si>
  <si>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</si>
  <si>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</si>
  <si>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</si>
  <si>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</si>
  <si>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</si>
  <si>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</si>
  <si>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</si>
  <si>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</si>
  <si>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</si>
  <si>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</si>
  <si>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</si>
  <si>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</si>
  <si>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</si>
  <si>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</si>
  <si>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</si>
  <si>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</si>
  <si>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</si>
  <si>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</si>
  <si>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</si>
  <si>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</si>
  <si>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</si>
  <si>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</si>
  <si>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</si>
  <si>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</si>
  <si>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</si>
  <si>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</si>
  <si>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</si>
  <si>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</si>
  <si>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</si>
  <si>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</si>
  <si>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</si>
  <si>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</si>
  <si>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</si>
  <si>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</si>
  <si>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</si>
  <si>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</si>
  <si>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</si>
  <si>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</si>
  <si>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</si>
  <si>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</si>
  <si>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</si>
  <si>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</si>
  <si>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</si>
  <si>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</si>
  <si>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</si>
  <si>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</si>
  <si>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</si>
  <si>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</si>
  <si>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</si>
  <si>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</si>
  <si>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</si>
  <si>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</si>
  <si>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</si>
  <si>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</si>
  <si>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</si>
  <si>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</si>
  <si>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</si>
  <si>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</si>
  <si>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</si>
  <si>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</si>
  <si>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</si>
  <si>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</si>
  <si>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</si>
  <si>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</si>
  <si>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</si>
  <si>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Szakfeladat</t>
  </si>
  <si>
    <t>COFOG</t>
  </si>
  <si>
    <t>999000</t>
  </si>
  <si>
    <t>045160</t>
  </si>
  <si>
    <t>562913</t>
  </si>
  <si>
    <t>096020</t>
  </si>
  <si>
    <t>066020</t>
  </si>
  <si>
    <t>680001</t>
  </si>
  <si>
    <t>013350</t>
  </si>
  <si>
    <t>052020</t>
  </si>
  <si>
    <t>910502</t>
  </si>
  <si>
    <t>082091</t>
  </si>
  <si>
    <t>931102</t>
  </si>
  <si>
    <t>081030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</si>
  <si>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</si>
  <si>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</si>
  <si>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</si>
  <si>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</si>
  <si>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</si>
  <si>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</si>
  <si>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</si>
  <si>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</si>
  <si>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</si>
  <si>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</si>
  <si>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</si>
  <si>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Egyéb nem intézményi ellátások</t>
  </si>
  <si>
    <t>Egyéb működési célú kiadások</t>
  </si>
  <si>
    <t>Szolgáltatások ellenértéke</t>
  </si>
  <si>
    <t>B62.</t>
  </si>
  <si>
    <t>B7+ B8</t>
  </si>
  <si>
    <t>B111.</t>
  </si>
  <si>
    <t>B112.</t>
  </si>
  <si>
    <t>B113.</t>
  </si>
  <si>
    <t>B114.</t>
  </si>
  <si>
    <t>B115.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</si>
  <si>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</si>
  <si>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</si>
  <si>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</si>
  <si>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</si>
  <si>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</si>
  <si>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</si>
  <si>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</si>
  <si>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</si>
  <si>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</si>
  <si>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</si>
  <si>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</si>
  <si>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</si>
  <si>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</si>
  <si>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</si>
  <si>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</si>
  <si>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</si>
  <si>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</si>
  <si>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</si>
  <si>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</si>
  <si>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</si>
  <si>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</si>
  <si>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</si>
  <si>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</si>
  <si>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</si>
  <si>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</si>
  <si>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</si>
  <si>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</si>
  <si>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</si>
  <si>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</si>
  <si>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K48.</t>
  </si>
  <si>
    <t>K506.</t>
  </si>
  <si>
    <t>K508.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</si>
  <si>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</si>
  <si>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</si>
  <si>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</si>
  <si>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</si>
  <si>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</si>
  <si>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</si>
  <si>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</si>
  <si>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</si>
  <si>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</si>
  <si>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</si>
  <si>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</si>
  <si>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</si>
  <si>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</si>
  <si>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K1.-K8.</t>
  </si>
  <si>
    <t>B1.-B7.</t>
  </si>
  <si>
    <t>K8.+ K9.</t>
  </si>
  <si>
    <t xml:space="preserve">Csesztreg Község Önkormányzata </t>
  </si>
  <si>
    <t xml:space="preserve">Csesztreg Község Önkormányzatának elemi bevételei </t>
  </si>
  <si>
    <t>Csesztreg Község Önkormányzatának elemi kiadásai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</si>
  <si>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</si>
  <si>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</si>
  <si>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</si>
  <si>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</si>
  <si>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</si>
  <si>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</si>
  <si>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</si>
  <si>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Sor-
szám</t>
  </si>
  <si>
    <t>Megnevezés</t>
  </si>
  <si>
    <t>Tartalékok</t>
  </si>
  <si>
    <t>10.</t>
  </si>
  <si>
    <t>11.</t>
  </si>
  <si>
    <t>12.</t>
  </si>
  <si>
    <t>13.</t>
  </si>
  <si>
    <t>14.</t>
  </si>
  <si>
    <t>Értékpapír vásárlása, visszavásárlása</t>
  </si>
  <si>
    <t>15.</t>
  </si>
  <si>
    <t>16.</t>
  </si>
  <si>
    <t>Rövid lejáratú hitelek törlesztése</t>
  </si>
  <si>
    <t>17.</t>
  </si>
  <si>
    <t>Hosszú lejáratú hitelek törlesztése</t>
  </si>
  <si>
    <t>18.</t>
  </si>
  <si>
    <t>Kölcsön törlesztése</t>
  </si>
  <si>
    <t>19.</t>
  </si>
  <si>
    <t>20.</t>
  </si>
  <si>
    <t>21.</t>
  </si>
  <si>
    <t>22.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</si>
  <si>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</si>
  <si>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</si>
  <si>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</si>
  <si>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</si>
  <si>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</si>
  <si>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</si>
  <si>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</si>
  <si>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</si>
  <si>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</si>
  <si>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</si>
  <si>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</si>
  <si>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</si>
  <si>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</si>
  <si>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</si>
  <si>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</si>
  <si>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</si>
  <si>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</si>
  <si>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</si>
  <si>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</si>
  <si>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</si>
  <si>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</si>
  <si>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</si>
  <si>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K513.</t>
  </si>
  <si>
    <t>Tartalékok előirányzata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</si>
  <si>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</si>
  <si>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</si>
  <si>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</si>
  <si>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</si>
  <si>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</si>
  <si>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</si>
  <si>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</si>
  <si>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Egyéb működési célú támogatások</t>
  </si>
  <si>
    <t>Államháztartáson belüli megelőlegezések visszafizetése</t>
  </si>
  <si>
    <t xml:space="preserve">Megnevezés </t>
  </si>
  <si>
    <t xml:space="preserve">MŰKÖDÉSI CÉLÚ BEVÉTELEK </t>
  </si>
  <si>
    <t>MŰKÖDÉSI CÉLÚ  KIADÁSOK</t>
  </si>
  <si>
    <t>Önkormányzat</t>
  </si>
  <si>
    <t>1.2. Közhatalmi bevételek</t>
  </si>
  <si>
    <t xml:space="preserve">1.3. Működési bevételek </t>
  </si>
  <si>
    <t>1.4. Működési célú átvett pénzeszközök</t>
  </si>
  <si>
    <t>Önkormányzat összesen</t>
  </si>
  <si>
    <t>Közös Önkormányzati Hivatal</t>
  </si>
  <si>
    <t>Közös Önkormányzati Hivatal össz.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</si>
  <si>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</si>
  <si>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</si>
  <si>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</si>
  <si>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</si>
  <si>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</si>
  <si>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</si>
  <si>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</si>
  <si>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</si>
  <si>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</si>
  <si>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</si>
  <si>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</si>
  <si>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</si>
  <si>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</si>
  <si>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</si>
  <si>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</si>
  <si>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</si>
  <si>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</si>
  <si>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</si>
  <si>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</si>
  <si>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</si>
  <si>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</si>
  <si>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</si>
  <si>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</si>
  <si>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</si>
  <si>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</si>
  <si>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2.1. Személyi juttatások</t>
  </si>
  <si>
    <t>2.2. Munkaadókat terhelő járulékok és szociális hozzájárulási adó</t>
  </si>
  <si>
    <t>2.3. Dologi kiadások</t>
  </si>
  <si>
    <t>Összesen</t>
  </si>
  <si>
    <t>Közös Önkormányzati Hivatal 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</si>
  <si>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</si>
  <si>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</si>
  <si>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</si>
  <si>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</si>
  <si>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</si>
  <si>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</si>
  <si>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</si>
  <si>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</si>
  <si>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</si>
  <si>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</si>
  <si>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</si>
  <si>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</si>
  <si>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</si>
  <si>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</si>
  <si>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Bevételek összesen :</t>
  </si>
  <si>
    <t>Munkaadót terhelő járulékok</t>
  </si>
  <si>
    <t>Tartalék</t>
  </si>
  <si>
    <t>Kiadások összesen:</t>
  </si>
  <si>
    <t>Záró pénzkészlet</t>
  </si>
  <si>
    <t>F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</si>
  <si>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</si>
  <si>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</si>
  <si>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</si>
  <si>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</si>
  <si>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</si>
  <si>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</si>
  <si>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</si>
  <si>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</si>
  <si>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</si>
  <si>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Csesztreg Község Önkormányzata többéves kihatással járó döntések számszerűsítése évenkénti bontásban és összesítve célok szerint</t>
  </si>
  <si>
    <t xml:space="preserve">   Államháztartáson belüli megelőgezések visszafizetése</t>
  </si>
  <si>
    <r>
      <t xml:space="preserve">    </t>
    </r>
    <r>
      <rPr>
        <sz val="8"/>
        <rFont val="Times New Roman CE"/>
        <family val="1"/>
      </rPr>
      <t>Csesztreg Jövőjéért Alap</t>
    </r>
  </si>
  <si>
    <t>2014.</t>
  </si>
  <si>
    <t>I=(D+E+F+G)</t>
  </si>
  <si>
    <t>Adatok Ft-ban</t>
  </si>
  <si>
    <t>Működési célú költségvetési tán. és kiegészítő tám.</t>
  </si>
  <si>
    <t>Biztosító által fizetett kártérítés</t>
  </si>
  <si>
    <t>K335.</t>
  </si>
  <si>
    <t>Közvetített szolgáltatások</t>
  </si>
  <si>
    <t>K512.</t>
  </si>
  <si>
    <t xml:space="preserve">    Adatok Ft-ban</t>
  </si>
  <si>
    <t>Előzetesen felszámított és fizetendő áfa</t>
  </si>
  <si>
    <t>Igazgatáshoz szükséges kis értékű tárgyi eszközök beszerzés</t>
  </si>
  <si>
    <t>Víziközmű felújítása</t>
  </si>
  <si>
    <t>Felhalmozási jellegű bevétel megnevezése</t>
  </si>
  <si>
    <t>Felhalmozási jellegű kiadás megnevezése</t>
  </si>
  <si>
    <t xml:space="preserve"> Adatok Ft-ban</t>
  </si>
  <si>
    <t>2018.</t>
  </si>
  <si>
    <t>2019.</t>
  </si>
  <si>
    <t>K89.</t>
  </si>
  <si>
    <t>Egyéb felhalmozási célú támogatások áht-n kívülre</t>
  </si>
  <si>
    <t>K5021.</t>
  </si>
  <si>
    <t>A helyi önkormányzatok előző évi elszámolásaiból származó kiadások</t>
  </si>
  <si>
    <t>K352.</t>
  </si>
  <si>
    <t>Fizetendő áfa előirányzata</t>
  </si>
  <si>
    <t>2.1. Működési célú támogatás aht-n belül</t>
  </si>
  <si>
    <t xml:space="preserve">2.2. Működési bevételek </t>
  </si>
  <si>
    <t>2.3. Felhalmozási bevételek</t>
  </si>
  <si>
    <t xml:space="preserve">1.6. Beruházások </t>
  </si>
  <si>
    <t>1.7. Felújítások</t>
  </si>
  <si>
    <t>1.8. Egyéb felhalmozási célú kiadások</t>
  </si>
  <si>
    <t>1.9. Tartalékok</t>
  </si>
  <si>
    <t>1.8. Előző évi költségvetési maradvány igénybevétele</t>
  </si>
  <si>
    <t>2.4. Előző évi költségvetési maradvány igénybevétele</t>
  </si>
  <si>
    <t>Működési célú támogatások áht-n belülről</t>
  </si>
  <si>
    <t>Előző évi költségvetési maradvány igénybevétele</t>
  </si>
  <si>
    <t>2020.</t>
  </si>
  <si>
    <t>B411.</t>
  </si>
  <si>
    <t>Eredeti előirányzat 2018.</t>
  </si>
  <si>
    <t>B25.</t>
  </si>
  <si>
    <t>Egyéb felhalmozási célú támogatások áht-n belülről</t>
  </si>
  <si>
    <t>B75.</t>
  </si>
  <si>
    <t>Egyéb felhalmozási célú átvett pénzeszközök</t>
  </si>
  <si>
    <t>2018. ÉVI MŰKÖDÉSI ÉS FELHALMOZÁSI CÉLÚ BEVÉTELEI ÉS KIADÁSAI</t>
  </si>
  <si>
    <t>1.7. Felhalmozási célú átvett pénzeszközök</t>
  </si>
  <si>
    <t xml:space="preserve"> </t>
  </si>
  <si>
    <t>2018. évi előirányzat</t>
  </si>
  <si>
    <t>CSESZTREG KÖZSÉG ÖNKORMÁNYZATA ÉS INTÉZMÉNYE 2018. ÉVI ELŐIRÁNYZAT FELHASZNÁLÁSI ÜTEMTERVE</t>
  </si>
  <si>
    <t>Költségvetési bevételek összesen: (1.+3.+4.+6.+7.)</t>
  </si>
  <si>
    <t>Hiány belső finanszírozás bevételei ( 10.+…+14.)</t>
  </si>
  <si>
    <t>Hiány külső finanszírozásának bevételei (16.+…+20. )</t>
  </si>
  <si>
    <t>Felhalmozási célú finanszírozási bevételek összesen (9.+15.)</t>
  </si>
  <si>
    <t>BEVÉTEL ÖSSZESEN (8.+21.)</t>
  </si>
  <si>
    <t>Költségvetési kiadások összesen: (1.+3.+5.+6.+7.)</t>
  </si>
  <si>
    <t>Felhalmozási célú finanszírozási kiadások összesen
(9.+...+20.)</t>
  </si>
  <si>
    <t>KIADÁSOK ÖSSZESEN (8.+21.)</t>
  </si>
  <si>
    <t>GO IN NATURE projekt</t>
  </si>
  <si>
    <t>2018. előtti kifizetések</t>
  </si>
  <si>
    <t>Összesen (1+2+3+5+7)</t>
  </si>
  <si>
    <t>Dózsa úti járda részleges felújítása</t>
  </si>
  <si>
    <t>Védőnő részére kis értékű eszközök beszerzése</t>
  </si>
  <si>
    <t>Egyéb felhalmozási célú támogatások áht-n kívülre (Sportegyesület)</t>
  </si>
  <si>
    <t>Fecskeház kialakítása</t>
  </si>
  <si>
    <t>Ady úti járda felújítása</t>
  </si>
  <si>
    <t>Kátyúzás</t>
  </si>
  <si>
    <t>Egészségügy részére kis értékű eszközök beszerzése</t>
  </si>
  <si>
    <t>Konyha felújítás projekt</t>
  </si>
  <si>
    <t>Tartalékok (EFOP 1.5.3.)</t>
  </si>
  <si>
    <t>Tartalékok (EFOP 3.9.2.)</t>
  </si>
  <si>
    <t>Tartalékok (GO IN NATURE)</t>
  </si>
  <si>
    <t>Tartalékok (KerKaLand)</t>
  </si>
  <si>
    <t>Felhalmozási jellegű bevételek és kiadások (önkormányzati szinten)</t>
  </si>
  <si>
    <t>Tulajdonosi bevételek (Zalavíz)</t>
  </si>
  <si>
    <t>Előző évi maradvány igénybevétele</t>
  </si>
  <si>
    <t>Fecskeházak kialakítására kapott pályázati támogatás</t>
  </si>
  <si>
    <t>Konyha felújítására kapott pályázati támogatás</t>
  </si>
  <si>
    <t>EFOP 1.5.3. - pályázati támogatás</t>
  </si>
  <si>
    <t>EFOP 3.9.2. - pályázati támogatás</t>
  </si>
  <si>
    <t>Felhalmozási célú támogatások áht-n belülről</t>
  </si>
  <si>
    <t>igazg.</t>
  </si>
  <si>
    <t>fecskeház</t>
  </si>
  <si>
    <t>Dózsa úit járda</t>
  </si>
  <si>
    <t>Ady úti járda</t>
  </si>
  <si>
    <t>kátyúzás</t>
  </si>
  <si>
    <t>GO IN NATURE</t>
  </si>
  <si>
    <t>KerKaLand</t>
  </si>
  <si>
    <t>vízmű</t>
  </si>
  <si>
    <t>orvos</t>
  </si>
  <si>
    <t>védőőnő</t>
  </si>
  <si>
    <t>műv. Ház felúj.</t>
  </si>
  <si>
    <t>műv. Ház beruh.</t>
  </si>
  <si>
    <t xml:space="preserve">konyha </t>
  </si>
  <si>
    <t>hivatal</t>
  </si>
  <si>
    <t>Értékesítési forgalmi adók (Iparűzési adó)</t>
  </si>
  <si>
    <t>Tartalékok (általános)</t>
  </si>
  <si>
    <t>Művelődési Ház felújítása, valamint eszközök beszerzése</t>
  </si>
  <si>
    <t>Előirányzat módosítás 04.15.</t>
  </si>
  <si>
    <t>Módosított előirányzat 04.15.</t>
  </si>
  <si>
    <t>Előrányzat módosítás 04.15.</t>
  </si>
  <si>
    <t>Ebből: Közművelődési érdekeltségnövelő támogatáshoz kapcsolódó beruházás</t>
  </si>
  <si>
    <t>Ebből: Közművelődési érdekeltségnövelő támogatáshoz kapcsolódó beruházás általános forgalmi adója</t>
  </si>
  <si>
    <t>Előriányzat módosítás 04.15.</t>
  </si>
  <si>
    <t>A K5 rovaton (működési célú kiadás) könyvelendő felhalmozási célú céltartalék a mérlegszerű bemutatásban a felhalmozási célú kiadások között szerepel!</t>
  </si>
  <si>
    <t>H</t>
  </si>
  <si>
    <t>Közművelődési érdekeltségnövelő támogatásból történő eszközbeszerzés (Művelődési Házba székek vásárlása)</t>
  </si>
  <si>
    <t>Közművelődési érdekeltségnövelő támogatás</t>
  </si>
  <si>
    <t>érd.növ.tám.</t>
  </si>
  <si>
    <t>Előirányzat módosítás 05.31.</t>
  </si>
  <si>
    <t>Módosított előirányzat 05.31.</t>
  </si>
  <si>
    <t>Előrányzat módosítás 05.31.</t>
  </si>
  <si>
    <t>2/2018. (II. 15.) önkormányzati rendelet 2,b. melléklete</t>
  </si>
  <si>
    <t>Központi, irányítószervi támogatás</t>
  </si>
  <si>
    <t>………... önkormányzati rendelet 3. melléklete</t>
  </si>
  <si>
    <t>Előriányzat módosítás 05.31.</t>
  </si>
  <si>
    <t>2.4. Egyéb működési célú kiadások</t>
  </si>
  <si>
    <t>2/2018. (II. 15.) önkormányzati rendelet 1. melléklete</t>
  </si>
  <si>
    <t>2.5. Beruházási kiadás</t>
  </si>
  <si>
    <t>I. Működési célú bevételek és kiadások mérlege
(Önkormányzati szinten)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</si>
  <si>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</si>
  <si>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</si>
  <si>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</si>
  <si>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</si>
  <si>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</si>
  <si>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6.-ból EU-s támogatás (közvetlen)</t>
  </si>
  <si>
    <t>Költségvetési bevételek összesen (1.+2.+4.+5.+6.+8.)</t>
  </si>
  <si>
    <t>Költségvetési kiadások összesen (1.+...+8.)</t>
  </si>
  <si>
    <t>Hiány belső finanszírozásának bevételei (11.+…+14.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</si>
  <si>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</si>
  <si>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</si>
  <si>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</si>
  <si>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</si>
  <si>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</si>
  <si>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(16.+17.) </t>
  </si>
  <si>
    <t>Forgatási célú belföldi, külföldi értékpapírok vásárlása</t>
  </si>
  <si>
    <t xml:space="preserve">   Likviditási célú hitelek, kölcsönök felvétele</t>
  </si>
  <si>
    <t>Pénzeszközök lekötött betétként elhelyezése</t>
  </si>
  <si>
    <t xml:space="preserve">   Értékpapírok bevételei</t>
  </si>
  <si>
    <t>Adóssághoz nem kapcsolódó származékos ügyletek</t>
  </si>
  <si>
    <t>Váltóbevételek</t>
  </si>
  <si>
    <t>Váltókiadások</t>
  </si>
  <si>
    <t>Adóssághoz nem kapcsolódó származékos ügyletek bevételei</t>
  </si>
  <si>
    <t>Működési célú finanszírozási bevételek összesen (10.+15.+19.+20.)</t>
  </si>
  <si>
    <t>Működési célú finanszírozási kiadások összesen (10.+...+20.)</t>
  </si>
  <si>
    <t>BEVÉTEL ÖSSZESEN (9.+21.)</t>
  </si>
  <si>
    <t>KIADÁSOK ÖSSZESEN (9.+21.)</t>
  </si>
  <si>
    <t>23.</t>
  </si>
  <si>
    <t>Költségvetési hiány:</t>
  </si>
  <si>
    <t>Költségvetési többlet:</t>
  </si>
  <si>
    <t>24.</t>
  </si>
  <si>
    <t>Tárgyévi  hiány:</t>
  </si>
  <si>
    <t>Tárgyévi  többlet:</t>
  </si>
  <si>
    <t>2/2018. (II. 15.) önkormányzati rendelet 5. melléklete</t>
  </si>
  <si>
    <t>Módosított előirányzat 05.31</t>
  </si>
  <si>
    <t>2/2018. (II. 15.) önkormányzati rendelet 6.a, melléklete</t>
  </si>
  <si>
    <t>I</t>
  </si>
  <si>
    <t>2/2018. (II. 15.) önkormányzati rendelet 6.b, melléklete</t>
  </si>
  <si>
    <t>Előriányzat módosítás 05.31</t>
  </si>
  <si>
    <t>-</t>
  </si>
  <si>
    <t>J</t>
  </si>
  <si>
    <t>K</t>
  </si>
  <si>
    <t>2/2018. (II. 15.) önkormányzati rendelet 10. melléklete</t>
  </si>
  <si>
    <t>2/2018. (II. 15.) önkormányzati rendelet 12. melléklete</t>
  </si>
  <si>
    <t>Módosított előirányzat 06.30.</t>
  </si>
  <si>
    <t>Előrányzat módosítás 06.30.</t>
  </si>
  <si>
    <t>K84.</t>
  </si>
  <si>
    <t>Egyéb felhalmozási célú támogatások áht-n belülre</t>
  </si>
  <si>
    <t>Előriányzat módosítás 06.30.</t>
  </si>
  <si>
    <t>Előirányzat módosítás 06.30.</t>
  </si>
  <si>
    <t>Kerkaland projekt 2017. évben megkapott felhalmozási célú pályázati bevételének visszafizetése</t>
  </si>
  <si>
    <t>KerKaLand projekthez kapcsolódó beruházás</t>
  </si>
  <si>
    <t>GO IN NATURE projekthez kapcsolódó beruházás</t>
  </si>
  <si>
    <t>CSESZTREG KÖZSÉG ÖNKORMÁNYZATA 2018. ÉVI TARTALÉKAI</t>
  </si>
  <si>
    <t>Sorszám.</t>
  </si>
  <si>
    <t>Feladat / cél</t>
  </si>
  <si>
    <t>Az átcsoportosítás jogát gyakorolja</t>
  </si>
  <si>
    <t>A.</t>
  </si>
  <si>
    <t>Fejlesztési  célú céltartalékok</t>
  </si>
  <si>
    <t>Polgármester</t>
  </si>
  <si>
    <t>EFOP 1.5.3. - Humán szolgáltatások fejlesztése Lenti járás területén</t>
  </si>
  <si>
    <t>EFOP 3.9.2. - Humán kapacitások fejlesztése a Lenti járásban</t>
  </si>
  <si>
    <t>Kalandozások a Kerka völgyében- KerKaLand</t>
  </si>
  <si>
    <t>B.</t>
  </si>
  <si>
    <t xml:space="preserve">Általános tartalék </t>
  </si>
  <si>
    <t xml:space="preserve">Tartalékok mindösszesen </t>
  </si>
  <si>
    <t>2/2018. (II. 15.) önkormányzati rendelet 7. melléklete</t>
  </si>
  <si>
    <t>Egyéb tárgyi eszközök beszerzése, létesítése</t>
  </si>
  <si>
    <t>7 db pelenkázó beszerzése védőnői szolgálathoz</t>
  </si>
  <si>
    <t>pelenkázó</t>
  </si>
  <si>
    <t xml:space="preserve"> Csesztregi Közös Önkormányzati Hivatal költségvetése</t>
  </si>
  <si>
    <t>2/2018. (II. 15.) önkormányzati rendelet 3. melléklete</t>
  </si>
  <si>
    <t>BEVÉTELEK</t>
  </si>
  <si>
    <t>Eredeti előirányzat        2017.</t>
  </si>
  <si>
    <t>2017. évi várható teljesítés</t>
  </si>
  <si>
    <t>Eredeti előirányzat       2018.</t>
  </si>
  <si>
    <t>Működési célú támogatások ÁHT-n belülről</t>
  </si>
  <si>
    <t>Egyéb működési célú támogatások ÁHT-n belülről</t>
  </si>
  <si>
    <t>B403.</t>
  </si>
  <si>
    <t>Ellátási díjak előirányzata</t>
  </si>
  <si>
    <t>Kiszámlázott áfa előirányzata</t>
  </si>
  <si>
    <t>B53.</t>
  </si>
  <si>
    <t>Egyéb tárgyi eszközök értékesítése</t>
  </si>
  <si>
    <t>B1-B7.</t>
  </si>
  <si>
    <t>B816.</t>
  </si>
  <si>
    <t>B1.- B8.</t>
  </si>
  <si>
    <t>KIADÁSOK</t>
  </si>
  <si>
    <t>Egyáb működési célú támogatások ÁHT-n kívülre</t>
  </si>
  <si>
    <t xml:space="preserve">K6. </t>
  </si>
  <si>
    <t>Egyéb tárgyi eszközök beszerzése</t>
  </si>
  <si>
    <t xml:space="preserve">Beruházási célú áfa </t>
  </si>
  <si>
    <t>K1.- K8.</t>
  </si>
  <si>
    <t>Engedélyezett létszám keret (fő)</t>
  </si>
  <si>
    <t>Közfoglalkoztatottak létszáma (fő)</t>
  </si>
  <si>
    <t>Csodavilág Mini Bölcsőde költségvetése</t>
  </si>
  <si>
    <t>Módosított előirányzat 07.01.</t>
  </si>
  <si>
    <t>Előrányzat módosítás 07.01.</t>
  </si>
  <si>
    <t>Előirányzat módosítás 07.01.</t>
  </si>
  <si>
    <t>2/2018. (II. 15.) önkormányzati rendelet 2,a. melléklete</t>
  </si>
  <si>
    <t>1.1. Működési célú támogatás áht-n belül</t>
  </si>
  <si>
    <t>Csodavilág Mini Bölcsőde</t>
  </si>
  <si>
    <t>Csodavilág Mini Bölcsőde össz.</t>
  </si>
  <si>
    <t>CSESZTREG KÖZSÉG ÖNKORMÁNYZATA ÉS INTÉZMÉNYEI</t>
  </si>
  <si>
    <t>GO IN NATURE projekt előleg visszautaláskor realizált veszteség</t>
  </si>
  <si>
    <t>Csodavilág Mini Bölcsőde kialakítása (beruházás, eszközök)</t>
  </si>
  <si>
    <t>Előriányzat módosítás 07.01.</t>
  </si>
  <si>
    <t>CSESZTREG KÖZSÉG ÖNKORMÁNYZATA 2018. ÉVI EURÓPAI UNIÓS PROJEKTJEINEK BEVÉTELEI ÉS KIADÁSAI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</si>
  <si>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</si>
  <si>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</si>
  <si>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</si>
  <si>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</si>
  <si>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</si>
  <si>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</si>
  <si>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Támogatásból: 2018. évben tervezett</t>
  </si>
  <si>
    <t>További években</t>
  </si>
  <si>
    <t>Kiadás előző  években</t>
  </si>
  <si>
    <t>2018. évben  tervezett</t>
  </si>
  <si>
    <t>előző  években</t>
  </si>
  <si>
    <t>években</t>
  </si>
  <si>
    <t>EFOP 1.5.3.-16-2017- Humán szolgáltatások fejlesztése a Lenti járás területén (Széchenyi 2020)</t>
  </si>
  <si>
    <t>EFOP 3.9.2. -16-2017- Humán kapacitások fejlesztése a Lenti járásban (Széchenyi 2020)</t>
  </si>
  <si>
    <t>GO IN NATURE projekt (SIHU35/03 GO IN NATURE)</t>
  </si>
  <si>
    <t>Kalandozások a Kerka völgyében - KerKaLand (TOP-1.2.1.-15-ZA1-2016-00019</t>
  </si>
  <si>
    <t>Helyi piacok és közétkeztetés fejlesztése (VP-6-.7.2.1-7.4.1.3.-17)</t>
  </si>
  <si>
    <t>Településképet meghatározó épületek külső felújítása (fecskeház projekt) (VP6-19.2.1.-59-1-17)</t>
  </si>
  <si>
    <t>Összesen:</t>
  </si>
  <si>
    <t>Beruházások EFOP 3.9.2 projekt keretében</t>
  </si>
  <si>
    <t>2/2018. (II. 15.) önkormányzati rendelet 9. melléklete</t>
  </si>
  <si>
    <t>3.1. Működési bevételek</t>
  </si>
  <si>
    <t>3.2. Munkaadókat terhelő járulékok és szociális hozzájárulási adó</t>
  </si>
  <si>
    <t>3.1. Személyi juttatások</t>
  </si>
  <si>
    <t>3.3. Dologi kiadások</t>
  </si>
  <si>
    <t>Megjegyzés</t>
  </si>
  <si>
    <t>A testület a pályázattól való visszalépésről döntött.</t>
  </si>
  <si>
    <t xml:space="preserve">    lásd: ezen rendelet 4. melléklete</t>
  </si>
  <si>
    <t xml:space="preserve">   lásd: ezen rendelet 4. melléklete</t>
  </si>
  <si>
    <t>13/2018. (VIII. 31.) önkormányzati rendelet 1. melléklete</t>
  </si>
  <si>
    <t>13/2018. (VIII. 31.) önkormányzati rendelet 11. melléklete</t>
  </si>
  <si>
    <t>2/2018. (II. 15.) önkormányzati rendelet 14. melléklete</t>
  </si>
  <si>
    <t>13/2018. (VIII. 31.) önkormányzati rendelet 2. melléklete</t>
  </si>
  <si>
    <t>13/2018. (VIII. 31.) önkormányzati rendelet 3. melléklete</t>
  </si>
  <si>
    <t>13/2018. (VIII. 31.) önkormányzati rendelet 4. melléklete</t>
  </si>
  <si>
    <t>13/2018. (VIII. 31.) önkormányzati rendelet 5. melléklete</t>
  </si>
  <si>
    <t>13/2018. (VIII. 31.) önkormányzati rendelet 6. melléklete</t>
  </si>
  <si>
    <t>13/2018. (VIII. 31.) önkormányzati rendelet 7. melléklete</t>
  </si>
  <si>
    <t>13/2018. (VIII. 31.) önkormányzati rendelet 8. melléklete</t>
  </si>
  <si>
    <t>13/2018. (VIII. 31.) önkormányzati rendelet 9. melléklete</t>
  </si>
  <si>
    <t>13/2018. (VIII. 31.) önkormányzati rendelet 10.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</si>
</sst>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86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i/>
      <sz val="6"/>
      <name val="Times New Roman CE"/>
      <family val="0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14"/>
      <color indexed="10"/>
      <name val="Times New Roman CE"/>
      <family val="0"/>
    </font>
    <font>
      <b/>
      <sz val="9"/>
      <color indexed="8"/>
      <name val="Times New Roman"/>
      <family val="1"/>
    </font>
    <font>
      <sz val="11"/>
      <name val="Arial"/>
      <family val="2"/>
    </font>
    <font>
      <i/>
      <sz val="10"/>
      <color indexed="8"/>
      <name val="Times New Roman"/>
      <family val="1"/>
    </font>
    <font>
      <b/>
      <i/>
      <sz val="16"/>
      <name val="Times New Roman"/>
      <family val="1"/>
    </font>
    <font>
      <b/>
      <i/>
      <sz val="16"/>
      <name val="Arial CE"/>
      <family val="0"/>
    </font>
    <font>
      <i/>
      <sz val="16"/>
      <name val="Arial CE"/>
      <family val="0"/>
    </font>
    <font>
      <b/>
      <sz val="6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5" borderId="0" applyNumberFormat="0" applyBorder="0" applyAlignment="0" applyProtection="0"/>
    <xf numFmtId="0" fontId="7" fillId="9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7" fillId="9" borderId="1" applyNumberFormat="0" applyAlignment="0" applyProtection="0"/>
    <xf numFmtId="0" fontId="15" fillId="22" borderId="7" applyNumberFormat="0" applyFont="0" applyAlignment="0" applyProtection="0"/>
    <xf numFmtId="0" fontId="18" fillId="6" borderId="0" applyNumberFormat="0" applyBorder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3" fillId="22" borderId="7" applyNumberFormat="0" applyFont="0" applyAlignment="0" applyProtection="0"/>
    <xf numFmtId="0" fontId="21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3" fillId="23" borderId="0" applyNumberFormat="0" applyBorder="0" applyAlignment="0" applyProtection="0"/>
    <xf numFmtId="0" fontId="8" fillId="20" borderId="1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6" fillId="0" borderId="0" xfId="101">
      <alignment/>
      <protection/>
    </xf>
    <xf numFmtId="0" fontId="16" fillId="0" borderId="0" xfId="101" applyFont="1" applyBorder="1" applyAlignment="1">
      <alignment horizontal="center"/>
      <protection/>
    </xf>
    <xf numFmtId="0" fontId="27" fillId="0" borderId="10" xfId="101" applyFont="1" applyBorder="1" applyAlignment="1">
      <alignment vertical="center" wrapText="1"/>
      <protection/>
    </xf>
    <xf numFmtId="0" fontId="27" fillId="0" borderId="11" xfId="101" applyFont="1" applyBorder="1" applyAlignment="1">
      <alignment horizontal="center" vertical="center" wrapText="1"/>
      <protection/>
    </xf>
    <xf numFmtId="49" fontId="16" fillId="0" borderId="12" xfId="101" applyNumberFormat="1" applyFont="1" applyBorder="1" applyAlignment="1">
      <alignment horizontal="right"/>
      <protection/>
    </xf>
    <xf numFmtId="49" fontId="16" fillId="0" borderId="13" xfId="101" applyNumberFormat="1" applyFont="1" applyBorder="1" applyAlignment="1">
      <alignment horizontal="right"/>
      <protection/>
    </xf>
    <xf numFmtId="180" fontId="16" fillId="0" borderId="13" xfId="101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4" xfId="101" applyFont="1" applyBorder="1">
      <alignment/>
      <protection/>
    </xf>
    <xf numFmtId="0" fontId="16" fillId="0" borderId="15" xfId="101" applyFont="1" applyBorder="1">
      <alignment/>
      <protection/>
    </xf>
    <xf numFmtId="49" fontId="16" fillId="0" borderId="16" xfId="101" applyNumberFormat="1" applyBorder="1">
      <alignment/>
      <protection/>
    </xf>
    <xf numFmtId="49" fontId="16" fillId="0" borderId="17" xfId="101" applyNumberFormat="1" applyBorder="1">
      <alignment/>
      <protection/>
    </xf>
    <xf numFmtId="0" fontId="27" fillId="0" borderId="18" xfId="101" applyFont="1" applyBorder="1" applyAlignment="1">
      <alignment horizontal="left"/>
      <protection/>
    </xf>
    <xf numFmtId="0" fontId="27" fillId="0" borderId="19" xfId="101" applyFont="1" applyBorder="1" applyAlignment="1">
      <alignment horizontal="left"/>
      <protection/>
    </xf>
    <xf numFmtId="0" fontId="27" fillId="0" borderId="20" xfId="101" applyFont="1" applyBorder="1" applyAlignment="1">
      <alignment horizontal="left"/>
      <protection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34" fillId="0" borderId="0" xfId="0" applyFont="1" applyAlignment="1">
      <alignment/>
    </xf>
    <xf numFmtId="0" fontId="1" fillId="0" borderId="0" xfId="0" applyFont="1" applyAlignment="1">
      <alignment/>
    </xf>
    <xf numFmtId="0" fontId="35" fillId="0" borderId="0" xfId="0" applyFont="1" applyAlignment="1">
      <alignment/>
    </xf>
    <xf numFmtId="0" fontId="39" fillId="0" borderId="0" xfId="0" applyFont="1" applyAlignment="1">
      <alignment/>
    </xf>
    <xf numFmtId="0" fontId="31" fillId="0" borderId="21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29" fillId="0" borderId="21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25" fillId="0" borderId="21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3" fillId="0" borderId="21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0" fontId="33" fillId="0" borderId="22" xfId="0" applyFont="1" applyBorder="1" applyAlignment="1">
      <alignment wrapText="1"/>
    </xf>
    <xf numFmtId="0" fontId="33" fillId="0" borderId="23" xfId="0" applyFont="1" applyBorder="1" applyAlignment="1">
      <alignment wrapText="1"/>
    </xf>
    <xf numFmtId="0" fontId="25" fillId="0" borderId="24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0" fontId="25" fillId="0" borderId="26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44" fillId="0" borderId="0" xfId="101" applyFont="1" applyAlignment="1">
      <alignment horizontal="center"/>
      <protection/>
    </xf>
    <xf numFmtId="0" fontId="16" fillId="0" borderId="0" xfId="101" applyFont="1" applyBorder="1" applyAlignment="1">
      <alignment horizontal="right"/>
      <protection/>
    </xf>
    <xf numFmtId="3" fontId="16" fillId="0" borderId="13" xfId="101" applyNumberFormat="1" applyFont="1" applyBorder="1">
      <alignment/>
      <protection/>
    </xf>
    <xf numFmtId="3" fontId="16" fillId="0" borderId="17" xfId="101" applyNumberFormat="1" applyFont="1" applyBorder="1">
      <alignment/>
      <protection/>
    </xf>
    <xf numFmtId="3" fontId="27" fillId="0" borderId="19" xfId="101" applyNumberFormat="1" applyFont="1" applyBorder="1">
      <alignment/>
      <protection/>
    </xf>
    <xf numFmtId="3" fontId="16" fillId="0" borderId="13" xfId="101" applyNumberFormat="1" applyFont="1" applyFill="1" applyBorder="1" applyAlignment="1" applyProtection="1">
      <alignment vertical="center" wrapText="1"/>
      <protection locked="0"/>
    </xf>
    <xf numFmtId="3" fontId="25" fillId="0" borderId="13" xfId="0" applyNumberFormat="1" applyFont="1" applyBorder="1" applyAlignment="1">
      <alignment horizontal="right" wrapText="1"/>
    </xf>
    <xf numFmtId="3" fontId="31" fillId="0" borderId="13" xfId="0" applyNumberFormat="1" applyFont="1" applyBorder="1" applyAlignment="1">
      <alignment horizontal="right" wrapText="1"/>
    </xf>
    <xf numFmtId="3" fontId="29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horizontal="right" wrapText="1"/>
    </xf>
    <xf numFmtId="3" fontId="33" fillId="0" borderId="13" xfId="0" applyNumberFormat="1" applyFont="1" applyBorder="1" applyAlignment="1">
      <alignment horizontal="right" wrapText="1"/>
    </xf>
    <xf numFmtId="3" fontId="33" fillId="0" borderId="23" xfId="0" applyNumberFormat="1" applyFont="1" applyBorder="1" applyAlignment="1">
      <alignment horizontal="right" wrapText="1"/>
    </xf>
    <xf numFmtId="3" fontId="25" fillId="0" borderId="25" xfId="0" applyNumberFormat="1" applyFont="1" applyBorder="1" applyAlignment="1">
      <alignment horizontal="right" wrapText="1"/>
    </xf>
    <xf numFmtId="3" fontId="29" fillId="0" borderId="25" xfId="0" applyNumberFormat="1" applyFont="1" applyBorder="1" applyAlignment="1">
      <alignment horizontal="right" wrapText="1"/>
    </xf>
    <xf numFmtId="0" fontId="30" fillId="0" borderId="27" xfId="0" applyFont="1" applyBorder="1" applyAlignment="1">
      <alignment horizontal="center" wrapText="1"/>
    </xf>
    <xf numFmtId="0" fontId="38" fillId="0" borderId="13" xfId="0" applyFont="1" applyBorder="1" applyAlignment="1">
      <alignment wrapText="1"/>
    </xf>
    <xf numFmtId="0" fontId="30" fillId="0" borderId="28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6" fillId="0" borderId="30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0" fontId="47" fillId="0" borderId="12" xfId="101" applyFont="1" applyBorder="1" applyAlignment="1">
      <alignment horizontal="center"/>
      <protection/>
    </xf>
    <xf numFmtId="0" fontId="47" fillId="0" borderId="13" xfId="101" applyFont="1" applyBorder="1" applyAlignment="1">
      <alignment horizontal="center"/>
      <protection/>
    </xf>
    <xf numFmtId="0" fontId="47" fillId="0" borderId="14" xfId="101" applyFont="1" applyBorder="1" applyAlignment="1">
      <alignment horizontal="center"/>
      <protection/>
    </xf>
    <xf numFmtId="0" fontId="47" fillId="0" borderId="0" xfId="101" applyFont="1">
      <alignment/>
      <protection/>
    </xf>
    <xf numFmtId="180" fontId="16" fillId="0" borderId="0" xfId="105" applyNumberFormat="1" applyFill="1" applyAlignment="1" applyProtection="1">
      <alignment vertical="center" wrapText="1"/>
      <protection/>
    </xf>
    <xf numFmtId="180" fontId="49" fillId="0" borderId="0" xfId="105" applyNumberFormat="1" applyFont="1" applyFill="1" applyAlignment="1" applyProtection="1">
      <alignment horizontal="centerContinuous" vertical="center" wrapText="1"/>
      <protection/>
    </xf>
    <xf numFmtId="180" fontId="16" fillId="0" borderId="0" xfId="105" applyNumberFormat="1" applyFill="1" applyAlignment="1" applyProtection="1">
      <alignment horizontal="centerContinuous" vertical="center"/>
      <protection/>
    </xf>
    <xf numFmtId="180" fontId="16" fillId="0" borderId="0" xfId="105" applyNumberFormat="1" applyFill="1" applyAlignment="1" applyProtection="1">
      <alignment horizontal="center" vertical="center" wrapText="1"/>
      <protection/>
    </xf>
    <xf numFmtId="180" fontId="51" fillId="0" borderId="32" xfId="105" applyNumberFormat="1" applyFont="1" applyFill="1" applyBorder="1" applyAlignment="1" applyProtection="1">
      <alignment horizontal="centerContinuous" vertical="center" wrapText="1"/>
      <protection/>
    </xf>
    <xf numFmtId="180" fontId="51" fillId="0" borderId="33" xfId="105" applyNumberFormat="1" applyFont="1" applyFill="1" applyBorder="1" applyAlignment="1" applyProtection="1">
      <alignment horizontal="centerContinuous" vertical="center" wrapText="1"/>
      <protection/>
    </xf>
    <xf numFmtId="180" fontId="51" fillId="0" borderId="34" xfId="105" applyNumberFormat="1" applyFont="1" applyFill="1" applyBorder="1" applyAlignment="1" applyProtection="1">
      <alignment horizontal="centerContinuous" vertical="center" wrapText="1"/>
      <protection/>
    </xf>
    <xf numFmtId="180" fontId="51" fillId="0" borderId="32" xfId="105" applyNumberFormat="1" applyFont="1" applyFill="1" applyBorder="1" applyAlignment="1" applyProtection="1">
      <alignment horizontal="center" vertical="center" wrapText="1"/>
      <protection/>
    </xf>
    <xf numFmtId="180" fontId="51" fillId="0" borderId="33" xfId="105" applyNumberFormat="1" applyFont="1" applyFill="1" applyBorder="1" applyAlignment="1" applyProtection="1">
      <alignment horizontal="center" vertical="center" wrapText="1"/>
      <protection/>
    </xf>
    <xf numFmtId="180" fontId="27" fillId="0" borderId="0" xfId="105" applyNumberFormat="1" applyFont="1" applyFill="1" applyAlignment="1" applyProtection="1">
      <alignment horizontal="center" vertical="center" wrapText="1"/>
      <protection/>
    </xf>
    <xf numFmtId="180" fontId="47" fillId="0" borderId="35" xfId="105" applyNumberFormat="1" applyFont="1" applyFill="1" applyBorder="1" applyAlignment="1" applyProtection="1">
      <alignment horizontal="center" vertical="center" wrapText="1"/>
      <protection/>
    </xf>
    <xf numFmtId="180" fontId="47" fillId="0" borderId="32" xfId="105" applyNumberFormat="1" applyFont="1" applyFill="1" applyBorder="1" applyAlignment="1" applyProtection="1">
      <alignment horizontal="center" vertical="center" wrapText="1"/>
      <protection/>
    </xf>
    <xf numFmtId="180" fontId="47" fillId="0" borderId="33" xfId="105" applyNumberFormat="1" applyFont="1" applyFill="1" applyBorder="1" applyAlignment="1" applyProtection="1">
      <alignment horizontal="center" vertical="center" wrapText="1"/>
      <protection/>
    </xf>
    <xf numFmtId="180" fontId="16" fillId="0" borderId="36" xfId="105" applyNumberFormat="1" applyFill="1" applyBorder="1" applyAlignment="1" applyProtection="1">
      <alignment horizontal="left" vertical="center" wrapText="1" indent="1"/>
      <protection/>
    </xf>
    <xf numFmtId="180" fontId="52" fillId="0" borderId="37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25" xfId="105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38" xfId="105" applyNumberFormat="1" applyFill="1" applyBorder="1" applyAlignment="1" applyProtection="1">
      <alignment horizontal="left" vertical="center" wrapText="1" indent="1"/>
      <protection/>
    </xf>
    <xf numFmtId="180" fontId="52" fillId="0" borderId="12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13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39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40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41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2" xfId="105" applyNumberFormat="1" applyFont="1" applyFill="1" applyBorder="1" applyAlignment="1" applyProtection="1">
      <alignment horizontal="left" vertical="center" wrapText="1" indent="1"/>
      <protection locked="0"/>
    </xf>
    <xf numFmtId="180" fontId="27" fillId="0" borderId="35" xfId="105" applyNumberFormat="1" applyFont="1" applyFill="1" applyBorder="1" applyAlignment="1" applyProtection="1">
      <alignment horizontal="left" vertical="center" wrapText="1" indent="1"/>
      <protection/>
    </xf>
    <xf numFmtId="180" fontId="47" fillId="0" borderId="32" xfId="105" applyNumberFormat="1" applyFont="1" applyFill="1" applyBorder="1" applyAlignment="1" applyProtection="1">
      <alignment horizontal="left" vertical="center" wrapText="1" indent="1"/>
      <protection/>
    </xf>
    <xf numFmtId="180" fontId="47" fillId="0" borderId="33" xfId="105" applyNumberFormat="1" applyFont="1" applyFill="1" applyBorder="1" applyAlignment="1" applyProtection="1">
      <alignment horizontal="right" vertical="center" wrapText="1" indent="1"/>
      <protection/>
    </xf>
    <xf numFmtId="180" fontId="52" fillId="0" borderId="13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39" xfId="105" applyNumberFormat="1" applyFont="1" applyFill="1" applyBorder="1" applyAlignment="1" applyProtection="1">
      <alignment horizontal="right" vertical="center" wrapText="1" indent="1"/>
      <protection locked="0"/>
    </xf>
    <xf numFmtId="180" fontId="53" fillId="0" borderId="13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32" xfId="105" applyNumberFormat="1" applyFont="1" applyFill="1" applyBorder="1" applyAlignment="1" applyProtection="1">
      <alignment horizontal="left" vertical="center" wrapText="1" indent="1"/>
      <protection/>
    </xf>
    <xf numFmtId="180" fontId="27" fillId="0" borderId="42" xfId="105" applyNumberFormat="1" applyFont="1" applyFill="1" applyBorder="1" applyAlignment="1" applyProtection="1">
      <alignment horizontal="right" vertical="center" wrapText="1" indent="1"/>
      <protection/>
    </xf>
    <xf numFmtId="180" fontId="53" fillId="0" borderId="43" xfId="105" applyNumberFormat="1" applyFont="1" applyFill="1" applyBorder="1" applyAlignment="1" applyProtection="1">
      <alignment horizontal="left" vertical="center" wrapText="1" indent="1"/>
      <protection/>
    </xf>
    <xf numFmtId="180" fontId="53" fillId="0" borderId="25" xfId="105" applyNumberFormat="1" applyFont="1" applyFill="1" applyBorder="1" applyAlignment="1" applyProtection="1">
      <alignment horizontal="right" vertical="center" wrapText="1" indent="1"/>
      <protection/>
    </xf>
    <xf numFmtId="180" fontId="52" fillId="0" borderId="12" xfId="105" applyNumberFormat="1" applyFont="1" applyFill="1" applyBorder="1" applyAlignment="1" applyProtection="1">
      <alignment horizontal="left" vertical="center" wrapText="1" indent="2"/>
      <protection/>
    </xf>
    <xf numFmtId="180" fontId="52" fillId="0" borderId="13" xfId="105" applyNumberFormat="1" applyFont="1" applyFill="1" applyBorder="1" applyAlignment="1" applyProtection="1">
      <alignment horizontal="left" vertical="center" wrapText="1" indent="2"/>
      <protection/>
    </xf>
    <xf numFmtId="180" fontId="53" fillId="0" borderId="13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37" xfId="105" applyNumberFormat="1" applyFont="1" applyFill="1" applyBorder="1" applyAlignment="1" applyProtection="1">
      <alignment horizontal="left" vertical="center" wrapText="1" indent="2"/>
      <protection/>
    </xf>
    <xf numFmtId="180" fontId="52" fillId="0" borderId="16" xfId="105" applyNumberFormat="1" applyFont="1" applyFill="1" applyBorder="1" applyAlignment="1" applyProtection="1">
      <alignment horizontal="left" vertical="center" wrapText="1" indent="2"/>
      <protection/>
    </xf>
    <xf numFmtId="3" fontId="54" fillId="0" borderId="13" xfId="0" applyNumberFormat="1" applyFont="1" applyBorder="1" applyAlignment="1">
      <alignment horizontal="right" wrapText="1"/>
    </xf>
    <xf numFmtId="3" fontId="54" fillId="0" borderId="23" xfId="0" applyNumberFormat="1" applyFont="1" applyBorder="1" applyAlignment="1">
      <alignment horizontal="right" wrapText="1"/>
    </xf>
    <xf numFmtId="180" fontId="52" fillId="0" borderId="44" xfId="105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108">
      <alignment/>
      <protection/>
    </xf>
    <xf numFmtId="0" fontId="15" fillId="0" borderId="0" xfId="108" applyBorder="1">
      <alignment/>
      <protection/>
    </xf>
    <xf numFmtId="0" fontId="36" fillId="0" borderId="45" xfId="108" applyFont="1" applyFill="1" applyBorder="1" applyAlignment="1">
      <alignment horizontal="left" vertical="center"/>
      <protection/>
    </xf>
    <xf numFmtId="0" fontId="36" fillId="0" borderId="14" xfId="108" applyFont="1" applyFill="1" applyBorder="1" applyAlignment="1">
      <alignment horizontal="left" vertical="center"/>
      <protection/>
    </xf>
    <xf numFmtId="0" fontId="42" fillId="0" borderId="13" xfId="108" applyFont="1" applyBorder="1" applyAlignment="1">
      <alignment horizontal="left" vertical="center"/>
      <protection/>
    </xf>
    <xf numFmtId="0" fontId="42" fillId="0" borderId="13" xfId="108" applyFont="1" applyFill="1" applyBorder="1">
      <alignment/>
      <protection/>
    </xf>
    <xf numFmtId="0" fontId="56" fillId="0" borderId="14" xfId="102" applyFont="1" applyBorder="1" applyAlignment="1">
      <alignment horizontal="center"/>
      <protection/>
    </xf>
    <xf numFmtId="0" fontId="41" fillId="0" borderId="14" xfId="108" applyFont="1" applyBorder="1" applyAlignment="1">
      <alignment horizontal="left" vertical="center"/>
      <protection/>
    </xf>
    <xf numFmtId="0" fontId="42" fillId="0" borderId="14" xfId="108" applyFont="1" applyBorder="1" applyAlignment="1">
      <alignment horizontal="left" vertical="center"/>
      <protection/>
    </xf>
    <xf numFmtId="0" fontId="41" fillId="0" borderId="13" xfId="108" applyFont="1" applyBorder="1" applyAlignment="1">
      <alignment horizontal="left" vertical="center"/>
      <protection/>
    </xf>
    <xf numFmtId="0" fontId="56" fillId="0" borderId="14" xfId="108" applyFont="1" applyBorder="1" applyAlignment="1">
      <alignment horizontal="center" vertical="center"/>
      <protection/>
    </xf>
    <xf numFmtId="0" fontId="42" fillId="0" borderId="14" xfId="108" applyFont="1" applyBorder="1" applyAlignment="1">
      <alignment vertical="center"/>
      <protection/>
    </xf>
    <xf numFmtId="0" fontId="41" fillId="0" borderId="13" xfId="108" applyFont="1" applyFill="1" applyBorder="1" applyAlignment="1">
      <alignment horizontal="left" vertical="center"/>
      <protection/>
    </xf>
    <xf numFmtId="0" fontId="41" fillId="0" borderId="13" xfId="102" applyFont="1" applyBorder="1" applyAlignment="1">
      <alignment horizontal="left"/>
      <protection/>
    </xf>
    <xf numFmtId="0" fontId="56" fillId="0" borderId="14" xfId="108" applyFont="1" applyBorder="1" applyAlignment="1">
      <alignment horizontal="left" vertical="center"/>
      <protection/>
    </xf>
    <xf numFmtId="0" fontId="42" fillId="0" borderId="14" xfId="108" applyFont="1" applyBorder="1" applyAlignment="1">
      <alignment horizontal="left"/>
      <protection/>
    </xf>
    <xf numFmtId="0" fontId="56" fillId="0" borderId="13" xfId="108" applyFont="1" applyBorder="1" applyAlignment="1">
      <alignment horizontal="left" vertical="center"/>
      <protection/>
    </xf>
    <xf numFmtId="0" fontId="42" fillId="0" borderId="14" xfId="108" applyFont="1" applyBorder="1" applyAlignment="1">
      <alignment horizontal="center"/>
      <protection/>
    </xf>
    <xf numFmtId="0" fontId="42" fillId="0" borderId="45" xfId="108" applyFont="1" applyBorder="1" applyAlignment="1">
      <alignment horizontal="left"/>
      <protection/>
    </xf>
    <xf numFmtId="0" fontId="42" fillId="0" borderId="45" xfId="108" applyFont="1" applyBorder="1" applyAlignment="1">
      <alignment horizontal="left" vertical="center"/>
      <protection/>
    </xf>
    <xf numFmtId="0" fontId="42" fillId="0" borderId="14" xfId="108" applyFont="1" applyBorder="1" applyAlignment="1">
      <alignment horizontal="center" vertical="center"/>
      <protection/>
    </xf>
    <xf numFmtId="0" fontId="36" fillId="0" borderId="14" xfId="108" applyFont="1" applyBorder="1" applyAlignment="1">
      <alignment horizontal="center" vertical="center"/>
      <protection/>
    </xf>
    <xf numFmtId="3" fontId="41" fillId="0" borderId="39" xfId="108" applyNumberFormat="1" applyFont="1" applyBorder="1" applyAlignment="1">
      <alignment vertical="center"/>
      <protection/>
    </xf>
    <xf numFmtId="3" fontId="41" fillId="0" borderId="39" xfId="102" applyNumberFormat="1" applyFont="1" applyBorder="1" applyAlignment="1">
      <alignment horizontal="right"/>
      <protection/>
    </xf>
    <xf numFmtId="3" fontId="41" fillId="0" borderId="39" xfId="108" applyNumberFormat="1" applyFont="1" applyBorder="1" applyAlignment="1">
      <alignment horizontal="right" vertical="center"/>
      <protection/>
    </xf>
    <xf numFmtId="3" fontId="56" fillId="0" borderId="39" xfId="108" applyNumberFormat="1" applyFont="1" applyBorder="1" applyAlignment="1">
      <alignment horizontal="right" vertical="center"/>
      <protection/>
    </xf>
    <xf numFmtId="3" fontId="42" fillId="0" borderId="39" xfId="108" applyNumberFormat="1" applyFont="1" applyBorder="1" applyAlignment="1">
      <alignment horizontal="right" vertical="center"/>
      <protection/>
    </xf>
    <xf numFmtId="3" fontId="55" fillId="0" borderId="39" xfId="108" applyNumberFormat="1" applyFont="1" applyFill="1" applyBorder="1" applyAlignment="1">
      <alignment vertical="center"/>
      <protection/>
    </xf>
    <xf numFmtId="3" fontId="42" fillId="0" borderId="39" xfId="108" applyNumberFormat="1" applyFont="1" applyBorder="1" applyAlignment="1">
      <alignment vertical="center"/>
      <protection/>
    </xf>
    <xf numFmtId="3" fontId="56" fillId="0" borderId="39" xfId="108" applyNumberFormat="1" applyFont="1" applyBorder="1" applyAlignment="1">
      <alignment vertical="center"/>
      <protection/>
    </xf>
    <xf numFmtId="3" fontId="35" fillId="0" borderId="39" xfId="108" applyNumberFormat="1" applyFont="1" applyBorder="1" applyAlignment="1">
      <alignment vertical="center"/>
      <protection/>
    </xf>
    <xf numFmtId="0" fontId="42" fillId="0" borderId="45" xfId="108" applyFont="1" applyBorder="1" applyAlignment="1">
      <alignment horizontal="center" vertical="center"/>
      <protection/>
    </xf>
    <xf numFmtId="3" fontId="56" fillId="0" borderId="39" xfId="108" applyNumberFormat="1" applyFont="1" applyBorder="1">
      <alignment/>
      <protection/>
    </xf>
    <xf numFmtId="0" fontId="56" fillId="0" borderId="13" xfId="108" applyFont="1" applyFill="1" applyBorder="1" applyAlignment="1">
      <alignment horizontal="left" vertical="center"/>
      <protection/>
    </xf>
    <xf numFmtId="0" fontId="41" fillId="0" borderId="46" xfId="10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2" fillId="0" borderId="45" xfId="108" applyFont="1" applyBorder="1" applyAlignment="1">
      <alignment horizontal="center"/>
      <protection/>
    </xf>
    <xf numFmtId="0" fontId="42" fillId="20" borderId="47" xfId="108" applyFont="1" applyFill="1" applyBorder="1" applyAlignment="1">
      <alignment horizontal="center" vertical="center"/>
      <protection/>
    </xf>
    <xf numFmtId="0" fontId="42" fillId="20" borderId="48" xfId="108" applyFont="1" applyFill="1" applyBorder="1" applyAlignment="1">
      <alignment horizontal="center" vertical="center"/>
      <protection/>
    </xf>
    <xf numFmtId="0" fontId="42" fillId="20" borderId="49" xfId="108" applyFont="1" applyFill="1" applyBorder="1" applyAlignment="1">
      <alignment horizontal="center" vertical="center" wrapText="1"/>
      <protection/>
    </xf>
    <xf numFmtId="0" fontId="42" fillId="20" borderId="50" xfId="108" applyFont="1" applyFill="1" applyBorder="1" applyAlignment="1">
      <alignment horizontal="center" vertical="center"/>
      <protection/>
    </xf>
    <xf numFmtId="0" fontId="42" fillId="0" borderId="12" xfId="108" applyFont="1" applyBorder="1" applyAlignment="1">
      <alignment horizontal="center" vertical="center"/>
      <protection/>
    </xf>
    <xf numFmtId="0" fontId="56" fillId="0" borderId="51" xfId="108" applyFont="1" applyBorder="1" applyAlignment="1">
      <alignment horizontal="center" vertical="center"/>
      <protection/>
    </xf>
    <xf numFmtId="0" fontId="42" fillId="0" borderId="51" xfId="108" applyFont="1" applyBorder="1" applyAlignment="1">
      <alignment horizontal="left" vertical="center"/>
      <protection/>
    </xf>
    <xf numFmtId="3" fontId="58" fillId="24" borderId="39" xfId="108" applyNumberFormat="1" applyFont="1" applyFill="1" applyBorder="1">
      <alignment/>
      <protection/>
    </xf>
    <xf numFmtId="3" fontId="55" fillId="0" borderId="39" xfId="108" applyNumberFormat="1" applyFont="1" applyFill="1" applyBorder="1">
      <alignment/>
      <protection/>
    </xf>
    <xf numFmtId="0" fontId="41" fillId="0" borderId="12" xfId="108" applyFont="1" applyBorder="1" applyAlignment="1">
      <alignment horizontal="center" vertical="center"/>
      <protection/>
    </xf>
    <xf numFmtId="3" fontId="43" fillId="0" borderId="39" xfId="108" applyNumberFormat="1" applyFont="1" applyBorder="1" applyAlignment="1">
      <alignment vertical="center"/>
      <protection/>
    </xf>
    <xf numFmtId="0" fontId="42" fillId="0" borderId="51" xfId="108" applyFont="1" applyBorder="1" applyAlignment="1">
      <alignment horizontal="center" vertical="center"/>
      <protection/>
    </xf>
    <xf numFmtId="0" fontId="0" fillId="0" borderId="0" xfId="100">
      <alignment/>
      <protection/>
    </xf>
    <xf numFmtId="0" fontId="34" fillId="0" borderId="0" xfId="100" applyFont="1">
      <alignment/>
      <protection/>
    </xf>
    <xf numFmtId="180" fontId="48" fillId="0" borderId="0" xfId="105" applyNumberFormat="1" applyFont="1" applyFill="1" applyAlignment="1" applyProtection="1">
      <alignment vertical="center"/>
      <protection/>
    </xf>
    <xf numFmtId="180" fontId="48" fillId="0" borderId="0" xfId="105" applyNumberFormat="1" applyFont="1" applyFill="1" applyAlignment="1" applyProtection="1">
      <alignment horizontal="center" vertical="center"/>
      <protection/>
    </xf>
    <xf numFmtId="180" fontId="48" fillId="0" borderId="0" xfId="105" applyNumberFormat="1" applyFont="1" applyFill="1" applyAlignment="1" applyProtection="1">
      <alignment horizontal="center" vertical="center" wrapText="1"/>
      <protection/>
    </xf>
    <xf numFmtId="180" fontId="47" fillId="0" borderId="12" xfId="105" applyNumberFormat="1" applyFont="1" applyFill="1" applyBorder="1" applyAlignment="1" applyProtection="1">
      <alignment horizontal="center" vertical="center" wrapText="1"/>
      <protection/>
    </xf>
    <xf numFmtId="0" fontId="16" fillId="0" borderId="0" xfId="105" applyFill="1" applyAlignment="1">
      <alignment vertical="center" wrapText="1"/>
      <protection/>
    </xf>
    <xf numFmtId="180" fontId="62" fillId="0" borderId="0" xfId="105" applyNumberFormat="1" applyFont="1" applyFill="1" applyAlignment="1">
      <alignment vertical="center" wrapText="1"/>
      <protection/>
    </xf>
    <xf numFmtId="180" fontId="50" fillId="0" borderId="0" xfId="105" applyNumberFormat="1" applyFont="1" applyFill="1" applyAlignment="1">
      <alignment vertical="center" wrapText="1"/>
      <protection/>
    </xf>
    <xf numFmtId="180" fontId="64" fillId="0" borderId="0" xfId="105" applyNumberFormat="1" applyFont="1" applyFill="1" applyAlignment="1" applyProtection="1">
      <alignment vertical="center" wrapText="1"/>
      <protection/>
    </xf>
    <xf numFmtId="182" fontId="16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52" fillId="0" borderId="13" xfId="74" applyNumberFormat="1" applyFont="1" applyFill="1" applyBorder="1" applyAlignment="1" applyProtection="1">
      <alignment vertical="center" wrapText="1"/>
      <protection locked="0"/>
    </xf>
    <xf numFmtId="0" fontId="40" fillId="20" borderId="13" xfId="100" applyFont="1" applyFill="1" applyBorder="1" applyAlignment="1">
      <alignment horizontal="center" vertical="center" wrapText="1"/>
      <protection/>
    </xf>
    <xf numFmtId="0" fontId="42" fillId="20" borderId="13" xfId="100" applyFont="1" applyFill="1" applyBorder="1" applyAlignment="1">
      <alignment horizontal="center" vertical="center"/>
      <protection/>
    </xf>
    <xf numFmtId="0" fontId="1" fillId="0" borderId="13" xfId="100" applyFont="1" applyBorder="1">
      <alignment/>
      <protection/>
    </xf>
    <xf numFmtId="0" fontId="42" fillId="0" borderId="13" xfId="100" applyFont="1" applyBorder="1" applyAlignment="1">
      <alignment horizontal="left"/>
      <protection/>
    </xf>
    <xf numFmtId="0" fontId="1" fillId="0" borderId="13" xfId="100" applyFont="1" applyBorder="1" applyAlignment="1">
      <alignment horizontal="center"/>
      <protection/>
    </xf>
    <xf numFmtId="0" fontId="41" fillId="0" borderId="13" xfId="100" applyFont="1" applyBorder="1" applyAlignment="1">
      <alignment horizontal="left" vertical="distributed"/>
      <protection/>
    </xf>
    <xf numFmtId="0" fontId="41" fillId="0" borderId="13" xfId="100" applyFont="1" applyBorder="1" applyAlignment="1">
      <alignment horizontal="left"/>
      <protection/>
    </xf>
    <xf numFmtId="0" fontId="41" fillId="0" borderId="41" xfId="100" applyFont="1" applyBorder="1" applyAlignment="1">
      <alignment horizontal="left"/>
      <protection/>
    </xf>
    <xf numFmtId="0" fontId="41" fillId="0" borderId="41" xfId="100" applyFont="1" applyBorder="1" applyAlignment="1">
      <alignment horizontal="left" vertical="distributed"/>
      <protection/>
    </xf>
    <xf numFmtId="3" fontId="1" fillId="0" borderId="13" xfId="100" applyNumberFormat="1" applyFont="1" applyBorder="1">
      <alignment/>
      <protection/>
    </xf>
    <xf numFmtId="0" fontId="58" fillId="24" borderId="14" xfId="108" applyFont="1" applyFill="1" applyBorder="1" applyAlignment="1">
      <alignment horizontal="left" vertical="center"/>
      <protection/>
    </xf>
    <xf numFmtId="0" fontId="58" fillId="24" borderId="12" xfId="108" applyFont="1" applyFill="1" applyBorder="1" applyAlignment="1">
      <alignment horizontal="left" vertical="center"/>
      <protection/>
    </xf>
    <xf numFmtId="0" fontId="58" fillId="24" borderId="13" xfId="108" applyFont="1" applyFill="1" applyBorder="1" applyAlignment="1">
      <alignment horizontal="left" vertical="center"/>
      <protection/>
    </xf>
    <xf numFmtId="180" fontId="51" fillId="0" borderId="13" xfId="105" applyNumberFormat="1" applyFont="1" applyFill="1" applyBorder="1" applyAlignment="1" applyProtection="1">
      <alignment horizontal="center" vertical="center"/>
      <protection/>
    </xf>
    <xf numFmtId="180" fontId="47" fillId="0" borderId="13" xfId="105" applyNumberFormat="1" applyFont="1" applyFill="1" applyBorder="1" applyAlignment="1" applyProtection="1">
      <alignment horizontal="center" vertical="center" wrapText="1"/>
      <protection/>
    </xf>
    <xf numFmtId="180" fontId="47" fillId="0" borderId="39" xfId="105" applyNumberFormat="1" applyFont="1" applyFill="1" applyBorder="1" applyAlignment="1" applyProtection="1">
      <alignment horizontal="center" vertical="center" wrapText="1"/>
      <protection/>
    </xf>
    <xf numFmtId="180" fontId="47" fillId="0" borderId="13" xfId="105" applyNumberFormat="1" applyFont="1" applyFill="1" applyBorder="1" applyAlignment="1" applyProtection="1">
      <alignment horizontal="left" vertical="center" wrapText="1" indent="1"/>
      <protection/>
    </xf>
    <xf numFmtId="182" fontId="52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52" fillId="0" borderId="13" xfId="74" applyNumberFormat="1" applyFont="1" applyFill="1" applyBorder="1" applyAlignment="1" applyProtection="1">
      <alignment vertical="center" wrapText="1"/>
      <protection/>
    </xf>
    <xf numFmtId="182" fontId="52" fillId="0" borderId="39" xfId="74" applyNumberFormat="1" applyFont="1" applyFill="1" applyBorder="1" applyAlignment="1" applyProtection="1">
      <alignment vertical="center" wrapText="1"/>
      <protection/>
    </xf>
    <xf numFmtId="182" fontId="27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47" fillId="0" borderId="13" xfId="74" applyNumberFormat="1" applyFont="1" applyFill="1" applyBorder="1" applyAlignment="1" applyProtection="1">
      <alignment vertical="center" wrapText="1"/>
      <protection/>
    </xf>
    <xf numFmtId="182" fontId="47" fillId="0" borderId="39" xfId="74" applyNumberFormat="1" applyFont="1" applyFill="1" applyBorder="1" applyAlignment="1" applyProtection="1">
      <alignment vertical="center" wrapText="1"/>
      <protection/>
    </xf>
    <xf numFmtId="180" fontId="52" fillId="0" borderId="13" xfId="105" applyNumberFormat="1" applyFont="1" applyFill="1" applyBorder="1" applyAlignment="1" applyProtection="1">
      <alignment horizontal="left" vertical="center" wrapText="1" indent="1"/>
      <protection locked="0"/>
    </xf>
    <xf numFmtId="180" fontId="47" fillId="0" borderId="13" xfId="105" applyNumberFormat="1" applyFont="1" applyFill="1" applyBorder="1" applyAlignment="1" applyProtection="1">
      <alignment horizontal="left" vertical="center" wrapText="1" indent="1"/>
      <protection/>
    </xf>
    <xf numFmtId="182" fontId="16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52" fillId="0" borderId="13" xfId="74" applyNumberFormat="1" applyFont="1" applyFill="1" applyBorder="1" applyAlignment="1" applyProtection="1">
      <alignment vertical="center" wrapText="1"/>
      <protection/>
    </xf>
    <xf numFmtId="182" fontId="52" fillId="0" borderId="39" xfId="74" applyNumberFormat="1" applyFont="1" applyFill="1" applyBorder="1" applyAlignment="1" applyProtection="1">
      <alignment vertical="center" wrapText="1"/>
      <protection/>
    </xf>
    <xf numFmtId="182" fontId="64" fillId="25" borderId="19" xfId="74" applyNumberFormat="1" applyFont="1" applyFill="1" applyBorder="1" applyAlignment="1" applyProtection="1">
      <alignment horizontal="left" vertical="center" wrapText="1" indent="2"/>
      <protection/>
    </xf>
    <xf numFmtId="182" fontId="64" fillId="0" borderId="19" xfId="74" applyNumberFormat="1" applyFont="1" applyFill="1" applyBorder="1" applyAlignment="1" applyProtection="1">
      <alignment vertical="center" wrapText="1"/>
      <protection/>
    </xf>
    <xf numFmtId="182" fontId="64" fillId="0" borderId="44" xfId="74" applyNumberFormat="1" applyFont="1" applyFill="1" applyBorder="1" applyAlignment="1" applyProtection="1">
      <alignment vertical="center" wrapText="1"/>
      <protection/>
    </xf>
    <xf numFmtId="0" fontId="60" fillId="0" borderId="13" xfId="100" applyFont="1" applyBorder="1" applyAlignment="1">
      <alignment horizontal="center"/>
      <protection/>
    </xf>
    <xf numFmtId="0" fontId="56" fillId="0" borderId="13" xfId="100" applyFont="1" applyBorder="1" applyAlignment="1">
      <alignment horizontal="left"/>
      <protection/>
    </xf>
    <xf numFmtId="3" fontId="43" fillId="0" borderId="13" xfId="100" applyNumberFormat="1" applyFont="1" applyBorder="1">
      <alignment/>
      <protection/>
    </xf>
    <xf numFmtId="0" fontId="65" fillId="0" borderId="0" xfId="100" applyFont="1">
      <alignment/>
      <protection/>
    </xf>
    <xf numFmtId="0" fontId="0" fillId="0" borderId="0" xfId="100" applyFont="1">
      <alignment/>
      <protection/>
    </xf>
    <xf numFmtId="0" fontId="1" fillId="0" borderId="0" xfId="108" applyFont="1">
      <alignment/>
      <protection/>
    </xf>
    <xf numFmtId="0" fontId="40" fillId="0" borderId="0" xfId="108" applyFont="1" applyAlignment="1">
      <alignment horizontal="right"/>
      <protection/>
    </xf>
    <xf numFmtId="0" fontId="45" fillId="0" borderId="0" xfId="108" applyFont="1" applyAlignment="1">
      <alignment horizontal="center"/>
      <protection/>
    </xf>
    <xf numFmtId="0" fontId="27" fillId="0" borderId="0" xfId="101" applyFont="1" applyAlignment="1">
      <alignment horizontal="right"/>
      <protection/>
    </xf>
    <xf numFmtId="180" fontId="27" fillId="0" borderId="0" xfId="105" applyNumberFormat="1" applyFont="1" applyFill="1" applyAlignment="1" applyProtection="1">
      <alignment horizontal="centerContinuous" vertical="center"/>
      <protection/>
    </xf>
    <xf numFmtId="180" fontId="52" fillId="0" borderId="0" xfId="105" applyNumberFormat="1" applyFont="1" applyFill="1" applyAlignment="1" applyProtection="1">
      <alignment horizontal="right" vertical="center"/>
      <protection/>
    </xf>
    <xf numFmtId="0" fontId="1" fillId="0" borderId="0" xfId="108" applyFont="1" applyAlignment="1">
      <alignment/>
      <protection/>
    </xf>
    <xf numFmtId="0" fontId="42" fillId="0" borderId="0" xfId="108" applyFont="1" applyAlignment="1">
      <alignment/>
      <protection/>
    </xf>
    <xf numFmtId="0" fontId="36" fillId="0" borderId="0" xfId="108" applyFont="1" applyAlignment="1">
      <alignment horizontal="right"/>
      <protection/>
    </xf>
    <xf numFmtId="180" fontId="52" fillId="0" borderId="0" xfId="105" applyNumberFormat="1" applyFont="1" applyFill="1" applyAlignment="1">
      <alignment horizontal="center" vertical="center"/>
      <protection/>
    </xf>
    <xf numFmtId="0" fontId="66" fillId="0" borderId="0" xfId="105" applyFont="1" applyAlignment="1">
      <alignment wrapText="1"/>
      <protection/>
    </xf>
    <xf numFmtId="182" fontId="29" fillId="0" borderId="13" xfId="74" applyNumberFormat="1" applyFont="1" applyBorder="1" applyAlignment="1">
      <alignment horizontal="right" wrapText="1"/>
    </xf>
    <xf numFmtId="0" fontId="66" fillId="0" borderId="0" xfId="105" applyFont="1" applyAlignment="1">
      <alignment horizontal="right" wrapText="1"/>
      <protection/>
    </xf>
    <xf numFmtId="49" fontId="16" fillId="0" borderId="16" xfId="101" applyNumberFormat="1" applyFont="1" applyBorder="1" applyAlignment="1">
      <alignment horizontal="right"/>
      <protection/>
    </xf>
    <xf numFmtId="49" fontId="16" fillId="0" borderId="17" xfId="101" applyNumberFormat="1" applyFont="1" applyBorder="1" applyAlignment="1">
      <alignment horizontal="right"/>
      <protection/>
    </xf>
    <xf numFmtId="3" fontId="16" fillId="0" borderId="17" xfId="101" applyNumberFormat="1" applyFont="1" applyFill="1" applyBorder="1" applyAlignment="1" applyProtection="1">
      <alignment vertical="center" wrapText="1"/>
      <protection locked="0"/>
    </xf>
    <xf numFmtId="0" fontId="27" fillId="0" borderId="52" xfId="101" applyFont="1" applyBorder="1" applyAlignment="1">
      <alignment horizontal="center" vertical="center" wrapText="1"/>
      <protection/>
    </xf>
    <xf numFmtId="3" fontId="29" fillId="0" borderId="13" xfId="0" applyNumberFormat="1" applyFont="1" applyFill="1" applyBorder="1" applyAlignment="1">
      <alignment horizontal="right" wrapText="1"/>
    </xf>
    <xf numFmtId="3" fontId="25" fillId="0" borderId="13" xfId="0" applyNumberFormat="1" applyFont="1" applyFill="1" applyBorder="1" applyAlignment="1">
      <alignment horizontal="right" wrapText="1"/>
    </xf>
    <xf numFmtId="0" fontId="25" fillId="0" borderId="13" xfId="0" applyFont="1" applyFill="1" applyBorder="1" applyAlignment="1">
      <alignment horizontal="right" wrapText="1"/>
    </xf>
    <xf numFmtId="3" fontId="33" fillId="0" borderId="13" xfId="0" applyNumberFormat="1" applyFont="1" applyFill="1" applyBorder="1" applyAlignment="1">
      <alignment horizontal="right" wrapText="1"/>
    </xf>
    <xf numFmtId="0" fontId="68" fillId="0" borderId="21" xfId="0" applyFont="1" applyBorder="1" applyAlignment="1">
      <alignment wrapText="1"/>
    </xf>
    <xf numFmtId="0" fontId="68" fillId="0" borderId="13" xfId="0" applyFont="1" applyBorder="1" applyAlignment="1">
      <alignment wrapText="1"/>
    </xf>
    <xf numFmtId="3" fontId="68" fillId="0" borderId="13" xfId="0" applyNumberFormat="1" applyFont="1" applyBorder="1" applyAlignment="1">
      <alignment horizontal="right" wrapText="1"/>
    </xf>
    <xf numFmtId="0" fontId="32" fillId="0" borderId="0" xfId="0" applyFont="1" applyAlignment="1">
      <alignment/>
    </xf>
    <xf numFmtId="0" fontId="35" fillId="0" borderId="13" xfId="108" applyFont="1" applyBorder="1" applyAlignment="1">
      <alignment vertical="center" wrapText="1"/>
      <protection/>
    </xf>
    <xf numFmtId="0" fontId="41" fillId="0" borderId="14" xfId="108" applyFont="1" applyBorder="1" applyAlignment="1">
      <alignment horizontal="left" vertical="center" wrapText="1"/>
      <protection/>
    </xf>
    <xf numFmtId="0" fontId="42" fillId="0" borderId="12" xfId="108" applyFont="1" applyBorder="1" applyAlignment="1">
      <alignment horizontal="center" vertical="center" wrapText="1"/>
      <protection/>
    </xf>
    <xf numFmtId="0" fontId="42" fillId="0" borderId="13" xfId="108" applyFont="1" applyBorder="1" applyAlignment="1">
      <alignment horizontal="left" vertical="center" wrapText="1"/>
      <protection/>
    </xf>
    <xf numFmtId="0" fontId="41" fillId="0" borderId="12" xfId="108" applyFont="1" applyBorder="1" applyAlignment="1">
      <alignment horizontal="center" vertical="center" wrapText="1"/>
      <protection/>
    </xf>
    <xf numFmtId="0" fontId="41" fillId="0" borderId="13" xfId="108" applyFont="1" applyFill="1" applyBorder="1" applyAlignment="1">
      <alignment horizontal="left" vertical="center" wrapText="1"/>
      <protection/>
    </xf>
    <xf numFmtId="0" fontId="56" fillId="0" borderId="14" xfId="108" applyFont="1" applyBorder="1" applyAlignment="1">
      <alignment horizontal="left" vertical="center" wrapText="1"/>
      <protection/>
    </xf>
    <xf numFmtId="0" fontId="41" fillId="0" borderId="51" xfId="108" applyFont="1" applyBorder="1" applyAlignment="1">
      <alignment horizontal="center" vertical="center" wrapText="1"/>
      <protection/>
    </xf>
    <xf numFmtId="0" fontId="36" fillId="0" borderId="51" xfId="108" applyFont="1" applyBorder="1" applyAlignment="1">
      <alignment vertical="center" wrapText="1"/>
      <protection/>
    </xf>
    <xf numFmtId="0" fontId="36" fillId="0" borderId="14" xfId="108" applyFont="1" applyBorder="1" applyAlignment="1">
      <alignment vertical="center" wrapText="1"/>
      <protection/>
    </xf>
    <xf numFmtId="0" fontId="42" fillId="0" borderId="14" xfId="108" applyFont="1" applyBorder="1" applyAlignment="1">
      <alignment vertical="center" wrapText="1"/>
      <protection/>
    </xf>
    <xf numFmtId="0" fontId="42" fillId="0" borderId="14" xfId="108" applyFont="1" applyBorder="1" applyAlignment="1">
      <alignment horizontal="left" vertical="center" wrapText="1"/>
      <protection/>
    </xf>
    <xf numFmtId="16" fontId="41" fillId="0" borderId="14" xfId="108" applyNumberFormat="1" applyFont="1" applyBorder="1" applyAlignment="1">
      <alignment horizontal="left" vertical="center" wrapText="1"/>
      <protection/>
    </xf>
    <xf numFmtId="0" fontId="42" fillId="0" borderId="51" xfId="108" applyFont="1" applyBorder="1" applyAlignment="1">
      <alignment horizontal="center" vertical="center" wrapText="1"/>
      <protection/>
    </xf>
    <xf numFmtId="0" fontId="42" fillId="0" borderId="14" xfId="108" applyFont="1" applyBorder="1" applyAlignment="1">
      <alignment horizontal="center" vertical="center" wrapText="1"/>
      <protection/>
    </xf>
    <xf numFmtId="0" fontId="41" fillId="0" borderId="41" xfId="100" applyFont="1" applyBorder="1" applyAlignment="1">
      <alignment horizontal="left" wrapText="1"/>
      <protection/>
    </xf>
    <xf numFmtId="182" fontId="35" fillId="0" borderId="13" xfId="74" applyNumberFormat="1" applyFont="1" applyBorder="1" applyAlignment="1">
      <alignment/>
    </xf>
    <xf numFmtId="182" fontId="61" fillId="0" borderId="13" xfId="74" applyNumberFormat="1" applyFont="1" applyBorder="1" applyAlignment="1">
      <alignment/>
    </xf>
    <xf numFmtId="182" fontId="35" fillId="0" borderId="13" xfId="74" applyNumberFormat="1" applyFont="1" applyBorder="1" applyAlignment="1">
      <alignment horizontal="center"/>
    </xf>
    <xf numFmtId="0" fontId="1" fillId="0" borderId="0" xfId="100" applyFont="1" applyBorder="1">
      <alignment/>
      <protection/>
    </xf>
    <xf numFmtId="0" fontId="42" fillId="0" borderId="0" xfId="100" applyFont="1" applyBorder="1" applyAlignment="1">
      <alignment horizontal="left"/>
      <protection/>
    </xf>
    <xf numFmtId="3" fontId="1" fillId="0" borderId="0" xfId="100" applyNumberFormat="1" applyFont="1" applyBorder="1">
      <alignment/>
      <protection/>
    </xf>
    <xf numFmtId="3" fontId="25" fillId="0" borderId="13" xfId="0" applyNumberFormat="1" applyFont="1" applyFill="1" applyBorder="1" applyAlignment="1">
      <alignment wrapText="1"/>
    </xf>
    <xf numFmtId="0" fontId="38" fillId="0" borderId="21" xfId="0" applyFont="1" applyBorder="1" applyAlignment="1">
      <alignment wrapText="1"/>
    </xf>
    <xf numFmtId="0" fontId="38" fillId="0" borderId="22" xfId="0" applyFont="1" applyBorder="1" applyAlignment="1">
      <alignment wrapText="1"/>
    </xf>
    <xf numFmtId="0" fontId="38" fillId="0" borderId="23" xfId="0" applyFont="1" applyBorder="1" applyAlignment="1">
      <alignment wrapText="1"/>
    </xf>
    <xf numFmtId="3" fontId="58" fillId="24" borderId="39" xfId="108" applyNumberFormat="1" applyFont="1" applyFill="1" applyBorder="1" applyAlignment="1">
      <alignment horizontal="right" vertical="center"/>
      <protection/>
    </xf>
    <xf numFmtId="3" fontId="59" fillId="24" borderId="39" xfId="108" applyNumberFormat="1" applyFont="1" applyFill="1" applyBorder="1" applyAlignment="1">
      <alignment vertical="center"/>
      <protection/>
    </xf>
    <xf numFmtId="3" fontId="45" fillId="20" borderId="44" xfId="108" applyNumberFormat="1" applyFont="1" applyFill="1" applyBorder="1" applyAlignment="1">
      <alignment vertical="center"/>
      <protection/>
    </xf>
    <xf numFmtId="3" fontId="16" fillId="0" borderId="0" xfId="101" applyNumberFormat="1">
      <alignment/>
      <protection/>
    </xf>
    <xf numFmtId="3" fontId="16" fillId="0" borderId="13" xfId="101" applyNumberFormat="1" applyFont="1" applyFill="1" applyBorder="1">
      <alignment/>
      <protection/>
    </xf>
    <xf numFmtId="3" fontId="16" fillId="0" borderId="17" xfId="101" applyNumberFormat="1" applyFont="1" applyFill="1" applyBorder="1">
      <alignment/>
      <protection/>
    </xf>
    <xf numFmtId="0" fontId="41" fillId="0" borderId="13" xfId="100" applyFont="1" applyFill="1" applyBorder="1">
      <alignment/>
      <protection/>
    </xf>
    <xf numFmtId="3" fontId="42" fillId="0" borderId="13" xfId="100" applyNumberFormat="1" applyFont="1" applyFill="1" applyBorder="1">
      <alignment/>
      <protection/>
    </xf>
    <xf numFmtId="3" fontId="56" fillId="0" borderId="13" xfId="100" applyNumberFormat="1" applyFont="1" applyFill="1" applyBorder="1">
      <alignment/>
      <protection/>
    </xf>
    <xf numFmtId="0" fontId="36" fillId="0" borderId="45" xfId="108" applyFont="1" applyBorder="1" applyAlignment="1">
      <alignment horizontal="left" vertical="center" wrapText="1"/>
      <protection/>
    </xf>
    <xf numFmtId="0" fontId="1" fillId="0" borderId="53" xfId="108" applyFont="1" applyBorder="1" applyAlignment="1">
      <alignment horizontal="center"/>
      <protection/>
    </xf>
    <xf numFmtId="0" fontId="36" fillId="0" borderId="54" xfId="108" applyFont="1" applyFill="1" applyBorder="1" applyAlignment="1">
      <alignment horizontal="left" vertical="center"/>
      <protection/>
    </xf>
    <xf numFmtId="0" fontId="25" fillId="0" borderId="0" xfId="0" applyFont="1" applyAlignment="1">
      <alignment horizontal="right" wrapText="1"/>
    </xf>
    <xf numFmtId="0" fontId="29" fillId="0" borderId="55" xfId="0" applyFont="1" applyBorder="1" applyAlignment="1">
      <alignment horizontal="right" wrapText="1"/>
    </xf>
    <xf numFmtId="0" fontId="29" fillId="0" borderId="55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42" fillId="0" borderId="0" xfId="108" applyFont="1" applyAlignment="1">
      <alignment horizontal="center"/>
      <protection/>
    </xf>
    <xf numFmtId="180" fontId="50" fillId="0" borderId="0" xfId="105" applyNumberFormat="1" applyFont="1" applyFill="1" applyAlignment="1" applyProtection="1">
      <alignment horizontal="center" textRotation="180" wrapText="1"/>
      <protection/>
    </xf>
    <xf numFmtId="180" fontId="63" fillId="0" borderId="0" xfId="105" applyNumberFormat="1" applyFont="1" applyFill="1" applyAlignment="1" applyProtection="1">
      <alignment horizontal="center" vertical="center" wrapText="1"/>
      <protection/>
    </xf>
    <xf numFmtId="0" fontId="29" fillId="0" borderId="0" xfId="0" applyFont="1" applyBorder="1" applyAlignment="1">
      <alignment horizontal="right" wrapText="1"/>
    </xf>
    <xf numFmtId="0" fontId="29" fillId="0" borderId="0" xfId="0" applyFont="1" applyBorder="1" applyAlignment="1">
      <alignment horizontal="center" wrapText="1"/>
    </xf>
    <xf numFmtId="0" fontId="70" fillId="0" borderId="21" xfId="0" applyFont="1" applyBorder="1" applyAlignment="1">
      <alignment wrapText="1"/>
    </xf>
    <xf numFmtId="0" fontId="70" fillId="0" borderId="13" xfId="0" applyFont="1" applyBorder="1" applyAlignment="1">
      <alignment wrapText="1"/>
    </xf>
    <xf numFmtId="3" fontId="70" fillId="0" borderId="25" xfId="0" applyNumberFormat="1" applyFont="1" applyBorder="1" applyAlignment="1">
      <alignment horizontal="right" wrapText="1"/>
    </xf>
    <xf numFmtId="0" fontId="71" fillId="0" borderId="0" xfId="0" applyFont="1" applyAlignment="1">
      <alignment/>
    </xf>
    <xf numFmtId="3" fontId="70" fillId="0" borderId="13" xfId="0" applyNumberFormat="1" applyFont="1" applyBorder="1" applyAlignment="1">
      <alignment horizontal="right" wrapText="1"/>
    </xf>
    <xf numFmtId="0" fontId="42" fillId="20" borderId="50" xfId="108" applyFont="1" applyFill="1" applyBorder="1" applyAlignment="1">
      <alignment horizontal="center" vertical="center" wrapText="1"/>
      <protection/>
    </xf>
    <xf numFmtId="3" fontId="41" fillId="0" borderId="45" xfId="108" applyNumberFormat="1" applyFont="1" applyBorder="1" applyAlignment="1">
      <alignment vertical="center"/>
      <protection/>
    </xf>
    <xf numFmtId="3" fontId="41" fillId="0" borderId="45" xfId="102" applyNumberFormat="1" applyFont="1" applyBorder="1" applyAlignment="1">
      <alignment horizontal="right"/>
      <protection/>
    </xf>
    <xf numFmtId="3" fontId="41" fillId="0" borderId="45" xfId="108" applyNumberFormat="1" applyFont="1" applyBorder="1" applyAlignment="1">
      <alignment horizontal="right" vertical="center"/>
      <protection/>
    </xf>
    <xf numFmtId="3" fontId="56" fillId="0" borderId="45" xfId="108" applyNumberFormat="1" applyFont="1" applyBorder="1" applyAlignment="1">
      <alignment horizontal="right" vertical="center"/>
      <protection/>
    </xf>
    <xf numFmtId="3" fontId="42" fillId="0" borderId="45" xfId="108" applyNumberFormat="1" applyFont="1" applyBorder="1" applyAlignment="1">
      <alignment horizontal="right" vertical="center"/>
      <protection/>
    </xf>
    <xf numFmtId="3" fontId="58" fillId="24" borderId="45" xfId="108" applyNumberFormat="1" applyFont="1" applyFill="1" applyBorder="1" applyAlignment="1">
      <alignment horizontal="right" vertical="center"/>
      <protection/>
    </xf>
    <xf numFmtId="3" fontId="55" fillId="0" borderId="45" xfId="108" applyNumberFormat="1" applyFont="1" applyFill="1" applyBorder="1" applyAlignment="1">
      <alignment vertical="center"/>
      <protection/>
    </xf>
    <xf numFmtId="3" fontId="56" fillId="0" borderId="45" xfId="108" applyNumberFormat="1" applyFont="1" applyBorder="1">
      <alignment/>
      <protection/>
    </xf>
    <xf numFmtId="3" fontId="42" fillId="0" borderId="45" xfId="108" applyNumberFormat="1" applyFont="1" applyBorder="1" applyAlignment="1">
      <alignment vertical="center"/>
      <protection/>
    </xf>
    <xf numFmtId="3" fontId="56" fillId="0" borderId="45" xfId="108" applyNumberFormat="1" applyFont="1" applyBorder="1" applyAlignment="1">
      <alignment vertical="center"/>
      <protection/>
    </xf>
    <xf numFmtId="3" fontId="35" fillId="0" borderId="45" xfId="108" applyNumberFormat="1" applyFont="1" applyBorder="1" applyAlignment="1">
      <alignment vertical="center"/>
      <protection/>
    </xf>
    <xf numFmtId="3" fontId="59" fillId="24" borderId="45" xfId="108" applyNumberFormat="1" applyFont="1" applyFill="1" applyBorder="1" applyAlignment="1">
      <alignment vertical="center"/>
      <protection/>
    </xf>
    <xf numFmtId="0" fontId="1" fillId="0" borderId="0" xfId="108" applyFont="1" applyBorder="1" applyAlignment="1">
      <alignment horizontal="center"/>
      <protection/>
    </xf>
    <xf numFmtId="0" fontId="36" fillId="0" borderId="0" xfId="108" applyFont="1" applyFill="1" applyBorder="1" applyAlignment="1">
      <alignment horizontal="left" vertical="center"/>
      <protection/>
    </xf>
    <xf numFmtId="0" fontId="36" fillId="0" borderId="56" xfId="108" applyFont="1" applyFill="1" applyBorder="1" applyAlignment="1">
      <alignment horizontal="left" vertical="center"/>
      <protection/>
    </xf>
    <xf numFmtId="180" fontId="53" fillId="0" borderId="39" xfId="105" applyNumberFormat="1" applyFont="1" applyFill="1" applyBorder="1" applyAlignment="1" applyProtection="1">
      <alignment horizontal="right" vertical="center" wrapText="1" indent="1"/>
      <protection/>
    </xf>
    <xf numFmtId="180" fontId="51" fillId="0" borderId="57" xfId="105" applyNumberFormat="1" applyFont="1" applyFill="1" applyBorder="1" applyAlignment="1" applyProtection="1">
      <alignment horizontal="center" vertical="center" wrapText="1"/>
      <protection/>
    </xf>
    <xf numFmtId="180" fontId="47" fillId="0" borderId="57" xfId="105" applyNumberFormat="1" applyFont="1" applyFill="1" applyBorder="1" applyAlignment="1" applyProtection="1">
      <alignment horizontal="center" vertical="center" wrapText="1"/>
      <protection/>
    </xf>
    <xf numFmtId="180" fontId="52" fillId="0" borderId="58" xfId="105" applyNumberFormat="1" applyFont="1" applyFill="1" applyBorder="1" applyAlignment="1" applyProtection="1">
      <alignment horizontal="left" vertical="center" wrapText="1" indent="1"/>
      <protection/>
    </xf>
    <xf numFmtId="180" fontId="69" fillId="0" borderId="51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51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51" xfId="105" applyNumberFormat="1" applyFont="1" applyFill="1" applyBorder="1" applyAlignment="1" applyProtection="1" quotePrefix="1">
      <alignment horizontal="left" vertical="center" wrapText="1" indent="6"/>
      <protection locked="0"/>
    </xf>
    <xf numFmtId="180" fontId="47" fillId="0" borderId="57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51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40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58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58" xfId="105" applyNumberFormat="1" applyFont="1" applyFill="1" applyBorder="1" applyAlignment="1" applyProtection="1">
      <alignment horizontal="left" vertical="center" wrapText="1" indent="1"/>
      <protection locked="0"/>
    </xf>
    <xf numFmtId="180" fontId="52" fillId="0" borderId="58" xfId="105" applyNumberFormat="1" applyFont="1" applyFill="1" applyBorder="1" applyAlignment="1" applyProtection="1">
      <alignment horizontal="left" vertical="center" wrapText="1" indent="1"/>
      <protection locked="0"/>
    </xf>
    <xf numFmtId="180" fontId="52" fillId="0" borderId="51" xfId="105" applyNumberFormat="1" applyFont="1" applyFill="1" applyBorder="1" applyAlignment="1" applyProtection="1">
      <alignment horizontal="left" vertical="center" wrapText="1" indent="1"/>
      <protection locked="0"/>
    </xf>
    <xf numFmtId="180" fontId="27" fillId="0" borderId="57" xfId="105" applyNumberFormat="1" applyFont="1" applyFill="1" applyBorder="1" applyAlignment="1" applyProtection="1">
      <alignment horizontal="left" vertical="center" wrapText="1" indent="1"/>
      <protection/>
    </xf>
    <xf numFmtId="180" fontId="51" fillId="0" borderId="35" xfId="105" applyNumberFormat="1" applyFont="1" applyFill="1" applyBorder="1" applyAlignment="1" applyProtection="1">
      <alignment horizontal="center" vertical="center" wrapText="1"/>
      <protection/>
    </xf>
    <xf numFmtId="180" fontId="47" fillId="0" borderId="35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35" xfId="105" applyNumberFormat="1" applyFont="1" applyFill="1" applyBorder="1" applyAlignment="1" applyProtection="1">
      <alignment horizontal="right" vertical="center" wrapText="1" indent="1"/>
      <protection/>
    </xf>
    <xf numFmtId="180" fontId="52" fillId="0" borderId="10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1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59" xfId="105" applyNumberFormat="1" applyFont="1" applyFill="1" applyBorder="1" applyAlignment="1" applyProtection="1">
      <alignment horizontal="right" vertical="center" wrapText="1" indent="1"/>
      <protection locked="0"/>
    </xf>
    <xf numFmtId="180" fontId="69" fillId="0" borderId="12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2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8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9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44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0" xfId="105" applyNumberFormat="1" applyFont="1" applyFill="1" applyBorder="1" applyAlignment="1" applyProtection="1">
      <alignment horizontal="right" vertical="center" wrapText="1" indent="1"/>
      <protection locked="0"/>
    </xf>
    <xf numFmtId="180" fontId="53" fillId="0" borderId="11" xfId="105" applyNumberFormat="1" applyFont="1" applyFill="1" applyBorder="1" applyAlignment="1" applyProtection="1">
      <alignment horizontal="right" vertical="center" wrapText="1" indent="1"/>
      <protection/>
    </xf>
    <xf numFmtId="180" fontId="53" fillId="0" borderId="59" xfId="105" applyNumberFormat="1" applyFont="1" applyFill="1" applyBorder="1" applyAlignment="1" applyProtection="1">
      <alignment horizontal="right" vertical="center" wrapText="1" indent="1"/>
      <protection/>
    </xf>
    <xf numFmtId="180" fontId="52" fillId="0" borderId="12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8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9" xfId="105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0" xfId="105" applyNumberFormat="1" applyFont="1" applyFill="1" applyAlignment="1" applyProtection="1">
      <alignment horizontal="right" vertical="center"/>
      <protection/>
    </xf>
    <xf numFmtId="0" fontId="36" fillId="0" borderId="38" xfId="108" applyFont="1" applyFill="1" applyBorder="1" applyAlignment="1">
      <alignment horizontal="left" vertical="center"/>
      <protection/>
    </xf>
    <xf numFmtId="0" fontId="36" fillId="0" borderId="36" xfId="108" applyFont="1" applyFill="1" applyBorder="1" applyAlignment="1">
      <alignment horizontal="left" vertical="center"/>
      <protection/>
    </xf>
    <xf numFmtId="180" fontId="51" fillId="0" borderId="34" xfId="105" applyNumberFormat="1" applyFont="1" applyFill="1" applyBorder="1" applyAlignment="1" applyProtection="1">
      <alignment horizontal="center" vertical="center" wrapText="1"/>
      <protection/>
    </xf>
    <xf numFmtId="180" fontId="47" fillId="0" borderId="34" xfId="105" applyNumberFormat="1" applyFont="1" applyFill="1" applyBorder="1" applyAlignment="1" applyProtection="1">
      <alignment horizontal="center" vertical="center" wrapText="1"/>
      <protection/>
    </xf>
    <xf numFmtId="180" fontId="47" fillId="0" borderId="0" xfId="105" applyNumberFormat="1" applyFont="1" applyFill="1" applyAlignment="1" applyProtection="1">
      <alignment horizontal="center" vertical="center" wrapText="1"/>
      <protection/>
    </xf>
    <xf numFmtId="180" fontId="52" fillId="0" borderId="60" xfId="105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38" xfId="105" applyNumberFormat="1" applyFont="1" applyFill="1" applyBorder="1" applyAlignment="1" applyProtection="1">
      <alignment horizontal="left" vertical="center" wrapText="1" indent="1"/>
      <protection/>
    </xf>
    <xf numFmtId="180" fontId="47" fillId="0" borderId="34" xfId="105" applyNumberFormat="1" applyFont="1" applyFill="1" applyBorder="1" applyAlignment="1" applyProtection="1">
      <alignment horizontal="right" vertical="center" wrapText="1" indent="1"/>
      <protection/>
    </xf>
    <xf numFmtId="180" fontId="52" fillId="0" borderId="43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12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61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14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18" xfId="105" applyNumberFormat="1" applyFont="1" applyFill="1" applyBorder="1" applyAlignment="1" applyProtection="1">
      <alignment horizontal="left" vertical="center" wrapText="1" indent="1"/>
      <protection locked="0"/>
    </xf>
    <xf numFmtId="180" fontId="47" fillId="0" borderId="20" xfId="105" applyNumberFormat="1" applyFont="1" applyFill="1" applyBorder="1" applyAlignment="1" applyProtection="1">
      <alignment horizontal="left" vertical="center" wrapText="1" indent="1"/>
      <protection/>
    </xf>
    <xf numFmtId="180" fontId="51" fillId="0" borderId="62" xfId="105" applyNumberFormat="1" applyFont="1" applyFill="1" applyBorder="1" applyAlignment="1" applyProtection="1">
      <alignment horizontal="centerContinuous" vertical="center" wrapText="1"/>
      <protection/>
    </xf>
    <xf numFmtId="180" fontId="52" fillId="0" borderId="14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1" xfId="105" applyNumberFormat="1" applyFont="1" applyFill="1" applyBorder="1" applyAlignment="1" applyProtection="1">
      <alignment horizontal="right" vertical="center" wrapText="1" indent="1"/>
      <protection locked="0"/>
    </xf>
    <xf numFmtId="180" fontId="51" fillId="0" borderId="42" xfId="105" applyNumberFormat="1" applyFont="1" applyFill="1" applyBorder="1" applyAlignment="1" applyProtection="1">
      <alignment horizontal="center" vertical="center" wrapText="1"/>
      <protection/>
    </xf>
    <xf numFmtId="180" fontId="47" fillId="0" borderId="42" xfId="105" applyNumberFormat="1" applyFont="1" applyFill="1" applyBorder="1" applyAlignment="1" applyProtection="1">
      <alignment horizontal="center" vertical="center" wrapText="1"/>
      <protection/>
    </xf>
    <xf numFmtId="180" fontId="52" fillId="0" borderId="17" xfId="105" applyNumberFormat="1" applyFont="1" applyFill="1" applyBorder="1" applyAlignment="1" applyProtection="1">
      <alignment horizontal="right" vertical="center" wrapText="1" indent="1"/>
      <protection locked="0"/>
    </xf>
    <xf numFmtId="180" fontId="47" fillId="0" borderId="63" xfId="105" applyNumberFormat="1" applyFont="1" applyFill="1" applyBorder="1" applyAlignment="1" applyProtection="1">
      <alignment horizontal="center" vertical="center" wrapText="1"/>
      <protection/>
    </xf>
    <xf numFmtId="180" fontId="47" fillId="0" borderId="64" xfId="105" applyNumberFormat="1" applyFont="1" applyFill="1" applyBorder="1" applyAlignment="1" applyProtection="1">
      <alignment horizontal="center" vertical="center" wrapText="1"/>
      <protection/>
    </xf>
    <xf numFmtId="180" fontId="47" fillId="0" borderId="65" xfId="105" applyNumberFormat="1" applyFont="1" applyFill="1" applyBorder="1" applyAlignment="1" applyProtection="1">
      <alignment horizontal="center" vertical="center" wrapText="1"/>
      <protection/>
    </xf>
    <xf numFmtId="180" fontId="27" fillId="0" borderId="0" xfId="105" applyNumberFormat="1" applyFont="1" applyFill="1" applyAlignment="1" applyProtection="1">
      <alignment horizontal="center" vertical="center"/>
      <protection/>
    </xf>
    <xf numFmtId="180" fontId="47" fillId="0" borderId="62" xfId="105" applyNumberFormat="1" applyFont="1" applyFill="1" applyBorder="1" applyAlignment="1" applyProtection="1">
      <alignment horizontal="right" vertical="center" wrapText="1" indent="1"/>
      <protection/>
    </xf>
    <xf numFmtId="180" fontId="47" fillId="0" borderId="66" xfId="105" applyNumberFormat="1" applyFont="1" applyFill="1" applyBorder="1" applyAlignment="1" applyProtection="1">
      <alignment horizontal="center" vertical="center" wrapText="1"/>
      <protection/>
    </xf>
    <xf numFmtId="180" fontId="47" fillId="0" borderId="67" xfId="105" applyNumberFormat="1" applyFont="1" applyFill="1" applyBorder="1" applyAlignment="1" applyProtection="1">
      <alignment horizontal="center" vertical="center" wrapText="1"/>
      <protection/>
    </xf>
    <xf numFmtId="180" fontId="52" fillId="0" borderId="68" xfId="105" applyNumberFormat="1" applyFont="1" applyFill="1" applyBorder="1" applyAlignment="1" applyProtection="1">
      <alignment horizontal="right" vertical="center" wrapText="1" indent="1"/>
      <protection locked="0"/>
    </xf>
    <xf numFmtId="180" fontId="53" fillId="0" borderId="52" xfId="105" applyNumberFormat="1" applyFont="1" applyFill="1" applyBorder="1" applyAlignment="1" applyProtection="1">
      <alignment horizontal="right" vertical="center" wrapText="1" indent="1"/>
      <protection/>
    </xf>
    <xf numFmtId="180" fontId="52" fillId="0" borderId="14" xfId="105" applyNumberFormat="1" applyFont="1" applyFill="1" applyBorder="1" applyAlignment="1" applyProtection="1">
      <alignment horizontal="right" vertical="center" wrapText="1" indent="1"/>
      <protection locked="0"/>
    </xf>
    <xf numFmtId="180" fontId="53" fillId="0" borderId="14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62" xfId="105" applyNumberFormat="1" applyFont="1" applyFill="1" applyBorder="1" applyAlignment="1" applyProtection="1">
      <alignment horizontal="right" vertical="center" wrapText="1" indent="1"/>
      <protection/>
    </xf>
    <xf numFmtId="180" fontId="52" fillId="0" borderId="15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69" xfId="105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0" xfId="104" applyFont="1" applyAlignment="1">
      <alignment horizontal="center"/>
      <protection/>
    </xf>
    <xf numFmtId="0" fontId="0" fillId="0" borderId="0" xfId="104">
      <alignment/>
      <protection/>
    </xf>
    <xf numFmtId="0" fontId="25" fillId="0" borderId="0" xfId="104" applyFont="1" applyAlignment="1">
      <alignment horizontal="center"/>
      <protection/>
    </xf>
    <xf numFmtId="0" fontId="46" fillId="0" borderId="0" xfId="104" applyFont="1" applyAlignment="1">
      <alignment horizontal="right"/>
      <protection/>
    </xf>
    <xf numFmtId="0" fontId="28" fillId="0" borderId="0" xfId="104" applyFont="1">
      <alignment/>
      <protection/>
    </xf>
    <xf numFmtId="0" fontId="25" fillId="0" borderId="12" xfId="104" applyFont="1" applyBorder="1" applyAlignment="1">
      <alignment horizontal="center"/>
      <protection/>
    </xf>
    <xf numFmtId="0" fontId="25" fillId="0" borderId="70" xfId="104" applyFont="1" applyBorder="1" applyAlignment="1">
      <alignment horizontal="left"/>
      <protection/>
    </xf>
    <xf numFmtId="0" fontId="28" fillId="0" borderId="13" xfId="104" applyFont="1" applyBorder="1" applyAlignment="1">
      <alignment horizontal="right"/>
      <protection/>
    </xf>
    <xf numFmtId="3" fontId="25" fillId="0" borderId="41" xfId="104" applyNumberFormat="1" applyFont="1" applyBorder="1" applyAlignment="1">
      <alignment horizontal="right"/>
      <protection/>
    </xf>
    <xf numFmtId="0" fontId="28" fillId="0" borderId="39" xfId="104" applyFont="1" applyBorder="1" applyAlignment="1">
      <alignment horizontal="center"/>
      <protection/>
    </xf>
    <xf numFmtId="0" fontId="74" fillId="0" borderId="0" xfId="104" applyFont="1">
      <alignment/>
      <protection/>
    </xf>
    <xf numFmtId="0" fontId="28" fillId="0" borderId="13" xfId="104" applyFont="1" applyBorder="1" applyAlignment="1">
      <alignment horizontal="center"/>
      <protection/>
    </xf>
    <xf numFmtId="0" fontId="75" fillId="0" borderId="13" xfId="104" applyFont="1" applyBorder="1" applyAlignment="1">
      <alignment horizontal="left" wrapText="1"/>
      <protection/>
    </xf>
    <xf numFmtId="0" fontId="75" fillId="0" borderId="13" xfId="104" applyFont="1" applyBorder="1" applyAlignment="1">
      <alignment horizontal="right"/>
      <protection/>
    </xf>
    <xf numFmtId="3" fontId="75" fillId="0" borderId="13" xfId="104" applyNumberFormat="1" applyFont="1" applyBorder="1" applyAlignment="1">
      <alignment horizontal="right"/>
      <protection/>
    </xf>
    <xf numFmtId="0" fontId="75" fillId="0" borderId="13" xfId="104" applyFont="1" applyBorder="1" applyAlignment="1">
      <alignment horizontal="center"/>
      <protection/>
    </xf>
    <xf numFmtId="0" fontId="75" fillId="0" borderId="13" xfId="104" applyFont="1" applyBorder="1" applyAlignment="1">
      <alignment horizontal="left"/>
      <protection/>
    </xf>
    <xf numFmtId="0" fontId="25" fillId="0" borderId="17" xfId="104" applyFont="1" applyBorder="1" applyAlignment="1">
      <alignment horizontal="left"/>
      <protection/>
    </xf>
    <xf numFmtId="0" fontId="25" fillId="0" borderId="15" xfId="104" applyFont="1" applyBorder="1" applyAlignment="1">
      <alignment horizontal="right"/>
      <protection/>
    </xf>
    <xf numFmtId="0" fontId="28" fillId="21" borderId="18" xfId="104" applyFont="1" applyFill="1" applyBorder="1" applyAlignment="1">
      <alignment horizontal="center"/>
      <protection/>
    </xf>
    <xf numFmtId="0" fontId="25" fillId="21" borderId="19" xfId="104" applyFont="1" applyFill="1" applyBorder="1" applyAlignment="1">
      <alignment horizontal="left"/>
      <protection/>
    </xf>
    <xf numFmtId="0" fontId="25" fillId="21" borderId="20" xfId="104" applyFont="1" applyFill="1" applyBorder="1" applyAlignment="1">
      <alignment horizontal="right"/>
      <protection/>
    </xf>
    <xf numFmtId="3" fontId="25" fillId="21" borderId="71" xfId="104" applyNumberFormat="1" applyFont="1" applyFill="1" applyBorder="1" applyAlignment="1">
      <alignment horizontal="right"/>
      <protection/>
    </xf>
    <xf numFmtId="0" fontId="28" fillId="21" borderId="44" xfId="104" applyFont="1" applyFill="1" applyBorder="1" applyAlignment="1">
      <alignment horizontal="center"/>
      <protection/>
    </xf>
    <xf numFmtId="0" fontId="35" fillId="0" borderId="0" xfId="104" applyFont="1">
      <alignment/>
      <protection/>
    </xf>
    <xf numFmtId="0" fontId="28" fillId="0" borderId="0" xfId="104" applyFont="1" applyAlignment="1">
      <alignment horizontal="right"/>
      <protection/>
    </xf>
    <xf numFmtId="0" fontId="15" fillId="0" borderId="0" xfId="106" applyBorder="1" applyAlignment="1" applyProtection="1">
      <alignment horizontal="right"/>
      <protection locked="0"/>
    </xf>
    <xf numFmtId="0" fontId="15" fillId="0" borderId="0" xfId="106" applyFont="1" applyBorder="1" applyAlignment="1" applyProtection="1">
      <alignment horizontal="right"/>
      <protection locked="0"/>
    </xf>
    <xf numFmtId="0" fontId="15" fillId="0" borderId="0" xfId="106">
      <alignment/>
      <protection/>
    </xf>
    <xf numFmtId="0" fontId="0" fillId="0" borderId="0" xfId="96">
      <alignment/>
      <protection/>
    </xf>
    <xf numFmtId="0" fontId="76" fillId="0" borderId="0" xfId="106" applyFont="1" applyBorder="1" applyAlignment="1" applyProtection="1">
      <alignment horizontal="center" vertical="center" wrapText="1"/>
      <protection locked="0"/>
    </xf>
    <xf numFmtId="0" fontId="1" fillId="0" borderId="0" xfId="106" applyFont="1">
      <alignment/>
      <protection/>
    </xf>
    <xf numFmtId="0" fontId="1" fillId="0" borderId="0" xfId="96" applyFont="1">
      <alignment/>
      <protection/>
    </xf>
    <xf numFmtId="0" fontId="77" fillId="0" borderId="0" xfId="106" applyFont="1" applyBorder="1" applyAlignment="1" applyProtection="1">
      <alignment horizontal="center" vertical="center" wrapText="1"/>
      <protection locked="0"/>
    </xf>
    <xf numFmtId="0" fontId="40" fillId="0" borderId="0" xfId="106" applyFont="1" applyAlignment="1">
      <alignment horizontal="center" wrapText="1"/>
      <protection/>
    </xf>
    <xf numFmtId="0" fontId="40" fillId="0" borderId="0" xfId="106" applyFont="1" applyFill="1" applyAlignment="1">
      <alignment horizontal="right" wrapText="1"/>
      <protection/>
    </xf>
    <xf numFmtId="0" fontId="78" fillId="0" borderId="0" xfId="106" applyFont="1" applyBorder="1" applyAlignment="1" applyProtection="1">
      <alignment horizontal="center" vertical="center"/>
      <protection locked="0"/>
    </xf>
    <xf numFmtId="0" fontId="1" fillId="0" borderId="0" xfId="106" applyFont="1" applyAlignment="1">
      <alignment horizontal="right" wrapText="1"/>
      <protection/>
    </xf>
    <xf numFmtId="0" fontId="1" fillId="0" borderId="0" xfId="106" applyFont="1" applyAlignment="1">
      <alignment wrapText="1"/>
      <protection/>
    </xf>
    <xf numFmtId="0" fontId="79" fillId="0" borderId="27" xfId="96" applyFont="1" applyBorder="1" applyAlignment="1">
      <alignment horizontal="center" wrapText="1"/>
      <protection/>
    </xf>
    <xf numFmtId="0" fontId="25" fillId="0" borderId="26" xfId="96" applyFont="1" applyBorder="1" applyAlignment="1">
      <alignment horizontal="center" wrapText="1"/>
      <protection/>
    </xf>
    <xf numFmtId="0" fontId="25" fillId="0" borderId="72" xfId="96" applyFont="1" applyBorder="1" applyAlignment="1">
      <alignment horizontal="center" wrapText="1"/>
      <protection/>
    </xf>
    <xf numFmtId="0" fontId="25" fillId="0" borderId="73" xfId="96" applyFont="1" applyBorder="1" applyAlignment="1">
      <alignment horizontal="center" wrapText="1"/>
      <protection/>
    </xf>
    <xf numFmtId="0" fontId="46" fillId="0" borderId="30" xfId="96" applyFont="1" applyBorder="1" applyAlignment="1">
      <alignment horizontal="center" wrapText="1"/>
      <protection/>
    </xf>
    <xf numFmtId="0" fontId="46" fillId="0" borderId="31" xfId="96" applyFont="1" applyBorder="1" applyAlignment="1">
      <alignment horizontal="center" wrapText="1"/>
      <protection/>
    </xf>
    <xf numFmtId="0" fontId="46" fillId="0" borderId="31" xfId="96" applyFont="1" applyFill="1" applyBorder="1" applyAlignment="1">
      <alignment horizontal="center" wrapText="1"/>
      <protection/>
    </xf>
    <xf numFmtId="0" fontId="46" fillId="0" borderId="74" xfId="96" applyFont="1" applyBorder="1" applyAlignment="1">
      <alignment horizontal="center" wrapText="1"/>
      <protection/>
    </xf>
    <xf numFmtId="0" fontId="80" fillId="0" borderId="21" xfId="96" applyFont="1" applyBorder="1" applyAlignment="1">
      <alignment wrapText="1"/>
      <protection/>
    </xf>
    <xf numFmtId="0" fontId="80" fillId="0" borderId="13" xfId="96" applyFont="1" applyBorder="1" applyAlignment="1">
      <alignment wrapText="1"/>
      <protection/>
    </xf>
    <xf numFmtId="3" fontId="80" fillId="0" borderId="13" xfId="79" applyNumberFormat="1" applyFont="1" applyBorder="1" applyAlignment="1">
      <alignment horizontal="right" wrapText="1"/>
    </xf>
    <xf numFmtId="3" fontId="80" fillId="0" borderId="13" xfId="79" applyNumberFormat="1" applyFont="1" applyFill="1" applyBorder="1" applyAlignment="1">
      <alignment horizontal="right" wrapText="1"/>
    </xf>
    <xf numFmtId="3" fontId="80" fillId="0" borderId="14" xfId="79" applyNumberFormat="1" applyFont="1" applyBorder="1" applyAlignment="1">
      <alignment horizontal="right" wrapText="1"/>
    </xf>
    <xf numFmtId="0" fontId="1" fillId="0" borderId="21" xfId="106" applyFont="1" applyBorder="1" applyProtection="1">
      <alignment/>
      <protection locked="0"/>
    </xf>
    <xf numFmtId="0" fontId="1" fillId="0" borderId="13" xfId="106" applyFont="1" applyBorder="1" applyProtection="1">
      <alignment/>
      <protection locked="0"/>
    </xf>
    <xf numFmtId="3" fontId="1" fillId="0" borderId="13" xfId="79" applyNumberFormat="1" applyFont="1" applyBorder="1" applyAlignment="1">
      <alignment/>
    </xf>
    <xf numFmtId="3" fontId="1" fillId="0" borderId="13" xfId="79" applyNumberFormat="1" applyFont="1" applyFill="1" applyBorder="1" applyAlignment="1">
      <alignment/>
    </xf>
    <xf numFmtId="3" fontId="1" fillId="0" borderId="14" xfId="79" applyNumberFormat="1" applyFont="1" applyBorder="1" applyAlignment="1">
      <alignment/>
    </xf>
    <xf numFmtId="3" fontId="80" fillId="0" borderId="13" xfId="79" applyNumberFormat="1" applyFont="1" applyBorder="1" applyAlignment="1">
      <alignment wrapText="1"/>
    </xf>
    <xf numFmtId="3" fontId="80" fillId="0" borderId="14" xfId="79" applyNumberFormat="1" applyFont="1" applyBorder="1" applyAlignment="1">
      <alignment wrapText="1"/>
    </xf>
    <xf numFmtId="0" fontId="29" fillId="0" borderId="21" xfId="96" applyFont="1" applyBorder="1" applyAlignment="1">
      <alignment wrapText="1"/>
      <protection/>
    </xf>
    <xf numFmtId="0" fontId="29" fillId="0" borderId="13" xfId="96" applyFont="1" applyBorder="1" applyAlignment="1">
      <alignment wrapText="1"/>
      <protection/>
    </xf>
    <xf numFmtId="3" fontId="29" fillId="0" borderId="13" xfId="79" applyNumberFormat="1" applyFont="1" applyBorder="1" applyAlignment="1">
      <alignment wrapText="1"/>
    </xf>
    <xf numFmtId="3" fontId="29" fillId="0" borderId="14" xfId="79" applyNumberFormat="1" applyFont="1" applyBorder="1" applyAlignment="1">
      <alignment wrapText="1"/>
    </xf>
    <xf numFmtId="0" fontId="25" fillId="0" borderId="21" xfId="96" applyFont="1" applyBorder="1" applyAlignment="1">
      <alignment wrapText="1"/>
      <protection/>
    </xf>
    <xf numFmtId="0" fontId="25" fillId="0" borderId="13" xfId="96" applyFont="1" applyBorder="1" applyAlignment="1">
      <alignment wrapText="1"/>
      <protection/>
    </xf>
    <xf numFmtId="3" fontId="25" fillId="0" borderId="13" xfId="79" applyNumberFormat="1" applyFont="1" applyBorder="1" applyAlignment="1">
      <alignment wrapText="1"/>
    </xf>
    <xf numFmtId="3" fontId="25" fillId="0" borderId="13" xfId="79" applyNumberFormat="1" applyFont="1" applyFill="1" applyBorder="1" applyAlignment="1">
      <alignment wrapText="1"/>
    </xf>
    <xf numFmtId="3" fontId="25" fillId="0" borderId="14" xfId="79" applyNumberFormat="1" applyFont="1" applyBorder="1" applyAlignment="1">
      <alignment wrapText="1"/>
    </xf>
    <xf numFmtId="3" fontId="36" fillId="0" borderId="13" xfId="79" applyNumberFormat="1" applyFont="1" applyBorder="1" applyAlignment="1">
      <alignment/>
    </xf>
    <xf numFmtId="3" fontId="36" fillId="0" borderId="13" xfId="79" applyNumberFormat="1" applyFont="1" applyFill="1" applyBorder="1" applyAlignment="1">
      <alignment/>
    </xf>
    <xf numFmtId="3" fontId="81" fillId="0" borderId="13" xfId="79" applyNumberFormat="1" applyFont="1" applyBorder="1" applyAlignment="1">
      <alignment/>
    </xf>
    <xf numFmtId="3" fontId="81" fillId="0" borderId="13" xfId="79" applyNumberFormat="1" applyFont="1" applyFill="1" applyBorder="1" applyAlignment="1">
      <alignment/>
    </xf>
    <xf numFmtId="3" fontId="1" fillId="0" borderId="13" xfId="79" applyNumberFormat="1" applyFont="1" applyBorder="1" applyAlignment="1" applyProtection="1">
      <alignment/>
      <protection locked="0"/>
    </xf>
    <xf numFmtId="3" fontId="1" fillId="0" borderId="14" xfId="79" applyNumberFormat="1" applyFont="1" applyBorder="1" applyAlignment="1" applyProtection="1">
      <alignment/>
      <protection locked="0"/>
    </xf>
    <xf numFmtId="0" fontId="33" fillId="0" borderId="22" xfId="96" applyFont="1" applyBorder="1" applyAlignment="1">
      <alignment wrapText="1"/>
      <protection/>
    </xf>
    <xf numFmtId="0" fontId="33" fillId="0" borderId="23" xfId="96" applyFont="1" applyBorder="1" applyAlignment="1">
      <alignment wrapText="1"/>
      <protection/>
    </xf>
    <xf numFmtId="3" fontId="33" fillId="0" borderId="23" xfId="79" applyNumberFormat="1" applyFont="1" applyBorder="1" applyAlignment="1">
      <alignment wrapText="1"/>
    </xf>
    <xf numFmtId="3" fontId="42" fillId="0" borderId="23" xfId="79" applyNumberFormat="1" applyFont="1" applyBorder="1" applyAlignment="1">
      <alignment/>
    </xf>
    <xf numFmtId="3" fontId="33" fillId="0" borderId="75" xfId="79" applyNumberFormat="1" applyFont="1" applyBorder="1" applyAlignment="1">
      <alignment wrapText="1"/>
    </xf>
    <xf numFmtId="0" fontId="33" fillId="0" borderId="0" xfId="96" applyFont="1" applyBorder="1" applyAlignment="1">
      <alignment wrapText="1"/>
      <protection/>
    </xf>
    <xf numFmtId="3" fontId="33" fillId="0" borderId="0" xfId="96" applyNumberFormat="1" applyFont="1" applyBorder="1" applyAlignment="1">
      <alignment wrapText="1"/>
      <protection/>
    </xf>
    <xf numFmtId="3" fontId="1" fillId="0" borderId="0" xfId="106" applyNumberFormat="1" applyFont="1" applyBorder="1">
      <alignment/>
      <protection/>
    </xf>
    <xf numFmtId="0" fontId="1" fillId="0" borderId="55" xfId="106" applyFont="1" applyBorder="1">
      <alignment/>
      <protection/>
    </xf>
    <xf numFmtId="0" fontId="42" fillId="0" borderId="55" xfId="106" applyFont="1" applyBorder="1">
      <alignment/>
      <protection/>
    </xf>
    <xf numFmtId="3" fontId="42" fillId="0" borderId="55" xfId="106" applyNumberFormat="1" applyFont="1" applyBorder="1">
      <alignment/>
      <protection/>
    </xf>
    <xf numFmtId="3" fontId="1" fillId="0" borderId="55" xfId="106" applyNumberFormat="1" applyFont="1" applyBorder="1">
      <alignment/>
      <protection/>
    </xf>
    <xf numFmtId="3" fontId="46" fillId="0" borderId="31" xfId="96" applyNumberFormat="1" applyFont="1" applyBorder="1" applyAlignment="1">
      <alignment horizontal="center" wrapText="1"/>
      <protection/>
    </xf>
    <xf numFmtId="3" fontId="46" fillId="0" borderId="74" xfId="96" applyNumberFormat="1" applyFont="1" applyBorder="1" applyAlignment="1">
      <alignment horizontal="center" wrapText="1"/>
      <protection/>
    </xf>
    <xf numFmtId="3" fontId="80" fillId="0" borderId="13" xfId="96" applyNumberFormat="1" applyFont="1" applyBorder="1" applyAlignment="1">
      <alignment wrapText="1"/>
      <protection/>
    </xf>
    <xf numFmtId="3" fontId="80" fillId="0" borderId="13" xfId="96" applyNumberFormat="1" applyFont="1" applyBorder="1" applyAlignment="1">
      <alignment horizontal="right" wrapText="1"/>
      <protection/>
    </xf>
    <xf numFmtId="3" fontId="80" fillId="0" borderId="14" xfId="96" applyNumberFormat="1" applyFont="1" applyBorder="1" applyAlignment="1">
      <alignment wrapText="1"/>
      <protection/>
    </xf>
    <xf numFmtId="3" fontId="29" fillId="0" borderId="13" xfId="96" applyNumberFormat="1" applyFont="1" applyBorder="1" applyAlignment="1">
      <alignment wrapText="1"/>
      <protection/>
    </xf>
    <xf numFmtId="3" fontId="1" fillId="0" borderId="13" xfId="106" applyNumberFormat="1" applyFont="1" applyBorder="1">
      <alignment/>
      <protection/>
    </xf>
    <xf numFmtId="3" fontId="1" fillId="0" borderId="13" xfId="106" applyNumberFormat="1" applyFont="1" applyFill="1" applyBorder="1">
      <alignment/>
      <protection/>
    </xf>
    <xf numFmtId="3" fontId="29" fillId="0" borderId="14" xfId="96" applyNumberFormat="1" applyFont="1" applyBorder="1" applyAlignment="1">
      <alignment wrapText="1"/>
      <protection/>
    </xf>
    <xf numFmtId="0" fontId="81" fillId="0" borderId="13" xfId="96" applyFont="1" applyBorder="1" applyAlignment="1">
      <alignment wrapText="1"/>
      <protection/>
    </xf>
    <xf numFmtId="3" fontId="81" fillId="0" borderId="13" xfId="96" applyNumberFormat="1" applyFont="1" applyBorder="1" applyAlignment="1">
      <alignment wrapText="1"/>
      <protection/>
    </xf>
    <xf numFmtId="3" fontId="81" fillId="0" borderId="13" xfId="106" applyNumberFormat="1" applyFont="1" applyBorder="1">
      <alignment/>
      <protection/>
    </xf>
    <xf numFmtId="3" fontId="81" fillId="0" borderId="14" xfId="96" applyNumberFormat="1" applyFont="1" applyBorder="1" applyAlignment="1">
      <alignment wrapText="1"/>
      <protection/>
    </xf>
    <xf numFmtId="0" fontId="31" fillId="0" borderId="21" xfId="96" applyFont="1" applyBorder="1" applyAlignment="1">
      <alignment wrapText="1"/>
      <protection/>
    </xf>
    <xf numFmtId="0" fontId="31" fillId="0" borderId="13" xfId="96" applyFont="1" applyBorder="1" applyAlignment="1">
      <alignment wrapText="1"/>
      <protection/>
    </xf>
    <xf numFmtId="3" fontId="31" fillId="0" borderId="13" xfId="96" applyNumberFormat="1" applyFont="1" applyBorder="1" applyAlignment="1">
      <alignment wrapText="1"/>
      <protection/>
    </xf>
    <xf numFmtId="3" fontId="31" fillId="0" borderId="14" xfId="96" applyNumberFormat="1" applyFont="1" applyBorder="1" applyAlignment="1">
      <alignment wrapText="1"/>
      <protection/>
    </xf>
    <xf numFmtId="3" fontId="33" fillId="0" borderId="23" xfId="96" applyNumberFormat="1" applyFont="1" applyBorder="1" applyAlignment="1">
      <alignment wrapText="1"/>
      <protection/>
    </xf>
    <xf numFmtId="3" fontId="42" fillId="0" borderId="23" xfId="106" applyNumberFormat="1" applyFont="1" applyBorder="1">
      <alignment/>
      <protection/>
    </xf>
    <xf numFmtId="3" fontId="42" fillId="0" borderId="0" xfId="106" applyNumberFormat="1" applyFont="1" applyBorder="1">
      <alignment/>
      <protection/>
    </xf>
    <xf numFmtId="0" fontId="0" fillId="0" borderId="0" xfId="96" applyFill="1" applyAlignment="1" applyProtection="1">
      <alignment vertical="center" wrapText="1"/>
      <protection/>
    </xf>
    <xf numFmtId="0" fontId="42" fillId="0" borderId="0" xfId="106" applyFont="1" applyBorder="1">
      <alignment/>
      <protection/>
    </xf>
    <xf numFmtId="0" fontId="48" fillId="0" borderId="32" xfId="96" applyFont="1" applyFill="1" applyBorder="1" applyAlignment="1" applyProtection="1">
      <alignment horizontal="left" vertical="center"/>
      <protection/>
    </xf>
    <xf numFmtId="0" fontId="27" fillId="0" borderId="62" xfId="96" applyFont="1" applyFill="1" applyBorder="1" applyAlignment="1" applyProtection="1">
      <alignment vertical="center" wrapText="1"/>
      <protection/>
    </xf>
    <xf numFmtId="0" fontId="27" fillId="0" borderId="76" xfId="96" applyFont="1" applyFill="1" applyBorder="1" applyAlignment="1" applyProtection="1">
      <alignment vertical="center" wrapText="1"/>
      <protection/>
    </xf>
    <xf numFmtId="3" fontId="27" fillId="0" borderId="34" xfId="96" applyNumberFormat="1" applyFont="1" applyFill="1" applyBorder="1" applyAlignment="1" applyProtection="1">
      <alignment horizontal="right" vertical="center" wrapText="1" indent="1"/>
      <protection locked="0"/>
    </xf>
    <xf numFmtId="167" fontId="27" fillId="0" borderId="34" xfId="9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Alignment="1">
      <alignment/>
    </xf>
    <xf numFmtId="16" fontId="41" fillId="0" borderId="13" xfId="108" applyNumberFormat="1" applyFont="1" applyBorder="1" applyAlignment="1">
      <alignment horizontal="left" vertical="center"/>
      <protection/>
    </xf>
    <xf numFmtId="0" fontId="42" fillId="20" borderId="59" xfId="108" applyFont="1" applyFill="1" applyBorder="1" applyAlignment="1">
      <alignment horizontal="center" vertical="center" wrapText="1"/>
      <protection/>
    </xf>
    <xf numFmtId="0" fontId="45" fillId="20" borderId="77" xfId="108" applyFont="1" applyFill="1" applyBorder="1" applyAlignment="1">
      <alignment vertical="center"/>
      <protection/>
    </xf>
    <xf numFmtId="0" fontId="45" fillId="20" borderId="78" xfId="108" applyFont="1" applyFill="1" applyBorder="1" applyAlignment="1">
      <alignment vertical="center"/>
      <protection/>
    </xf>
    <xf numFmtId="0" fontId="45" fillId="20" borderId="20" xfId="108" applyFont="1" applyFill="1" applyBorder="1" applyAlignment="1">
      <alignment vertical="center"/>
      <protection/>
    </xf>
    <xf numFmtId="180" fontId="16" fillId="0" borderId="17" xfId="101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0" xfId="103" applyFont="1" applyAlignment="1">
      <alignment horizontal="center"/>
      <protection/>
    </xf>
    <xf numFmtId="0" fontId="0" fillId="0" borderId="0" xfId="103">
      <alignment/>
      <protection/>
    </xf>
    <xf numFmtId="0" fontId="1" fillId="0" borderId="0" xfId="103" applyFont="1">
      <alignment/>
      <protection/>
    </xf>
    <xf numFmtId="0" fontId="40" fillId="0" borderId="0" xfId="103" applyFont="1" applyAlignment="1">
      <alignment horizontal="right"/>
      <protection/>
    </xf>
    <xf numFmtId="0" fontId="84" fillId="0" borderId="79" xfId="103" applyFont="1" applyBorder="1" applyAlignment="1">
      <alignment/>
      <protection/>
    </xf>
    <xf numFmtId="0" fontId="42" fillId="20" borderId="46" xfId="103" applyFont="1" applyFill="1" applyBorder="1" applyAlignment="1">
      <alignment horizontal="center" vertical="center" wrapText="1"/>
      <protection/>
    </xf>
    <xf numFmtId="0" fontId="42" fillId="20" borderId="25" xfId="103" applyFont="1" applyFill="1" applyBorder="1" applyAlignment="1">
      <alignment horizontal="center" vertical="center" wrapText="1"/>
      <protection/>
    </xf>
    <xf numFmtId="0" fontId="55" fillId="0" borderId="13" xfId="103" applyFont="1" applyBorder="1" applyAlignment="1">
      <alignment horizontal="center" vertical="distributed"/>
      <protection/>
    </xf>
    <xf numFmtId="0" fontId="41" fillId="0" borderId="13" xfId="108" applyFont="1" applyBorder="1" applyAlignment="1">
      <alignment horizontal="left" vertical="center" wrapText="1"/>
      <protection/>
    </xf>
    <xf numFmtId="3" fontId="41" fillId="0" borderId="13" xfId="108" applyNumberFormat="1" applyFont="1" applyBorder="1" applyAlignment="1">
      <alignment horizontal="right" vertical="center"/>
      <protection/>
    </xf>
    <xf numFmtId="3" fontId="55" fillId="0" borderId="13" xfId="108" applyNumberFormat="1" applyFont="1" applyBorder="1" applyAlignment="1">
      <alignment horizontal="right" vertical="center"/>
      <protection/>
    </xf>
    <xf numFmtId="3" fontId="55" fillId="0" borderId="13" xfId="103" applyNumberFormat="1" applyFont="1" applyBorder="1" applyAlignment="1">
      <alignment vertical="distributed"/>
      <protection/>
    </xf>
    <xf numFmtId="3" fontId="41" fillId="0" borderId="13" xfId="103" applyNumberFormat="1" applyFont="1" applyBorder="1" applyAlignment="1">
      <alignment vertical="distributed"/>
      <protection/>
    </xf>
    <xf numFmtId="0" fontId="0" fillId="0" borderId="0" xfId="103" applyFont="1">
      <alignment/>
      <protection/>
    </xf>
    <xf numFmtId="0" fontId="42" fillId="0" borderId="13" xfId="103" applyFont="1" applyBorder="1">
      <alignment/>
      <protection/>
    </xf>
    <xf numFmtId="0" fontId="45" fillId="0" borderId="13" xfId="103" applyFont="1" applyBorder="1" applyAlignment="1">
      <alignment vertical="distributed"/>
      <protection/>
    </xf>
    <xf numFmtId="3" fontId="42" fillId="0" borderId="13" xfId="108" applyNumberFormat="1" applyFont="1" applyBorder="1" applyAlignment="1">
      <alignment horizontal="right" vertical="center"/>
      <protection/>
    </xf>
    <xf numFmtId="0" fontId="34" fillId="0" borderId="0" xfId="103" applyFont="1">
      <alignment/>
      <protection/>
    </xf>
    <xf numFmtId="0" fontId="0" fillId="0" borderId="0" xfId="103" applyAlignment="1">
      <alignment horizontal="right"/>
      <protection/>
    </xf>
    <xf numFmtId="49" fontId="55" fillId="0" borderId="13" xfId="103" applyNumberFormat="1" applyFont="1" applyBorder="1" applyAlignment="1">
      <alignment vertical="distributed"/>
      <protection/>
    </xf>
    <xf numFmtId="49" fontId="42" fillId="0" borderId="13" xfId="108" applyNumberFormat="1" applyFont="1" applyBorder="1" applyAlignment="1">
      <alignment horizontal="right" vertical="center"/>
      <protection/>
    </xf>
    <xf numFmtId="0" fontId="84" fillId="0" borderId="79" xfId="103" applyFont="1" applyBorder="1" applyAlignment="1">
      <alignment horizontal="right"/>
      <protection/>
    </xf>
    <xf numFmtId="0" fontId="84" fillId="0" borderId="0" xfId="103" applyFont="1" applyBorder="1" applyAlignment="1">
      <alignment/>
      <protection/>
    </xf>
    <xf numFmtId="0" fontId="29" fillId="0" borderId="24" xfId="0" applyFont="1" applyBorder="1" applyAlignment="1">
      <alignment wrapText="1"/>
    </xf>
    <xf numFmtId="0" fontId="29" fillId="0" borderId="25" xfId="0" applyFont="1" applyBorder="1" applyAlignment="1">
      <alignment wrapText="1"/>
    </xf>
    <xf numFmtId="0" fontId="56" fillId="0" borderId="51" xfId="108" applyFont="1" applyBorder="1" applyAlignment="1">
      <alignment horizontal="left" vertical="center" wrapText="1"/>
      <protection/>
    </xf>
    <xf numFmtId="0" fontId="56" fillId="0" borderId="14" xfId="108" applyFont="1" applyBorder="1" applyAlignment="1">
      <alignment horizontal="left" vertical="center" wrapText="1"/>
      <protection/>
    </xf>
    <xf numFmtId="0" fontId="56" fillId="0" borderId="45" xfId="108" applyFont="1" applyBorder="1" applyAlignment="1">
      <alignment horizontal="left" vertical="center"/>
      <protection/>
    </xf>
    <xf numFmtId="0" fontId="56" fillId="0" borderId="14" xfId="108" applyFont="1" applyBorder="1" applyAlignment="1">
      <alignment horizontal="left" vertical="center"/>
      <protection/>
    </xf>
    <xf numFmtId="0" fontId="58" fillId="24" borderId="51" xfId="108" applyFont="1" applyFill="1" applyBorder="1" applyAlignment="1">
      <alignment horizontal="left" vertical="center"/>
      <protection/>
    </xf>
    <xf numFmtId="0" fontId="58" fillId="24" borderId="14" xfId="108" applyFont="1" applyFill="1" applyBorder="1" applyAlignment="1">
      <alignment horizontal="left" vertical="center"/>
      <protection/>
    </xf>
    <xf numFmtId="0" fontId="58" fillId="24" borderId="45" xfId="108" applyFont="1" applyFill="1" applyBorder="1" applyAlignment="1">
      <alignment horizontal="left" vertical="center"/>
      <protection/>
    </xf>
    <xf numFmtId="0" fontId="45" fillId="20" borderId="18" xfId="108" applyFont="1" applyFill="1" applyBorder="1" applyAlignment="1">
      <alignment horizontal="left" vertical="center"/>
      <protection/>
    </xf>
    <xf numFmtId="0" fontId="45" fillId="20" borderId="19" xfId="108" applyFont="1" applyFill="1" applyBorder="1" applyAlignment="1">
      <alignment horizontal="left" vertical="center"/>
      <protection/>
    </xf>
    <xf numFmtId="0" fontId="36" fillId="0" borderId="12" xfId="108" applyFont="1" applyFill="1" applyBorder="1" applyAlignment="1">
      <alignment horizontal="left" vertical="center"/>
      <protection/>
    </xf>
    <xf numFmtId="0" fontId="36" fillId="0" borderId="13" xfId="108" applyFont="1" applyFill="1" applyBorder="1" applyAlignment="1">
      <alignment horizontal="left" vertical="center"/>
      <protection/>
    </xf>
    <xf numFmtId="0" fontId="36" fillId="0" borderId="14" xfId="108" applyFont="1" applyFill="1" applyBorder="1" applyAlignment="1">
      <alignment horizontal="left" vertical="center"/>
      <protection/>
    </xf>
    <xf numFmtId="0" fontId="43" fillId="0" borderId="51" xfId="108" applyFont="1" applyBorder="1" applyAlignment="1">
      <alignment horizontal="left" vertical="center" wrapText="1"/>
      <protection/>
    </xf>
    <xf numFmtId="0" fontId="43" fillId="0" borderId="14" xfId="108" applyFont="1" applyBorder="1" applyAlignment="1">
      <alignment horizontal="left" vertical="center" wrapText="1"/>
      <protection/>
    </xf>
    <xf numFmtId="0" fontId="43" fillId="0" borderId="14" xfId="108" applyFont="1" applyFill="1" applyBorder="1" applyAlignment="1">
      <alignment horizontal="left" vertical="center"/>
      <protection/>
    </xf>
    <xf numFmtId="0" fontId="43" fillId="0" borderId="13" xfId="108" applyFont="1" applyFill="1" applyBorder="1" applyAlignment="1">
      <alignment horizontal="left" vertical="center"/>
      <protection/>
    </xf>
    <xf numFmtId="0" fontId="36" fillId="0" borderId="51" xfId="108" applyFont="1" applyBorder="1" applyAlignment="1">
      <alignment horizontal="left" vertical="center" wrapText="1"/>
      <protection/>
    </xf>
    <xf numFmtId="0" fontId="36" fillId="0" borderId="45" xfId="108" applyFont="1" applyBorder="1" applyAlignment="1">
      <alignment horizontal="left" vertical="center" wrapText="1"/>
      <protection/>
    </xf>
    <xf numFmtId="0" fontId="36" fillId="0" borderId="54" xfId="108" applyFont="1" applyBorder="1" applyAlignment="1">
      <alignment horizontal="left" vertical="center" wrapText="1"/>
      <protection/>
    </xf>
    <xf numFmtId="0" fontId="36" fillId="0" borderId="45" xfId="108" applyFont="1" applyFill="1" applyBorder="1" applyAlignment="1">
      <alignment horizontal="left" vertical="center"/>
      <protection/>
    </xf>
    <xf numFmtId="0" fontId="56" fillId="0" borderId="51" xfId="108" applyFont="1" applyBorder="1" applyAlignment="1">
      <alignment horizontal="left" vertical="center"/>
      <protection/>
    </xf>
    <xf numFmtId="0" fontId="58" fillId="24" borderId="12" xfId="108" applyFont="1" applyFill="1" applyBorder="1" applyAlignment="1">
      <alignment horizontal="left" vertical="center"/>
      <protection/>
    </xf>
    <xf numFmtId="0" fontId="58" fillId="24" borderId="13" xfId="108" applyFont="1" applyFill="1" applyBorder="1" applyAlignment="1">
      <alignment horizontal="left" vertical="center"/>
      <protection/>
    </xf>
    <xf numFmtId="0" fontId="57" fillId="0" borderId="13" xfId="108" applyFont="1" applyFill="1" applyBorder="1" applyAlignment="1">
      <alignment horizontal="left" vertical="center"/>
      <protection/>
    </xf>
    <xf numFmtId="0" fontId="45" fillId="0" borderId="0" xfId="108" applyFont="1" applyAlignment="1">
      <alignment horizontal="center"/>
      <protection/>
    </xf>
    <xf numFmtId="0" fontId="36" fillId="0" borderId="51" xfId="108" applyFont="1" applyFill="1" applyBorder="1" applyAlignment="1">
      <alignment horizontal="left" vertical="center"/>
      <protection/>
    </xf>
    <xf numFmtId="0" fontId="36" fillId="0" borderId="54" xfId="108" applyFont="1" applyFill="1" applyBorder="1" applyAlignment="1">
      <alignment horizontal="left" vertical="center"/>
      <protection/>
    </xf>
    <xf numFmtId="0" fontId="36" fillId="0" borderId="56" xfId="108" applyFont="1" applyFill="1" applyBorder="1" applyAlignment="1">
      <alignment horizontal="left" vertical="center"/>
      <protection/>
    </xf>
    <xf numFmtId="0" fontId="56" fillId="0" borderId="45" xfId="108" applyFont="1" applyBorder="1" applyAlignment="1">
      <alignment horizontal="left"/>
      <protection/>
    </xf>
    <xf numFmtId="0" fontId="56" fillId="0" borderId="14" xfId="108" applyFont="1" applyBorder="1" applyAlignment="1">
      <alignment horizontal="left"/>
      <protection/>
    </xf>
    <xf numFmtId="0" fontId="28" fillId="0" borderId="53" xfId="0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37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76" fillId="0" borderId="0" xfId="106" applyFont="1" applyBorder="1" applyAlignment="1" applyProtection="1">
      <alignment horizontal="center" vertical="center" wrapText="1"/>
      <protection locked="0"/>
    </xf>
    <xf numFmtId="0" fontId="1" fillId="0" borderId="0" xfId="106" applyFont="1" applyAlignment="1">
      <alignment horizontal="right" wrapText="1"/>
      <protection/>
    </xf>
    <xf numFmtId="0" fontId="44" fillId="0" borderId="0" xfId="101" applyFont="1" applyAlignment="1">
      <alignment horizontal="center"/>
      <protection/>
    </xf>
    <xf numFmtId="180" fontId="50" fillId="0" borderId="0" xfId="105" applyNumberFormat="1" applyFont="1" applyFill="1" applyAlignment="1" applyProtection="1">
      <alignment horizontal="center" textRotation="180" wrapText="1"/>
      <protection/>
    </xf>
    <xf numFmtId="180" fontId="51" fillId="0" borderId="80" xfId="105" applyNumberFormat="1" applyFont="1" applyFill="1" applyBorder="1" applyAlignment="1" applyProtection="1">
      <alignment horizontal="center" vertical="center" wrapText="1"/>
      <protection/>
    </xf>
    <xf numFmtId="180" fontId="51" fillId="0" borderId="81" xfId="105" applyNumberFormat="1" applyFont="1" applyFill="1" applyBorder="1" applyAlignment="1" applyProtection="1">
      <alignment horizontal="center" vertical="center" wrapText="1"/>
      <protection/>
    </xf>
    <xf numFmtId="180" fontId="72" fillId="0" borderId="50" xfId="105" applyNumberFormat="1" applyFont="1" applyFill="1" applyBorder="1" applyAlignment="1" applyProtection="1">
      <alignment horizontal="center" vertical="center" wrapText="1"/>
      <protection/>
    </xf>
    <xf numFmtId="180" fontId="51" fillId="0" borderId="66" xfId="105" applyNumberFormat="1" applyFont="1" applyFill="1" applyBorder="1" applyAlignment="1" applyProtection="1">
      <alignment horizontal="center" vertical="center" wrapText="1"/>
      <protection/>
    </xf>
    <xf numFmtId="180" fontId="51" fillId="0" borderId="82" xfId="105" applyNumberFormat="1" applyFont="1" applyFill="1" applyBorder="1" applyAlignment="1" applyProtection="1">
      <alignment horizontal="center" vertical="center" wrapText="1"/>
      <protection/>
    </xf>
    <xf numFmtId="180" fontId="49" fillId="0" borderId="0" xfId="105" applyNumberFormat="1" applyFont="1" applyFill="1" applyAlignment="1" applyProtection="1">
      <alignment horizontal="center" vertical="center" wrapText="1"/>
      <protection/>
    </xf>
    <xf numFmtId="0" fontId="42" fillId="0" borderId="0" xfId="104" applyFont="1" applyAlignment="1">
      <alignment horizontal="center"/>
      <protection/>
    </xf>
    <xf numFmtId="0" fontId="73" fillId="0" borderId="35" xfId="104" applyFont="1" applyFill="1" applyBorder="1" applyAlignment="1">
      <alignment horizontal="center" vertical="center" wrapText="1"/>
      <protection/>
    </xf>
    <xf numFmtId="0" fontId="25" fillId="26" borderId="35" xfId="104" applyFont="1" applyFill="1" applyBorder="1" applyAlignment="1">
      <alignment horizontal="center" vertical="center" wrapText="1"/>
      <protection/>
    </xf>
    <xf numFmtId="0" fontId="25" fillId="26" borderId="80" xfId="104" applyFont="1" applyFill="1" applyBorder="1" applyAlignment="1">
      <alignment horizontal="center" vertical="center" wrapText="1"/>
      <protection/>
    </xf>
    <xf numFmtId="0" fontId="25" fillId="26" borderId="83" xfId="104" applyFont="1" applyFill="1" applyBorder="1" applyAlignment="1">
      <alignment horizontal="center" vertical="center" wrapText="1"/>
      <protection/>
    </xf>
    <xf numFmtId="0" fontId="25" fillId="26" borderId="81" xfId="104" applyFont="1" applyFill="1" applyBorder="1" applyAlignment="1">
      <alignment horizontal="center" vertical="center" wrapText="1"/>
      <protection/>
    </xf>
    <xf numFmtId="0" fontId="42" fillId="20" borderId="17" xfId="103" applyFont="1" applyFill="1" applyBorder="1" applyAlignment="1">
      <alignment horizontal="center" vertical="center" wrapText="1"/>
      <protection/>
    </xf>
    <xf numFmtId="0" fontId="42" fillId="20" borderId="46" xfId="103" applyFont="1" applyFill="1" applyBorder="1" applyAlignment="1">
      <alignment horizontal="center" vertical="center" wrapText="1"/>
      <protection/>
    </xf>
    <xf numFmtId="0" fontId="42" fillId="20" borderId="25" xfId="103" applyFont="1" applyFill="1" applyBorder="1" applyAlignment="1">
      <alignment horizontal="center" vertical="center" wrapText="1"/>
      <protection/>
    </xf>
    <xf numFmtId="0" fontId="42" fillId="0" borderId="0" xfId="103" applyFont="1" applyAlignment="1">
      <alignment horizontal="center"/>
      <protection/>
    </xf>
    <xf numFmtId="0" fontId="84" fillId="0" borderId="79" xfId="103" applyFont="1" applyBorder="1" applyAlignment="1">
      <alignment horizontal="center"/>
      <protection/>
    </xf>
    <xf numFmtId="0" fontId="42" fillId="20" borderId="84" xfId="103" applyFont="1" applyFill="1" applyBorder="1" applyAlignment="1">
      <alignment horizontal="center" vertical="center" wrapText="1"/>
      <protection/>
    </xf>
    <xf numFmtId="0" fontId="42" fillId="20" borderId="41" xfId="103" applyFont="1" applyFill="1" applyBorder="1" applyAlignment="1">
      <alignment horizontal="center" vertical="center" wrapText="1"/>
      <protection/>
    </xf>
    <xf numFmtId="0" fontId="42" fillId="20" borderId="45" xfId="103" applyFont="1" applyFill="1" applyBorder="1" applyAlignment="1">
      <alignment horizontal="center" vertical="center" wrapText="1"/>
      <protection/>
    </xf>
    <xf numFmtId="0" fontId="42" fillId="20" borderId="14" xfId="103" applyFont="1" applyFill="1" applyBorder="1" applyAlignment="1">
      <alignment horizontal="center" vertical="center" wrapText="1"/>
      <protection/>
    </xf>
    <xf numFmtId="0" fontId="42" fillId="0" borderId="0" xfId="108" applyFont="1" applyAlignment="1">
      <alignment horizontal="center"/>
      <protection/>
    </xf>
    <xf numFmtId="0" fontId="1" fillId="0" borderId="79" xfId="108" applyFont="1" applyBorder="1" applyAlignment="1">
      <alignment horizontal="center"/>
      <protection/>
    </xf>
    <xf numFmtId="0" fontId="28" fillId="0" borderId="0" xfId="0" applyFont="1" applyBorder="1" applyAlignment="1">
      <alignment horizontal="left" wrapText="1"/>
    </xf>
    <xf numFmtId="180" fontId="51" fillId="0" borderId="48" xfId="105" applyNumberFormat="1" applyFont="1" applyFill="1" applyBorder="1" applyAlignment="1" applyProtection="1">
      <alignment horizontal="center" vertical="center" wrapText="1"/>
      <protection/>
    </xf>
    <xf numFmtId="180" fontId="51" fillId="0" borderId="25" xfId="105" applyNumberFormat="1" applyFont="1" applyFill="1" applyBorder="1" applyAlignment="1" applyProtection="1">
      <alignment horizontal="center" vertical="center" wrapText="1"/>
      <protection/>
    </xf>
    <xf numFmtId="180" fontId="52" fillId="0" borderId="53" xfId="105" applyNumberFormat="1" applyFont="1" applyFill="1" applyBorder="1" applyAlignment="1">
      <alignment horizontal="right" vertical="center" wrapText="1"/>
      <protection/>
    </xf>
    <xf numFmtId="0" fontId="67" fillId="0" borderId="0" xfId="105" applyFont="1" applyAlignment="1">
      <alignment horizontal="right" wrapText="1"/>
      <protection/>
    </xf>
    <xf numFmtId="180" fontId="50" fillId="0" borderId="40" xfId="105" applyNumberFormat="1" applyFont="1" applyFill="1" applyBorder="1" applyAlignment="1" applyProtection="1">
      <alignment horizontal="center" textRotation="180" wrapText="1"/>
      <protection/>
    </xf>
    <xf numFmtId="180" fontId="63" fillId="0" borderId="0" xfId="105" applyNumberFormat="1" applyFont="1" applyFill="1" applyAlignment="1" applyProtection="1">
      <alignment horizontal="center" vertical="center" wrapText="1"/>
      <protection/>
    </xf>
    <xf numFmtId="180" fontId="64" fillId="0" borderId="18" xfId="105" applyNumberFormat="1" applyFont="1" applyFill="1" applyBorder="1" applyAlignment="1" applyProtection="1">
      <alignment horizontal="left" vertical="center" wrapText="1" indent="2"/>
      <protection/>
    </xf>
    <xf numFmtId="180" fontId="64" fillId="0" borderId="19" xfId="105" applyNumberFormat="1" applyFont="1" applyFill="1" applyBorder="1" applyAlignment="1" applyProtection="1">
      <alignment horizontal="left" vertical="center" wrapText="1" indent="2"/>
      <protection/>
    </xf>
    <xf numFmtId="180" fontId="51" fillId="0" borderId="59" xfId="105" applyNumberFormat="1" applyFont="1" applyFill="1" applyBorder="1" applyAlignment="1" applyProtection="1">
      <alignment horizontal="center" vertical="center"/>
      <protection/>
    </xf>
    <xf numFmtId="180" fontId="51" fillId="0" borderId="39" xfId="105" applyNumberFormat="1" applyFont="1" applyFill="1" applyBorder="1" applyAlignment="1" applyProtection="1">
      <alignment horizontal="center" vertical="center"/>
      <protection/>
    </xf>
    <xf numFmtId="180" fontId="51" fillId="0" borderId="11" xfId="105" applyNumberFormat="1" applyFont="1" applyFill="1" applyBorder="1" applyAlignment="1" applyProtection="1">
      <alignment horizontal="center" vertical="center"/>
      <protection/>
    </xf>
    <xf numFmtId="180" fontId="51" fillId="0" borderId="10" xfId="105" applyNumberFormat="1" applyFont="1" applyFill="1" applyBorder="1" applyAlignment="1" applyProtection="1">
      <alignment horizontal="center" vertical="center" wrapText="1"/>
      <protection/>
    </xf>
    <xf numFmtId="180" fontId="51" fillId="0" borderId="12" xfId="105" applyNumberFormat="1" applyFont="1" applyFill="1" applyBorder="1" applyAlignment="1" applyProtection="1">
      <alignment horizontal="center" vertical="center" wrapText="1"/>
      <protection/>
    </xf>
    <xf numFmtId="180" fontId="51" fillId="0" borderId="13" xfId="105" applyNumberFormat="1" applyFont="1" applyFill="1" applyBorder="1" applyAlignment="1" applyProtection="1">
      <alignment horizontal="center" vertical="center"/>
      <protection/>
    </xf>
    <xf numFmtId="180" fontId="51" fillId="0" borderId="11" xfId="10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/>
    </xf>
  </cellXfs>
  <cellStyles count="10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Ezres 4" xfId="78"/>
    <cellStyle name="Ezres 4 2" xfId="79"/>
    <cellStyle name="Figyelmeztetés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Hivatkozott cella" xfId="87"/>
    <cellStyle name="Input" xfId="88"/>
    <cellStyle name="Jegyzet" xfId="89"/>
    <cellStyle name="Jó" xfId="90"/>
    <cellStyle name="Kimenet" xfId="91"/>
    <cellStyle name="Followed Hyperlink" xfId="92"/>
    <cellStyle name="Linked Cell" xfId="93"/>
    <cellStyle name="Magyarázó szöveg" xfId="94"/>
    <cellStyle name="Neutral" xfId="95"/>
    <cellStyle name="Normál 2" xfId="96"/>
    <cellStyle name="Normál 3" xfId="97"/>
    <cellStyle name="Normál 4" xfId="98"/>
    <cellStyle name="Normál 5" xfId="99"/>
    <cellStyle name="Normál_11szm" xfId="100"/>
    <cellStyle name="Normál_12.sz.mell.2013.évi fejlesztés" xfId="101"/>
    <cellStyle name="Normál_3aszm" xfId="102"/>
    <cellStyle name="Normál_5szm" xfId="103"/>
    <cellStyle name="Normál_7szm" xfId="104"/>
    <cellStyle name="Normál_Másolat eredetijeKVIREND" xfId="105"/>
    <cellStyle name="Normál_Táblák 01-08 08.31." xfId="106"/>
    <cellStyle name="Normal_tanusitv" xfId="107"/>
    <cellStyle name="Normál_Zalakaros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61"/>
  <sheetViews>
    <sheetView tabSelected="1" zoomScalePageLayoutView="0" workbookViewId="0" topLeftCell="A1">
      <selection activeCell="A4" sqref="A4:B4"/>
    </sheetView>
  </sheetViews>
  <sheetFormatPr defaultColWidth="8.8515625" defaultRowHeight="12.75"/>
  <cols>
    <col min="1" max="1" width="5.7109375" style="0" customWidth="1"/>
    <col min="2" max="2" width="44.140625" style="0" customWidth="1"/>
    <col min="3" max="3" width="15.421875" style="0" customWidth="1"/>
    <col min="4" max="4" width="15.8515625" style="0" hidden="1" customWidth="1"/>
    <col min="5" max="5" width="16.28125" style="0" hidden="1" customWidth="1"/>
    <col min="6" max="6" width="15.8515625" style="0" hidden="1" customWidth="1"/>
    <col min="7" max="7" width="16.28125" style="0" hidden="1" customWidth="1"/>
    <col min="8" max="8" width="14.00390625" style="0" hidden="1" customWidth="1"/>
    <col min="9" max="9" width="16.28125" style="0" customWidth="1"/>
    <col min="10" max="10" width="14.00390625" style="0" customWidth="1"/>
    <col min="11" max="11" width="16.28125" style="0" customWidth="1"/>
    <col min="12" max="12" width="1.421875" style="0" customWidth="1"/>
    <col min="13" max="13" width="3.28125" style="0" customWidth="1"/>
    <col min="14" max="14" width="41.421875" style="0" customWidth="1"/>
    <col min="15" max="15" width="16.00390625" style="0" customWidth="1"/>
    <col min="16" max="16" width="16.00390625" style="0" hidden="1" customWidth="1"/>
    <col min="17" max="17" width="15.421875" style="0" hidden="1" customWidth="1"/>
    <col min="18" max="18" width="16.00390625" style="0" hidden="1" customWidth="1"/>
    <col min="19" max="19" width="15.7109375" style="0" hidden="1" customWidth="1"/>
    <col min="20" max="20" width="15.140625" style="0" hidden="1" customWidth="1"/>
    <col min="21" max="21" width="15.8515625" style="0" customWidth="1"/>
    <col min="22" max="22" width="15.140625" style="0" customWidth="1"/>
    <col min="23" max="23" width="15.8515625" style="0" customWidth="1"/>
  </cols>
  <sheetData>
    <row r="1" spans="1:23" ht="18.75">
      <c r="A1" s="534" t="s">
        <v>536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</row>
    <row r="2" spans="1:23" ht="18.75">
      <c r="A2" s="534" t="s">
        <v>359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</row>
    <row r="3" spans="1:23" ht="18.7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</row>
    <row r="4" spans="1:23" ht="18.75">
      <c r="A4" s="541" t="s">
        <v>570</v>
      </c>
      <c r="B4" s="541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5"/>
      <c r="P4" s="205"/>
      <c r="Q4" s="205"/>
      <c r="R4" s="205"/>
      <c r="S4" s="205"/>
      <c r="T4" s="205"/>
      <c r="U4" s="205"/>
      <c r="V4" s="205"/>
      <c r="W4" s="205"/>
    </row>
    <row r="5" spans="1:23" ht="15.75" thickBot="1">
      <c r="A5" s="540" t="s">
        <v>431</v>
      </c>
      <c r="B5" s="540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265"/>
      <c r="P5" s="295"/>
      <c r="Q5" s="295"/>
      <c r="R5" s="295"/>
      <c r="S5" s="295"/>
      <c r="T5" s="295"/>
      <c r="U5" s="295"/>
      <c r="V5" s="295"/>
      <c r="W5" s="295" t="s">
        <v>320</v>
      </c>
    </row>
    <row r="6" spans="1:23" ht="53.25" customHeight="1">
      <c r="A6" s="144"/>
      <c r="B6" s="145" t="s">
        <v>246</v>
      </c>
      <c r="C6" s="146" t="s">
        <v>354</v>
      </c>
      <c r="D6" s="146" t="s">
        <v>417</v>
      </c>
      <c r="E6" s="146" t="s">
        <v>413</v>
      </c>
      <c r="F6" s="146" t="s">
        <v>429</v>
      </c>
      <c r="G6" s="146" t="s">
        <v>424</v>
      </c>
      <c r="H6" s="146" t="s">
        <v>483</v>
      </c>
      <c r="I6" s="146" t="s">
        <v>478</v>
      </c>
      <c r="J6" s="146" t="s">
        <v>531</v>
      </c>
      <c r="K6" s="146" t="s">
        <v>529</v>
      </c>
      <c r="L6" s="282"/>
      <c r="M6" s="147"/>
      <c r="N6" s="145" t="s">
        <v>246</v>
      </c>
      <c r="O6" s="480" t="s">
        <v>354</v>
      </c>
      <c r="P6" s="480" t="s">
        <v>417</v>
      </c>
      <c r="Q6" s="480" t="s">
        <v>413</v>
      </c>
      <c r="R6" s="480" t="s">
        <v>429</v>
      </c>
      <c r="S6" s="480" t="s">
        <v>424</v>
      </c>
      <c r="T6" s="480" t="s">
        <v>483</v>
      </c>
      <c r="U6" s="480" t="s">
        <v>478</v>
      </c>
      <c r="V6" s="480" t="s">
        <v>531</v>
      </c>
      <c r="W6" s="480" t="s">
        <v>529</v>
      </c>
    </row>
    <row r="7" spans="1:23" ht="15" customHeight="1">
      <c r="A7" s="535" t="s">
        <v>247</v>
      </c>
      <c r="B7" s="529"/>
      <c r="C7" s="536"/>
      <c r="D7" s="108"/>
      <c r="E7" s="266"/>
      <c r="F7" s="331"/>
      <c r="G7" s="266"/>
      <c r="H7" s="331"/>
      <c r="I7" s="266"/>
      <c r="J7" s="331"/>
      <c r="K7" s="266"/>
      <c r="L7" s="108"/>
      <c r="M7" s="529" t="s">
        <v>248</v>
      </c>
      <c r="N7" s="529"/>
      <c r="O7" s="537"/>
      <c r="P7" s="296"/>
      <c r="Q7" s="297"/>
      <c r="R7" s="332"/>
      <c r="S7" s="297"/>
      <c r="T7" s="332"/>
      <c r="U7" s="297"/>
      <c r="V7" s="332"/>
      <c r="W7" s="297"/>
    </row>
    <row r="8" spans="1:23" ht="15" customHeight="1">
      <c r="A8" s="148" t="s">
        <v>93</v>
      </c>
      <c r="B8" s="110" t="s">
        <v>249</v>
      </c>
      <c r="C8" s="128"/>
      <c r="D8" s="128"/>
      <c r="E8" s="128"/>
      <c r="F8" s="128"/>
      <c r="G8" s="128"/>
      <c r="H8" s="128"/>
      <c r="I8" s="128"/>
      <c r="J8" s="128"/>
      <c r="K8" s="128"/>
      <c r="L8" s="283"/>
      <c r="M8" s="123" t="s">
        <v>93</v>
      </c>
      <c r="N8" s="111" t="s">
        <v>249</v>
      </c>
      <c r="O8" s="128"/>
      <c r="P8" s="128"/>
      <c r="Q8" s="128"/>
      <c r="R8" s="128"/>
      <c r="S8" s="128"/>
      <c r="T8" s="128"/>
      <c r="U8" s="128"/>
      <c r="V8" s="128"/>
      <c r="W8" s="128"/>
    </row>
    <row r="9" spans="1:23" ht="15" customHeight="1">
      <c r="A9" s="148"/>
      <c r="B9" s="115" t="s">
        <v>533</v>
      </c>
      <c r="C9" s="129">
        <v>160974547</v>
      </c>
      <c r="D9" s="129">
        <v>0</v>
      </c>
      <c r="E9" s="129">
        <v>160974547</v>
      </c>
      <c r="F9" s="129">
        <v>0</v>
      </c>
      <c r="G9" s="129">
        <v>160974547</v>
      </c>
      <c r="H9" s="129">
        <v>0</v>
      </c>
      <c r="I9" s="129">
        <v>160974547</v>
      </c>
      <c r="J9" s="129">
        <v>2494167</v>
      </c>
      <c r="K9" s="129">
        <f>I9+J9</f>
        <v>163468714</v>
      </c>
      <c r="L9" s="284"/>
      <c r="M9" s="112"/>
      <c r="N9" s="115" t="s">
        <v>276</v>
      </c>
      <c r="O9" s="128">
        <v>47206036</v>
      </c>
      <c r="P9" s="128">
        <v>0</v>
      </c>
      <c r="Q9" s="128">
        <v>47206036</v>
      </c>
      <c r="R9" s="128">
        <v>0</v>
      </c>
      <c r="S9" s="128">
        <f>SUM(Q9:R9)</f>
        <v>47206036</v>
      </c>
      <c r="T9" s="128">
        <v>810990</v>
      </c>
      <c r="U9" s="128">
        <f>SUM(S9:T9)</f>
        <v>48017026</v>
      </c>
      <c r="V9" s="128">
        <v>0</v>
      </c>
      <c r="W9" s="128">
        <f>SUM(U9:V9)</f>
        <v>48017026</v>
      </c>
    </row>
    <row r="10" spans="1:23" ht="15" customHeight="1">
      <c r="A10" s="148"/>
      <c r="B10" s="119" t="s">
        <v>250</v>
      </c>
      <c r="C10" s="130">
        <v>82450000</v>
      </c>
      <c r="D10" s="130">
        <v>0</v>
      </c>
      <c r="E10" s="130">
        <v>82450000</v>
      </c>
      <c r="F10" s="130">
        <v>0</v>
      </c>
      <c r="G10" s="130">
        <v>82450000</v>
      </c>
      <c r="H10" s="130">
        <v>0</v>
      </c>
      <c r="I10" s="130">
        <v>82450000</v>
      </c>
      <c r="J10" s="130">
        <v>0</v>
      </c>
      <c r="K10" s="129">
        <f>I10+J10</f>
        <v>82450000</v>
      </c>
      <c r="L10" s="285"/>
      <c r="M10" s="123"/>
      <c r="N10" s="140" t="s">
        <v>277</v>
      </c>
      <c r="O10" s="128">
        <v>11598180</v>
      </c>
      <c r="P10" s="128">
        <v>0</v>
      </c>
      <c r="Q10" s="128">
        <v>11598180</v>
      </c>
      <c r="R10" s="128">
        <v>0</v>
      </c>
      <c r="S10" s="128">
        <f>SUM(Q10:R10)</f>
        <v>11598180</v>
      </c>
      <c r="T10" s="128">
        <v>142329</v>
      </c>
      <c r="U10" s="128">
        <f>SUM(S10:T10)</f>
        <v>11740509</v>
      </c>
      <c r="V10" s="128">
        <v>0</v>
      </c>
      <c r="W10" s="128">
        <f>SUM(U10:V10)</f>
        <v>11740509</v>
      </c>
    </row>
    <row r="11" spans="1:23" ht="15" customHeight="1">
      <c r="A11" s="148"/>
      <c r="B11" s="115" t="s">
        <v>251</v>
      </c>
      <c r="C11" s="130">
        <v>11883000</v>
      </c>
      <c r="D11" s="130">
        <v>0</v>
      </c>
      <c r="E11" s="130">
        <v>11883000</v>
      </c>
      <c r="F11" s="130">
        <v>0</v>
      </c>
      <c r="G11" s="130">
        <v>11883000</v>
      </c>
      <c r="H11" s="130">
        <v>0</v>
      </c>
      <c r="I11" s="130">
        <v>11883000</v>
      </c>
      <c r="J11" s="130">
        <v>0</v>
      </c>
      <c r="K11" s="129">
        <f>I11+J11</f>
        <v>11883000</v>
      </c>
      <c r="L11" s="285"/>
      <c r="M11" s="123"/>
      <c r="N11" s="115" t="s">
        <v>278</v>
      </c>
      <c r="O11" s="128">
        <v>42555558</v>
      </c>
      <c r="P11" s="128">
        <v>0</v>
      </c>
      <c r="Q11" s="128">
        <v>42555558</v>
      </c>
      <c r="R11" s="128">
        <v>0</v>
      </c>
      <c r="S11" s="128">
        <f>SUM(Q11:R11)</f>
        <v>42555558</v>
      </c>
      <c r="T11" s="128">
        <v>-953319</v>
      </c>
      <c r="U11" s="128">
        <f>SUM(S11:T11)</f>
        <v>41602239</v>
      </c>
      <c r="V11" s="128">
        <v>9468939</v>
      </c>
      <c r="W11" s="128">
        <f>SUM(U11:V11)</f>
        <v>51071178</v>
      </c>
    </row>
    <row r="12" spans="1:23" ht="15" customHeight="1">
      <c r="A12" s="148"/>
      <c r="B12" s="115" t="s">
        <v>252</v>
      </c>
      <c r="C12" s="130">
        <v>50000</v>
      </c>
      <c r="D12" s="130">
        <v>0</v>
      </c>
      <c r="E12" s="130">
        <v>50000</v>
      </c>
      <c r="F12" s="130">
        <v>0</v>
      </c>
      <c r="G12" s="130">
        <v>50000</v>
      </c>
      <c r="H12" s="130">
        <v>0</v>
      </c>
      <c r="I12" s="130">
        <v>50000</v>
      </c>
      <c r="J12" s="130">
        <v>0</v>
      </c>
      <c r="K12" s="129">
        <f>I12+J12</f>
        <v>50000</v>
      </c>
      <c r="L12" s="285"/>
      <c r="M12" s="123"/>
      <c r="N12" s="115" t="s">
        <v>279</v>
      </c>
      <c r="O12" s="128">
        <v>6315000</v>
      </c>
      <c r="P12" s="128">
        <v>0</v>
      </c>
      <c r="Q12" s="128">
        <v>6315000</v>
      </c>
      <c r="R12" s="128">
        <v>0</v>
      </c>
      <c r="S12" s="128">
        <f>SUM(Q12:R12)</f>
        <v>6315000</v>
      </c>
      <c r="T12" s="128">
        <v>0</v>
      </c>
      <c r="U12" s="128">
        <f>SUM(S12:T12)</f>
        <v>6315000</v>
      </c>
      <c r="V12" s="128">
        <v>0</v>
      </c>
      <c r="W12" s="128">
        <f>SUM(U12:V12)</f>
        <v>6315000</v>
      </c>
    </row>
    <row r="13" spans="1:23" ht="15" customHeight="1">
      <c r="A13" s="148"/>
      <c r="B13" s="120"/>
      <c r="C13" s="131"/>
      <c r="D13" s="131"/>
      <c r="E13" s="131"/>
      <c r="F13" s="131"/>
      <c r="G13" s="131"/>
      <c r="H13" s="131"/>
      <c r="I13" s="131"/>
      <c r="J13" s="131"/>
      <c r="K13" s="131"/>
      <c r="L13" s="286"/>
      <c r="M13" s="123"/>
      <c r="N13" s="115" t="s">
        <v>280</v>
      </c>
      <c r="O13" s="128">
        <v>52680225</v>
      </c>
      <c r="P13" s="128">
        <v>0</v>
      </c>
      <c r="Q13" s="128">
        <v>52680225</v>
      </c>
      <c r="R13" s="128">
        <v>3717000</v>
      </c>
      <c r="S13" s="128">
        <f>SUM(Q13:R13)</f>
        <v>56397225</v>
      </c>
      <c r="T13" s="128">
        <v>3200000</v>
      </c>
      <c r="U13" s="128">
        <f>SUM(S13:T13)</f>
        <v>59597225</v>
      </c>
      <c r="V13" s="128">
        <v>0</v>
      </c>
      <c r="W13" s="128">
        <f>SUM(U13:V13)</f>
        <v>59597225</v>
      </c>
    </row>
    <row r="14" spans="1:23" ht="15" customHeight="1">
      <c r="A14" s="148"/>
      <c r="B14" s="120" t="s">
        <v>253</v>
      </c>
      <c r="C14" s="131">
        <f aca="true" t="shared" si="0" ref="C14:I14">SUM(C9:C12)</f>
        <v>255357547</v>
      </c>
      <c r="D14" s="131">
        <f t="shared" si="0"/>
        <v>0</v>
      </c>
      <c r="E14" s="131">
        <f t="shared" si="0"/>
        <v>255357547</v>
      </c>
      <c r="F14" s="131">
        <f t="shared" si="0"/>
        <v>0</v>
      </c>
      <c r="G14" s="131">
        <f t="shared" si="0"/>
        <v>255357547</v>
      </c>
      <c r="H14" s="131">
        <f t="shared" si="0"/>
        <v>0</v>
      </c>
      <c r="I14" s="131">
        <f t="shared" si="0"/>
        <v>255357547</v>
      </c>
      <c r="J14" s="131">
        <f>SUM(J9:J12)</f>
        <v>2494167</v>
      </c>
      <c r="K14" s="131">
        <f>SUM(K9:K12)</f>
        <v>257851714</v>
      </c>
      <c r="L14" s="286"/>
      <c r="M14" s="123"/>
      <c r="N14" s="122" t="s">
        <v>253</v>
      </c>
      <c r="O14" s="135">
        <f aca="true" t="shared" si="1" ref="O14:U14">SUM(O9:O13)</f>
        <v>160354999</v>
      </c>
      <c r="P14" s="135">
        <f t="shared" si="1"/>
        <v>0</v>
      </c>
      <c r="Q14" s="135">
        <f t="shared" si="1"/>
        <v>160354999</v>
      </c>
      <c r="R14" s="135">
        <f t="shared" si="1"/>
        <v>3717000</v>
      </c>
      <c r="S14" s="135">
        <f t="shared" si="1"/>
        <v>164071999</v>
      </c>
      <c r="T14" s="135">
        <f t="shared" si="1"/>
        <v>3200000</v>
      </c>
      <c r="U14" s="135">
        <f t="shared" si="1"/>
        <v>167271999</v>
      </c>
      <c r="V14" s="135">
        <f>SUM(V9:V13)</f>
        <v>9468939</v>
      </c>
      <c r="W14" s="135">
        <f>SUM(W9:W13)</f>
        <v>176740938</v>
      </c>
    </row>
    <row r="15" spans="1:23" ht="15" customHeight="1">
      <c r="A15" s="148"/>
      <c r="B15" s="120"/>
      <c r="C15" s="131"/>
      <c r="D15" s="131"/>
      <c r="E15" s="131"/>
      <c r="F15" s="131"/>
      <c r="G15" s="131"/>
      <c r="H15" s="131"/>
      <c r="I15" s="131"/>
      <c r="J15" s="131"/>
      <c r="K15" s="131"/>
      <c r="L15" s="286"/>
      <c r="M15" s="123"/>
      <c r="N15" s="122"/>
      <c r="O15" s="135"/>
      <c r="P15" s="135"/>
      <c r="Q15" s="135"/>
      <c r="R15" s="135"/>
      <c r="S15" s="135"/>
      <c r="T15" s="135"/>
      <c r="U15" s="135"/>
      <c r="V15" s="135"/>
      <c r="W15" s="135"/>
    </row>
    <row r="16" spans="1:23" ht="15" customHeight="1">
      <c r="A16" s="148" t="s">
        <v>94</v>
      </c>
      <c r="B16" s="114" t="s">
        <v>254</v>
      </c>
      <c r="C16" s="130"/>
      <c r="D16" s="130"/>
      <c r="E16" s="130"/>
      <c r="F16" s="130"/>
      <c r="G16" s="130"/>
      <c r="H16" s="130"/>
      <c r="I16" s="130"/>
      <c r="J16" s="130"/>
      <c r="K16" s="130"/>
      <c r="L16" s="285"/>
      <c r="M16" s="123" t="s">
        <v>94</v>
      </c>
      <c r="N16" s="110" t="s">
        <v>254</v>
      </c>
      <c r="O16" s="128"/>
      <c r="P16" s="128"/>
      <c r="Q16" s="128"/>
      <c r="R16" s="128"/>
      <c r="S16" s="128"/>
      <c r="T16" s="128"/>
      <c r="U16" s="128"/>
      <c r="V16" s="128"/>
      <c r="W16" s="128"/>
    </row>
    <row r="17" spans="1:23" ht="15" customHeight="1">
      <c r="A17" s="148"/>
      <c r="B17" s="115" t="s">
        <v>341</v>
      </c>
      <c r="C17" s="129">
        <v>12066452</v>
      </c>
      <c r="D17" s="129">
        <v>0</v>
      </c>
      <c r="E17" s="129">
        <v>12066452</v>
      </c>
      <c r="F17" s="129">
        <v>3873194</v>
      </c>
      <c r="G17" s="129">
        <f>E17+F17</f>
        <v>15939646</v>
      </c>
      <c r="H17" s="129">
        <v>0</v>
      </c>
      <c r="I17" s="129">
        <f>G17+H17</f>
        <v>15939646</v>
      </c>
      <c r="J17" s="129">
        <v>0</v>
      </c>
      <c r="K17" s="129">
        <f>I17+J17</f>
        <v>15939646</v>
      </c>
      <c r="L17" s="284"/>
      <c r="M17" s="112"/>
      <c r="N17" s="115" t="s">
        <v>281</v>
      </c>
      <c r="O17" s="128">
        <v>56933600</v>
      </c>
      <c r="P17" s="128">
        <v>0</v>
      </c>
      <c r="Q17" s="128">
        <v>56933600</v>
      </c>
      <c r="R17" s="128">
        <v>2803646</v>
      </c>
      <c r="S17" s="128">
        <f>Q17+R17</f>
        <v>59737246</v>
      </c>
      <c r="T17" s="128">
        <v>0</v>
      </c>
      <c r="U17" s="128">
        <f>S17+T17</f>
        <v>59737246</v>
      </c>
      <c r="V17" s="128">
        <v>0</v>
      </c>
      <c r="W17" s="128">
        <f>U17+V17</f>
        <v>59737246</v>
      </c>
    </row>
    <row r="18" spans="1:23" ht="15" customHeight="1">
      <c r="A18" s="148"/>
      <c r="B18" s="115" t="s">
        <v>342</v>
      </c>
      <c r="C18" s="130">
        <v>16023000</v>
      </c>
      <c r="D18" s="130">
        <v>0</v>
      </c>
      <c r="E18" s="130">
        <v>16023000</v>
      </c>
      <c r="F18" s="130">
        <v>0</v>
      </c>
      <c r="G18" s="130">
        <v>16023000</v>
      </c>
      <c r="H18" s="130">
        <v>0</v>
      </c>
      <c r="I18" s="130">
        <v>16023000</v>
      </c>
      <c r="J18" s="130">
        <v>0</v>
      </c>
      <c r="K18" s="130">
        <v>16023000</v>
      </c>
      <c r="L18" s="285"/>
      <c r="M18" s="123"/>
      <c r="N18" s="140" t="s">
        <v>282</v>
      </c>
      <c r="O18" s="128">
        <v>11858308</v>
      </c>
      <c r="P18" s="128">
        <v>0</v>
      </c>
      <c r="Q18" s="128">
        <v>11858308</v>
      </c>
      <c r="R18" s="128">
        <v>566196</v>
      </c>
      <c r="S18" s="128">
        <f>Q18+R18</f>
        <v>12424504</v>
      </c>
      <c r="T18" s="128">
        <v>0</v>
      </c>
      <c r="U18" s="128">
        <f>S18+T18</f>
        <v>12424504</v>
      </c>
      <c r="V18" s="128">
        <v>0</v>
      </c>
      <c r="W18" s="128">
        <f>U18+V18</f>
        <v>12424504</v>
      </c>
    </row>
    <row r="19" spans="1:23" ht="15" customHeight="1">
      <c r="A19" s="148"/>
      <c r="B19" s="120"/>
      <c r="C19" s="131"/>
      <c r="D19" s="131"/>
      <c r="E19" s="131"/>
      <c r="F19" s="131"/>
      <c r="G19" s="131"/>
      <c r="H19" s="131"/>
      <c r="I19" s="131"/>
      <c r="J19" s="131"/>
      <c r="K19" s="131"/>
      <c r="L19" s="286"/>
      <c r="M19" s="123"/>
      <c r="N19" s="115" t="s">
        <v>283</v>
      </c>
      <c r="O19" s="128">
        <v>34520000</v>
      </c>
      <c r="P19" s="128">
        <v>0</v>
      </c>
      <c r="Q19" s="128">
        <v>34520000</v>
      </c>
      <c r="R19" s="128">
        <v>428286</v>
      </c>
      <c r="S19" s="128">
        <f>Q19+R19</f>
        <v>34948286</v>
      </c>
      <c r="T19" s="128">
        <v>0</v>
      </c>
      <c r="U19" s="128">
        <f>S19+T19</f>
        <v>34948286</v>
      </c>
      <c r="V19" s="128">
        <v>0</v>
      </c>
      <c r="W19" s="128">
        <f>U19+V19</f>
        <v>34948286</v>
      </c>
    </row>
    <row r="20" spans="1:23" ht="15" customHeight="1">
      <c r="A20" s="148"/>
      <c r="B20" s="120"/>
      <c r="C20" s="131"/>
      <c r="D20" s="131"/>
      <c r="E20" s="131"/>
      <c r="F20" s="131"/>
      <c r="G20" s="131"/>
      <c r="H20" s="131"/>
      <c r="I20" s="131"/>
      <c r="J20" s="131"/>
      <c r="K20" s="131"/>
      <c r="L20" s="286"/>
      <c r="M20" s="123"/>
      <c r="N20" s="115" t="s">
        <v>430</v>
      </c>
      <c r="O20" s="128">
        <v>0</v>
      </c>
      <c r="P20" s="128">
        <v>0</v>
      </c>
      <c r="Q20" s="128">
        <v>0</v>
      </c>
      <c r="R20" s="128">
        <v>75066</v>
      </c>
      <c r="S20" s="128">
        <f>Q20+R20</f>
        <v>75066</v>
      </c>
      <c r="T20" s="128">
        <v>0</v>
      </c>
      <c r="U20" s="128">
        <f>S20+T20</f>
        <v>75066</v>
      </c>
      <c r="V20" s="128">
        <v>0</v>
      </c>
      <c r="W20" s="128">
        <f>U20+V20</f>
        <v>75066</v>
      </c>
    </row>
    <row r="21" spans="1:23" ht="15" customHeight="1">
      <c r="A21" s="148"/>
      <c r="B21" s="120" t="s">
        <v>255</v>
      </c>
      <c r="C21" s="131">
        <f aca="true" t="shared" si="2" ref="C21:I21">SUM(C17:C19)</f>
        <v>28089452</v>
      </c>
      <c r="D21" s="131">
        <f t="shared" si="2"/>
        <v>0</v>
      </c>
      <c r="E21" s="131">
        <f t="shared" si="2"/>
        <v>28089452</v>
      </c>
      <c r="F21" s="131">
        <f t="shared" si="2"/>
        <v>3873194</v>
      </c>
      <c r="G21" s="131">
        <f t="shared" si="2"/>
        <v>31962646</v>
      </c>
      <c r="H21" s="131">
        <f t="shared" si="2"/>
        <v>0</v>
      </c>
      <c r="I21" s="131">
        <f t="shared" si="2"/>
        <v>31962646</v>
      </c>
      <c r="J21" s="131">
        <f>SUM(J17:J19)</f>
        <v>0</v>
      </c>
      <c r="K21" s="131">
        <f>SUM(K17:K19)</f>
        <v>31962646</v>
      </c>
      <c r="L21" s="286"/>
      <c r="M21" s="123"/>
      <c r="N21" s="122" t="s">
        <v>255</v>
      </c>
      <c r="O21" s="135">
        <f>SUM(O16:O19)</f>
        <v>103311908</v>
      </c>
      <c r="P21" s="135">
        <f>SUM(P16:P19)</f>
        <v>0</v>
      </c>
      <c r="Q21" s="135">
        <f aca="true" t="shared" si="3" ref="Q21:W21">SUM(Q16:Q20)</f>
        <v>103311908</v>
      </c>
      <c r="R21" s="135">
        <f t="shared" si="3"/>
        <v>3873194</v>
      </c>
      <c r="S21" s="135">
        <f t="shared" si="3"/>
        <v>107185102</v>
      </c>
      <c r="T21" s="135">
        <f t="shared" si="3"/>
        <v>0</v>
      </c>
      <c r="U21" s="135">
        <f t="shared" si="3"/>
        <v>107185102</v>
      </c>
      <c r="V21" s="135">
        <f t="shared" si="3"/>
        <v>0</v>
      </c>
      <c r="W21" s="135">
        <f t="shared" si="3"/>
        <v>107185102</v>
      </c>
    </row>
    <row r="22" spans="1:23" ht="15" customHeight="1">
      <c r="A22" s="148"/>
      <c r="B22" s="120"/>
      <c r="C22" s="131"/>
      <c r="D22" s="131"/>
      <c r="E22" s="131"/>
      <c r="F22" s="131"/>
      <c r="G22" s="131"/>
      <c r="H22" s="131"/>
      <c r="I22" s="131"/>
      <c r="J22" s="131"/>
      <c r="K22" s="131"/>
      <c r="L22" s="286"/>
      <c r="M22" s="123"/>
      <c r="N22" s="122"/>
      <c r="O22" s="135"/>
      <c r="P22" s="135"/>
      <c r="Q22" s="135"/>
      <c r="R22" s="135"/>
      <c r="S22" s="135"/>
      <c r="T22" s="135"/>
      <c r="U22" s="135"/>
      <c r="V22" s="135"/>
      <c r="W22" s="135"/>
    </row>
    <row r="23" spans="1:23" ht="15" customHeight="1">
      <c r="A23" s="148" t="s">
        <v>95</v>
      </c>
      <c r="B23" s="114" t="s">
        <v>534</v>
      </c>
      <c r="C23" s="130"/>
      <c r="D23" s="130"/>
      <c r="E23" s="130"/>
      <c r="F23" s="130"/>
      <c r="G23" s="130"/>
      <c r="H23" s="130"/>
      <c r="I23" s="130"/>
      <c r="J23" s="130"/>
      <c r="K23" s="130"/>
      <c r="L23" s="285"/>
      <c r="M23" s="123" t="s">
        <v>95</v>
      </c>
      <c r="N23" s="110" t="s">
        <v>534</v>
      </c>
      <c r="O23" s="128"/>
      <c r="P23" s="128"/>
      <c r="Q23" s="128"/>
      <c r="R23" s="128"/>
      <c r="S23" s="128"/>
      <c r="T23" s="128"/>
      <c r="U23" s="128"/>
      <c r="V23" s="128"/>
      <c r="W23" s="128"/>
    </row>
    <row r="24" spans="1:23" ht="15" customHeight="1">
      <c r="A24" s="148"/>
      <c r="B24" s="479" t="s">
        <v>562</v>
      </c>
      <c r="C24" s="129">
        <v>0</v>
      </c>
      <c r="D24" s="129">
        <v>0</v>
      </c>
      <c r="E24" s="129">
        <v>12066452</v>
      </c>
      <c r="F24" s="129">
        <v>3873194</v>
      </c>
      <c r="G24" s="129">
        <f>E24+F24</f>
        <v>15939646</v>
      </c>
      <c r="H24" s="129">
        <v>0</v>
      </c>
      <c r="I24" s="129">
        <v>0</v>
      </c>
      <c r="J24" s="129">
        <v>50000</v>
      </c>
      <c r="K24" s="129">
        <f>I24+J24</f>
        <v>50000</v>
      </c>
      <c r="L24" s="285"/>
      <c r="M24" s="123"/>
      <c r="N24" s="115" t="s">
        <v>564</v>
      </c>
      <c r="O24" s="128">
        <v>0</v>
      </c>
      <c r="P24" s="128"/>
      <c r="Q24" s="128"/>
      <c r="R24" s="128"/>
      <c r="S24" s="128"/>
      <c r="T24" s="128"/>
      <c r="U24" s="128">
        <v>0</v>
      </c>
      <c r="V24" s="128">
        <v>2325000</v>
      </c>
      <c r="W24" s="128">
        <f>V24</f>
        <v>2325000</v>
      </c>
    </row>
    <row r="25" spans="1:23" ht="15" customHeight="1">
      <c r="A25" s="148"/>
      <c r="B25" s="479"/>
      <c r="C25" s="129"/>
      <c r="D25" s="129"/>
      <c r="E25" s="129"/>
      <c r="F25" s="129"/>
      <c r="G25" s="129"/>
      <c r="H25" s="129"/>
      <c r="I25" s="129"/>
      <c r="J25" s="129"/>
      <c r="K25" s="129"/>
      <c r="L25" s="284"/>
      <c r="M25" s="112"/>
      <c r="N25" s="140" t="s">
        <v>563</v>
      </c>
      <c r="O25" s="128">
        <v>0</v>
      </c>
      <c r="P25" s="128">
        <v>0</v>
      </c>
      <c r="Q25" s="128">
        <v>56933600</v>
      </c>
      <c r="R25" s="128">
        <v>2803646</v>
      </c>
      <c r="S25" s="128">
        <f>Q25+R25</f>
        <v>59737246</v>
      </c>
      <c r="T25" s="128">
        <v>0</v>
      </c>
      <c r="U25" s="128">
        <v>0</v>
      </c>
      <c r="V25" s="128">
        <v>471000</v>
      </c>
      <c r="W25" s="128">
        <f>V25</f>
        <v>471000</v>
      </c>
    </row>
    <row r="26" spans="1:23" ht="15" customHeight="1">
      <c r="A26" s="148"/>
      <c r="B26" s="479"/>
      <c r="C26" s="129"/>
      <c r="D26" s="129"/>
      <c r="E26" s="129"/>
      <c r="F26" s="129"/>
      <c r="G26" s="129"/>
      <c r="H26" s="129"/>
      <c r="I26" s="129"/>
      <c r="J26" s="129"/>
      <c r="K26" s="129"/>
      <c r="L26" s="284"/>
      <c r="M26" s="112"/>
      <c r="N26" s="115" t="s">
        <v>565</v>
      </c>
      <c r="O26" s="128">
        <v>0</v>
      </c>
      <c r="P26" s="128">
        <v>0</v>
      </c>
      <c r="Q26" s="128">
        <v>56933600</v>
      </c>
      <c r="R26" s="128">
        <v>2803646</v>
      </c>
      <c r="S26" s="128">
        <f>Q26+R26</f>
        <v>59737246</v>
      </c>
      <c r="T26" s="128">
        <v>0</v>
      </c>
      <c r="U26" s="128">
        <v>0</v>
      </c>
      <c r="V26" s="128">
        <v>300000</v>
      </c>
      <c r="W26" s="128">
        <f>V26</f>
        <v>300000</v>
      </c>
    </row>
    <row r="27" spans="1:23" ht="15" customHeight="1">
      <c r="A27" s="148"/>
      <c r="B27" s="120" t="s">
        <v>535</v>
      </c>
      <c r="C27" s="131">
        <f>C24</f>
        <v>0</v>
      </c>
      <c r="D27" s="131">
        <f aca="true" t="shared" si="4" ref="D27:K27">D24</f>
        <v>0</v>
      </c>
      <c r="E27" s="131">
        <f t="shared" si="4"/>
        <v>12066452</v>
      </c>
      <c r="F27" s="131">
        <f t="shared" si="4"/>
        <v>3873194</v>
      </c>
      <c r="G27" s="131">
        <f t="shared" si="4"/>
        <v>15939646</v>
      </c>
      <c r="H27" s="131">
        <f t="shared" si="4"/>
        <v>0</v>
      </c>
      <c r="I27" s="131">
        <f t="shared" si="4"/>
        <v>0</v>
      </c>
      <c r="J27" s="131">
        <f t="shared" si="4"/>
        <v>50000</v>
      </c>
      <c r="K27" s="131">
        <f t="shared" si="4"/>
        <v>50000</v>
      </c>
      <c r="L27" s="286"/>
      <c r="M27" s="123"/>
      <c r="N27" s="122" t="s">
        <v>535</v>
      </c>
      <c r="O27" s="135">
        <f>SUM(O24:O26)</f>
        <v>0</v>
      </c>
      <c r="P27" s="135">
        <f>SUM(P20:P23)</f>
        <v>0</v>
      </c>
      <c r="Q27" s="135">
        <f>SUM(Q20:Q26)</f>
        <v>217179108</v>
      </c>
      <c r="R27" s="135">
        <f>SUM(R20:R26)</f>
        <v>9555552</v>
      </c>
      <c r="S27" s="135">
        <f>SUM(S20:S26)</f>
        <v>226734660</v>
      </c>
      <c r="T27" s="135">
        <f>SUM(T20:T26)</f>
        <v>0</v>
      </c>
      <c r="U27" s="135">
        <f>SUM(U24:U26)</f>
        <v>0</v>
      </c>
      <c r="V27" s="135">
        <f>SUM(V24:V26)</f>
        <v>3096000</v>
      </c>
      <c r="W27" s="135">
        <f>SUM(W24:W26)</f>
        <v>3096000</v>
      </c>
    </row>
    <row r="28" spans="1:23" ht="15" customHeight="1">
      <c r="A28" s="149"/>
      <c r="B28" s="116"/>
      <c r="C28" s="132"/>
      <c r="D28" s="132"/>
      <c r="E28" s="132"/>
      <c r="F28" s="132"/>
      <c r="G28" s="132"/>
      <c r="H28" s="132"/>
      <c r="I28" s="132"/>
      <c r="J28" s="132"/>
      <c r="K28" s="132"/>
      <c r="L28" s="287"/>
      <c r="M28" s="143"/>
      <c r="N28" s="120"/>
      <c r="O28" s="135"/>
      <c r="P28" s="135"/>
      <c r="Q28" s="135"/>
      <c r="R28" s="135"/>
      <c r="S28" s="135"/>
      <c r="T28" s="135"/>
      <c r="U28" s="135"/>
      <c r="V28" s="135"/>
      <c r="W28" s="135"/>
    </row>
    <row r="29" spans="1:23" ht="15" customHeight="1">
      <c r="A29" s="530" t="s">
        <v>256</v>
      </c>
      <c r="B29" s="513"/>
      <c r="C29" s="131">
        <f>C14+C21+C27</f>
        <v>283446999</v>
      </c>
      <c r="D29" s="131">
        <f aca="true" t="shared" si="5" ref="D29:J29">D14+D21+D27</f>
        <v>0</v>
      </c>
      <c r="E29" s="131">
        <f t="shared" si="5"/>
        <v>295513451</v>
      </c>
      <c r="F29" s="131">
        <f t="shared" si="5"/>
        <v>7746388</v>
      </c>
      <c r="G29" s="131">
        <f t="shared" si="5"/>
        <v>303259839</v>
      </c>
      <c r="H29" s="131">
        <f t="shared" si="5"/>
        <v>0</v>
      </c>
      <c r="I29" s="131">
        <f t="shared" si="5"/>
        <v>287320193</v>
      </c>
      <c r="J29" s="131">
        <f t="shared" si="5"/>
        <v>2544167</v>
      </c>
      <c r="K29" s="131">
        <f>K14+K21+K27</f>
        <v>289864360</v>
      </c>
      <c r="L29" s="286"/>
      <c r="M29" s="538" t="s">
        <v>257</v>
      </c>
      <c r="N29" s="539"/>
      <c r="O29" s="135">
        <f>O14+O21+O27</f>
        <v>263666907</v>
      </c>
      <c r="P29" s="135">
        <f aca="true" t="shared" si="6" ref="P29:W29">P14+P21+P27</f>
        <v>0</v>
      </c>
      <c r="Q29" s="135">
        <f t="shared" si="6"/>
        <v>480846015</v>
      </c>
      <c r="R29" s="135">
        <f t="shared" si="6"/>
        <v>17145746</v>
      </c>
      <c r="S29" s="135">
        <f t="shared" si="6"/>
        <v>497991761</v>
      </c>
      <c r="T29" s="135">
        <f t="shared" si="6"/>
        <v>3200000</v>
      </c>
      <c r="U29" s="135">
        <f t="shared" si="6"/>
        <v>274457101</v>
      </c>
      <c r="V29" s="135">
        <f t="shared" si="6"/>
        <v>12564939</v>
      </c>
      <c r="W29" s="135">
        <f t="shared" si="6"/>
        <v>287022040</v>
      </c>
    </row>
    <row r="30" spans="1:23" ht="15" customHeight="1">
      <c r="A30" s="149"/>
      <c r="B30" s="116"/>
      <c r="C30" s="132"/>
      <c r="D30" s="132"/>
      <c r="E30" s="132"/>
      <c r="F30" s="132"/>
      <c r="G30" s="132"/>
      <c r="H30" s="132"/>
      <c r="I30" s="132"/>
      <c r="J30" s="132"/>
      <c r="K30" s="132"/>
      <c r="L30" s="287"/>
      <c r="M30" s="124"/>
      <c r="N30" s="121"/>
      <c r="O30" s="134"/>
      <c r="P30" s="134"/>
      <c r="Q30" s="134"/>
      <c r="R30" s="134"/>
      <c r="S30" s="134"/>
      <c r="T30" s="134"/>
      <c r="U30" s="134"/>
      <c r="V30" s="134"/>
      <c r="W30" s="134"/>
    </row>
    <row r="31" spans="1:23" ht="15" customHeight="1">
      <c r="A31" s="530" t="s">
        <v>273</v>
      </c>
      <c r="B31" s="513"/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286"/>
      <c r="M31" s="512" t="s">
        <v>275</v>
      </c>
      <c r="N31" s="513"/>
      <c r="O31" s="135">
        <v>4276181</v>
      </c>
      <c r="P31" s="135">
        <v>0</v>
      </c>
      <c r="Q31" s="135">
        <v>4276181</v>
      </c>
      <c r="R31" s="135">
        <v>0</v>
      </c>
      <c r="S31" s="135">
        <v>4276181</v>
      </c>
      <c r="T31" s="135">
        <v>0</v>
      </c>
      <c r="U31" s="135">
        <v>4276181</v>
      </c>
      <c r="V31" s="135">
        <v>0</v>
      </c>
      <c r="W31" s="135">
        <v>4276181</v>
      </c>
    </row>
    <row r="32" spans="1:23" ht="15" customHeight="1">
      <c r="A32" s="150"/>
      <c r="B32" s="114"/>
      <c r="C32" s="130"/>
      <c r="D32" s="130"/>
      <c r="E32" s="130"/>
      <c r="F32" s="130"/>
      <c r="G32" s="130"/>
      <c r="H32" s="130"/>
      <c r="I32" s="130"/>
      <c r="J32" s="130"/>
      <c r="K32" s="130"/>
      <c r="L32" s="285"/>
      <c r="M32" s="125"/>
      <c r="N32" s="114"/>
      <c r="O32" s="134"/>
      <c r="P32" s="134"/>
      <c r="Q32" s="134"/>
      <c r="R32" s="134"/>
      <c r="S32" s="134"/>
      <c r="T32" s="134"/>
      <c r="U32" s="134"/>
      <c r="V32" s="134"/>
      <c r="W32" s="134"/>
    </row>
    <row r="33" spans="1:23" ht="15" customHeight="1">
      <c r="A33" s="531" t="s">
        <v>258</v>
      </c>
      <c r="B33" s="532"/>
      <c r="C33" s="255">
        <f aca="true" t="shared" si="7" ref="C33:I33">C29+C31</f>
        <v>283446999</v>
      </c>
      <c r="D33" s="255">
        <f t="shared" si="7"/>
        <v>0</v>
      </c>
      <c r="E33" s="255">
        <f t="shared" si="7"/>
        <v>295513451</v>
      </c>
      <c r="F33" s="255">
        <f t="shared" si="7"/>
        <v>7746388</v>
      </c>
      <c r="G33" s="255">
        <f t="shared" si="7"/>
        <v>303259839</v>
      </c>
      <c r="H33" s="255">
        <f t="shared" si="7"/>
        <v>0</v>
      </c>
      <c r="I33" s="255">
        <f t="shared" si="7"/>
        <v>287320193</v>
      </c>
      <c r="J33" s="255">
        <f>J29+J31</f>
        <v>2544167</v>
      </c>
      <c r="K33" s="255">
        <f>K29+K31</f>
        <v>289864360</v>
      </c>
      <c r="L33" s="288"/>
      <c r="M33" s="515" t="s">
        <v>259</v>
      </c>
      <c r="N33" s="532" t="s">
        <v>259</v>
      </c>
      <c r="O33" s="151">
        <f aca="true" t="shared" si="8" ref="O33:U33">O29+O31</f>
        <v>267943088</v>
      </c>
      <c r="P33" s="151">
        <f t="shared" si="8"/>
        <v>0</v>
      </c>
      <c r="Q33" s="151">
        <f t="shared" si="8"/>
        <v>485122196</v>
      </c>
      <c r="R33" s="151">
        <f t="shared" si="8"/>
        <v>17145746</v>
      </c>
      <c r="S33" s="151">
        <f t="shared" si="8"/>
        <v>502267942</v>
      </c>
      <c r="T33" s="151">
        <f t="shared" si="8"/>
        <v>3200000</v>
      </c>
      <c r="U33" s="151">
        <f t="shared" si="8"/>
        <v>278733282</v>
      </c>
      <c r="V33" s="151">
        <f>V29+V31</f>
        <v>12564939</v>
      </c>
      <c r="W33" s="151">
        <f>W29+W31</f>
        <v>291298221</v>
      </c>
    </row>
    <row r="34" spans="1:23" ht="15" customHeight="1">
      <c r="A34" s="179"/>
      <c r="B34" s="180"/>
      <c r="C34" s="255"/>
      <c r="D34" s="255"/>
      <c r="E34" s="255"/>
      <c r="F34" s="255"/>
      <c r="G34" s="255"/>
      <c r="H34" s="255"/>
      <c r="I34" s="255"/>
      <c r="J34" s="255"/>
      <c r="K34" s="255"/>
      <c r="L34" s="288"/>
      <c r="M34" s="178"/>
      <c r="N34" s="180"/>
      <c r="O34" s="151"/>
      <c r="P34" s="151"/>
      <c r="Q34" s="151"/>
      <c r="R34" s="151"/>
      <c r="S34" s="151"/>
      <c r="T34" s="151"/>
      <c r="U34" s="151"/>
      <c r="V34" s="151"/>
      <c r="W34" s="151"/>
    </row>
    <row r="35" spans="1:23" ht="15" customHeight="1">
      <c r="A35" s="519" t="s">
        <v>260</v>
      </c>
      <c r="B35" s="533"/>
      <c r="C35" s="133"/>
      <c r="D35" s="133"/>
      <c r="E35" s="133"/>
      <c r="F35" s="133"/>
      <c r="G35" s="133"/>
      <c r="H35" s="133"/>
      <c r="I35" s="133"/>
      <c r="J35" s="133"/>
      <c r="K35" s="133"/>
      <c r="L35" s="289"/>
      <c r="M35" s="521" t="s">
        <v>272</v>
      </c>
      <c r="N35" s="533"/>
      <c r="O35" s="152"/>
      <c r="P35" s="152"/>
      <c r="Q35" s="152"/>
      <c r="R35" s="152"/>
      <c r="S35" s="152"/>
      <c r="T35" s="152"/>
      <c r="U35" s="152"/>
      <c r="V35" s="152"/>
      <c r="W35" s="152"/>
    </row>
    <row r="36" spans="1:23" ht="15" customHeight="1">
      <c r="A36" s="519" t="s">
        <v>261</v>
      </c>
      <c r="B36" s="520"/>
      <c r="C36" s="133"/>
      <c r="D36" s="133"/>
      <c r="E36" s="133"/>
      <c r="F36" s="133"/>
      <c r="G36" s="133"/>
      <c r="H36" s="133"/>
      <c r="I36" s="133"/>
      <c r="J36" s="133"/>
      <c r="K36" s="133"/>
      <c r="L36" s="289"/>
      <c r="M36" s="521" t="s">
        <v>262</v>
      </c>
      <c r="N36" s="520"/>
      <c r="O36" s="152"/>
      <c r="P36" s="152"/>
      <c r="Q36" s="152"/>
      <c r="R36" s="152"/>
      <c r="S36" s="152"/>
      <c r="T36" s="152"/>
      <c r="U36" s="152"/>
      <c r="V36" s="152"/>
      <c r="W36" s="152"/>
    </row>
    <row r="37" spans="1:23" ht="15" customHeight="1">
      <c r="A37" s="148" t="s">
        <v>93</v>
      </c>
      <c r="B37" s="117" t="s">
        <v>249</v>
      </c>
      <c r="C37" s="128"/>
      <c r="D37" s="128"/>
      <c r="E37" s="128"/>
      <c r="F37" s="128"/>
      <c r="G37" s="128"/>
      <c r="H37" s="128"/>
      <c r="I37" s="128"/>
      <c r="J37" s="128"/>
      <c r="K37" s="128"/>
      <c r="L37" s="283"/>
      <c r="M37" s="126" t="s">
        <v>93</v>
      </c>
      <c r="N37" s="111" t="s">
        <v>249</v>
      </c>
      <c r="O37" s="128"/>
      <c r="P37" s="128"/>
      <c r="Q37" s="128"/>
      <c r="R37" s="128"/>
      <c r="S37" s="128"/>
      <c r="T37" s="128"/>
      <c r="U37" s="128"/>
      <c r="V37" s="128"/>
      <c r="W37" s="128"/>
    </row>
    <row r="38" spans="1:23" ht="15" customHeight="1">
      <c r="A38" s="153"/>
      <c r="B38" s="113" t="s">
        <v>263</v>
      </c>
      <c r="C38" s="128">
        <v>86185955</v>
      </c>
      <c r="D38" s="128">
        <v>3706875</v>
      </c>
      <c r="E38" s="128">
        <f>C38+D38</f>
        <v>89892830</v>
      </c>
      <c r="F38" s="128">
        <v>0</v>
      </c>
      <c r="G38" s="128">
        <f>E38+F38</f>
        <v>89892830</v>
      </c>
      <c r="H38" s="128">
        <v>0</v>
      </c>
      <c r="I38" s="128">
        <f>G38+H38</f>
        <v>89892830</v>
      </c>
      <c r="J38" s="128">
        <v>0</v>
      </c>
      <c r="K38" s="128">
        <f>I38+J38</f>
        <v>89892830</v>
      </c>
      <c r="L38" s="283"/>
      <c r="M38" s="126"/>
      <c r="N38" s="115" t="s">
        <v>344</v>
      </c>
      <c r="O38" s="128">
        <v>38100000</v>
      </c>
      <c r="P38" s="128">
        <v>4206875</v>
      </c>
      <c r="Q38" s="128">
        <f>SUM(O38:P38)</f>
        <v>42306875</v>
      </c>
      <c r="R38" s="128">
        <v>0</v>
      </c>
      <c r="S38" s="128">
        <f>SUM(Q38:R38)</f>
        <v>42306875</v>
      </c>
      <c r="T38" s="128">
        <v>-18850000</v>
      </c>
      <c r="U38" s="128">
        <f>SUM(S38:T38)</f>
        <v>23456875</v>
      </c>
      <c r="V38" s="128">
        <v>-2101369</v>
      </c>
      <c r="W38" s="128">
        <f>SUM(U38:V38)</f>
        <v>21355506</v>
      </c>
    </row>
    <row r="39" spans="1:23" ht="15" customHeight="1">
      <c r="A39" s="153"/>
      <c r="B39" s="113" t="s">
        <v>264</v>
      </c>
      <c r="C39" s="128">
        <v>0</v>
      </c>
      <c r="D39" s="128">
        <v>0</v>
      </c>
      <c r="E39" s="128">
        <v>0</v>
      </c>
      <c r="F39" s="128">
        <v>0</v>
      </c>
      <c r="G39" s="128">
        <v>0</v>
      </c>
      <c r="H39" s="128">
        <v>0</v>
      </c>
      <c r="I39" s="128">
        <v>0</v>
      </c>
      <c r="J39" s="128">
        <v>0</v>
      </c>
      <c r="K39" s="128">
        <v>0</v>
      </c>
      <c r="L39" s="283"/>
      <c r="M39" s="126"/>
      <c r="N39" s="118" t="s">
        <v>345</v>
      </c>
      <c r="O39" s="128">
        <v>95154097</v>
      </c>
      <c r="P39" s="128">
        <v>0</v>
      </c>
      <c r="Q39" s="128">
        <f>SUM(O39:P39)</f>
        <v>95154097</v>
      </c>
      <c r="R39" s="128">
        <v>-3717000</v>
      </c>
      <c r="S39" s="128">
        <f>SUM(Q39:R39)</f>
        <v>91437097</v>
      </c>
      <c r="T39" s="128">
        <v>-1410000</v>
      </c>
      <c r="U39" s="128">
        <f>SUM(S39:T39)</f>
        <v>90027097</v>
      </c>
      <c r="V39" s="128">
        <v>-7551833</v>
      </c>
      <c r="W39" s="128">
        <f>SUM(U39:V39)</f>
        <v>82475264</v>
      </c>
    </row>
    <row r="40" spans="1:23" ht="15" customHeight="1">
      <c r="A40" s="153"/>
      <c r="B40" s="113" t="s">
        <v>360</v>
      </c>
      <c r="C40" s="128">
        <v>0</v>
      </c>
      <c r="D40" s="128">
        <v>0</v>
      </c>
      <c r="E40" s="128">
        <v>0</v>
      </c>
      <c r="F40" s="128">
        <v>0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  <c r="L40" s="283"/>
      <c r="M40" s="126"/>
      <c r="N40" s="118" t="s">
        <v>346</v>
      </c>
      <c r="O40" s="128">
        <v>550000</v>
      </c>
      <c r="P40" s="128">
        <v>0</v>
      </c>
      <c r="Q40" s="128">
        <f>SUM(O40:P40)</f>
        <v>550000</v>
      </c>
      <c r="R40" s="128">
        <v>0</v>
      </c>
      <c r="S40" s="128">
        <f>SUM(Q40:R40)</f>
        <v>550000</v>
      </c>
      <c r="T40" s="128">
        <v>38170301</v>
      </c>
      <c r="U40" s="128">
        <f>SUM(S40:T40)</f>
        <v>38720301</v>
      </c>
      <c r="V40" s="128">
        <v>411050</v>
      </c>
      <c r="W40" s="128">
        <f>SUM(U40:V40)</f>
        <v>39131351</v>
      </c>
    </row>
    <row r="41" spans="1:23" ht="15" customHeight="1">
      <c r="A41" s="153"/>
      <c r="B41" s="122"/>
      <c r="C41" s="138"/>
      <c r="D41" s="138"/>
      <c r="E41" s="138"/>
      <c r="F41" s="138"/>
      <c r="G41" s="138"/>
      <c r="H41" s="138"/>
      <c r="I41" s="138"/>
      <c r="J41" s="138"/>
      <c r="K41" s="138"/>
      <c r="L41" s="290"/>
      <c r="M41" s="126"/>
      <c r="N41" s="115" t="s">
        <v>347</v>
      </c>
      <c r="O41" s="128">
        <v>57879594</v>
      </c>
      <c r="P41" s="128">
        <v>-500000</v>
      </c>
      <c r="Q41" s="128">
        <f>SUM(O41:P41)</f>
        <v>57379594</v>
      </c>
      <c r="R41" s="128">
        <v>0</v>
      </c>
      <c r="S41" s="128">
        <f>SUM(Q41:R41)</f>
        <v>57379594</v>
      </c>
      <c r="T41" s="128">
        <v>-21110301</v>
      </c>
      <c r="U41" s="128">
        <f>SUM(S41:T41)</f>
        <v>36269293</v>
      </c>
      <c r="V41" s="128">
        <v>-778620</v>
      </c>
      <c r="W41" s="128">
        <f>SUM(U41:V41)</f>
        <v>35490673</v>
      </c>
    </row>
    <row r="42" spans="1:23" ht="15" customHeight="1">
      <c r="A42" s="153"/>
      <c r="B42" s="122" t="s">
        <v>253</v>
      </c>
      <c r="C42" s="138">
        <f aca="true" t="shared" si="9" ref="C42:I42">SUM(C38:C40)</f>
        <v>86185955</v>
      </c>
      <c r="D42" s="138">
        <f t="shared" si="9"/>
        <v>3706875</v>
      </c>
      <c r="E42" s="138">
        <f t="shared" si="9"/>
        <v>89892830</v>
      </c>
      <c r="F42" s="138">
        <f t="shared" si="9"/>
        <v>0</v>
      </c>
      <c r="G42" s="138">
        <f t="shared" si="9"/>
        <v>89892830</v>
      </c>
      <c r="H42" s="138">
        <f t="shared" si="9"/>
        <v>0</v>
      </c>
      <c r="I42" s="138">
        <f t="shared" si="9"/>
        <v>89892830</v>
      </c>
      <c r="J42" s="138">
        <f>SUM(J38:J40)</f>
        <v>0</v>
      </c>
      <c r="K42" s="138">
        <f>SUM(K38:K40)</f>
        <v>89892830</v>
      </c>
      <c r="L42" s="290"/>
      <c r="M42" s="127"/>
      <c r="N42" s="122" t="s">
        <v>253</v>
      </c>
      <c r="O42" s="154">
        <f aca="true" t="shared" si="10" ref="O42:U42">SUM(O38:O41)</f>
        <v>191683691</v>
      </c>
      <c r="P42" s="154">
        <f t="shared" si="10"/>
        <v>3706875</v>
      </c>
      <c r="Q42" s="154">
        <f t="shared" si="10"/>
        <v>195390566</v>
      </c>
      <c r="R42" s="154">
        <f t="shared" si="10"/>
        <v>-3717000</v>
      </c>
      <c r="S42" s="154">
        <f t="shared" si="10"/>
        <v>191673566</v>
      </c>
      <c r="T42" s="154">
        <f t="shared" si="10"/>
        <v>-3200000</v>
      </c>
      <c r="U42" s="154">
        <f t="shared" si="10"/>
        <v>188473566</v>
      </c>
      <c r="V42" s="154">
        <f>SUM(V38:V41)</f>
        <v>-10020772</v>
      </c>
      <c r="W42" s="154">
        <f>SUM(W38:W41)</f>
        <v>178452794</v>
      </c>
    </row>
    <row r="43" spans="1:23" ht="15" customHeight="1">
      <c r="A43" s="153"/>
      <c r="B43" s="122"/>
      <c r="C43" s="138"/>
      <c r="D43" s="138"/>
      <c r="E43" s="138"/>
      <c r="F43" s="138"/>
      <c r="G43" s="138"/>
      <c r="H43" s="138"/>
      <c r="I43" s="138"/>
      <c r="J43" s="138"/>
      <c r="K43" s="138"/>
      <c r="L43" s="290"/>
      <c r="M43" s="127"/>
      <c r="N43" s="122"/>
      <c r="O43" s="154"/>
      <c r="P43" s="154"/>
      <c r="Q43" s="154"/>
      <c r="R43" s="154"/>
      <c r="S43" s="154"/>
      <c r="T43" s="154"/>
      <c r="U43" s="154"/>
      <c r="V43" s="154"/>
      <c r="W43" s="154"/>
    </row>
    <row r="44" spans="1:23" ht="15" customHeight="1">
      <c r="A44" s="231" t="s">
        <v>94</v>
      </c>
      <c r="B44" s="232" t="s">
        <v>254</v>
      </c>
      <c r="C44" s="134"/>
      <c r="D44" s="134"/>
      <c r="E44" s="134"/>
      <c r="F44" s="134"/>
      <c r="G44" s="134"/>
      <c r="H44" s="134"/>
      <c r="I44" s="134"/>
      <c r="J44" s="134"/>
      <c r="K44" s="134"/>
      <c r="L44" s="291"/>
      <c r="M44" s="126" t="s">
        <v>94</v>
      </c>
      <c r="N44" s="110" t="s">
        <v>254</v>
      </c>
      <c r="O44" s="128"/>
      <c r="P44" s="128"/>
      <c r="Q44" s="128"/>
      <c r="R44" s="128"/>
      <c r="S44" s="128"/>
      <c r="T44" s="128"/>
      <c r="U44" s="128"/>
      <c r="V44" s="128"/>
      <c r="W44" s="128"/>
    </row>
    <row r="45" spans="1:23" ht="15" customHeight="1">
      <c r="A45" s="233"/>
      <c r="B45" s="234" t="s">
        <v>343</v>
      </c>
      <c r="C45" s="128">
        <v>15000</v>
      </c>
      <c r="D45" s="128">
        <v>0</v>
      </c>
      <c r="E45" s="128">
        <v>15000</v>
      </c>
      <c r="F45" s="128">
        <v>0</v>
      </c>
      <c r="G45" s="128">
        <v>15000</v>
      </c>
      <c r="H45" s="128">
        <v>0</v>
      </c>
      <c r="I45" s="128">
        <v>15000</v>
      </c>
      <c r="J45" s="128">
        <v>0</v>
      </c>
      <c r="K45" s="128">
        <v>15000</v>
      </c>
      <c r="L45" s="283"/>
      <c r="M45" s="126"/>
      <c r="N45" s="118" t="s">
        <v>432</v>
      </c>
      <c r="O45" s="128">
        <v>254000</v>
      </c>
      <c r="P45" s="128">
        <v>0</v>
      </c>
      <c r="Q45" s="128">
        <v>254000</v>
      </c>
      <c r="R45" s="128">
        <v>0</v>
      </c>
      <c r="S45" s="128">
        <v>254000</v>
      </c>
      <c r="T45" s="128">
        <v>0</v>
      </c>
      <c r="U45" s="128">
        <v>254000</v>
      </c>
      <c r="V45" s="128">
        <v>0</v>
      </c>
      <c r="W45" s="128">
        <v>254000</v>
      </c>
    </row>
    <row r="46" spans="1:23" ht="15" customHeight="1">
      <c r="A46" s="233"/>
      <c r="B46" s="235" t="s">
        <v>255</v>
      </c>
      <c r="C46" s="135">
        <f aca="true" t="shared" si="11" ref="C46:I46">C45</f>
        <v>15000</v>
      </c>
      <c r="D46" s="135">
        <f t="shared" si="11"/>
        <v>0</v>
      </c>
      <c r="E46" s="135">
        <f t="shared" si="11"/>
        <v>15000</v>
      </c>
      <c r="F46" s="135">
        <f t="shared" si="11"/>
        <v>0</v>
      </c>
      <c r="G46" s="135">
        <f t="shared" si="11"/>
        <v>15000</v>
      </c>
      <c r="H46" s="135">
        <f t="shared" si="11"/>
        <v>0</v>
      </c>
      <c r="I46" s="135">
        <f t="shared" si="11"/>
        <v>15000</v>
      </c>
      <c r="J46" s="135">
        <f>J45</f>
        <v>0</v>
      </c>
      <c r="K46" s="135">
        <f>K45</f>
        <v>15000</v>
      </c>
      <c r="L46" s="292"/>
      <c r="M46" s="126"/>
      <c r="N46" s="139" t="s">
        <v>285</v>
      </c>
      <c r="O46" s="135">
        <f aca="true" t="shared" si="12" ref="O46:U46">SUM(O45)</f>
        <v>254000</v>
      </c>
      <c r="P46" s="135">
        <f t="shared" si="12"/>
        <v>0</v>
      </c>
      <c r="Q46" s="135">
        <f t="shared" si="12"/>
        <v>254000</v>
      </c>
      <c r="R46" s="135">
        <f t="shared" si="12"/>
        <v>0</v>
      </c>
      <c r="S46" s="135">
        <f t="shared" si="12"/>
        <v>254000</v>
      </c>
      <c r="T46" s="135">
        <f t="shared" si="12"/>
        <v>0</v>
      </c>
      <c r="U46" s="135">
        <f t="shared" si="12"/>
        <v>254000</v>
      </c>
      <c r="V46" s="135">
        <f>SUM(V45)</f>
        <v>0</v>
      </c>
      <c r="W46" s="135">
        <f>SUM(W45)</f>
        <v>254000</v>
      </c>
    </row>
    <row r="47" spans="1:23" ht="15" customHeight="1">
      <c r="A47" s="236"/>
      <c r="B47" s="235"/>
      <c r="C47" s="135"/>
      <c r="D47" s="135"/>
      <c r="E47" s="135"/>
      <c r="F47" s="135"/>
      <c r="G47" s="135"/>
      <c r="H47" s="135"/>
      <c r="I47" s="135"/>
      <c r="J47" s="135"/>
      <c r="K47" s="135"/>
      <c r="L47" s="292"/>
      <c r="M47" s="126"/>
      <c r="N47" s="139"/>
      <c r="O47" s="135"/>
      <c r="P47" s="135"/>
      <c r="Q47" s="135"/>
      <c r="R47" s="135"/>
      <c r="S47" s="135"/>
      <c r="T47" s="135"/>
      <c r="U47" s="135"/>
      <c r="V47" s="135"/>
      <c r="W47" s="135"/>
    </row>
    <row r="48" spans="1:23" ht="15" customHeight="1">
      <c r="A48" s="522" t="s">
        <v>265</v>
      </c>
      <c r="B48" s="523"/>
      <c r="C48" s="131">
        <f aca="true" t="shared" si="13" ref="C48:K48">C42+C46</f>
        <v>86200955</v>
      </c>
      <c r="D48" s="131">
        <f t="shared" si="13"/>
        <v>3706875</v>
      </c>
      <c r="E48" s="131">
        <f t="shared" si="13"/>
        <v>89907830</v>
      </c>
      <c r="F48" s="131">
        <f t="shared" si="13"/>
        <v>0</v>
      </c>
      <c r="G48" s="131">
        <f t="shared" si="13"/>
        <v>89907830</v>
      </c>
      <c r="H48" s="131">
        <f t="shared" si="13"/>
        <v>0</v>
      </c>
      <c r="I48" s="131">
        <f t="shared" si="13"/>
        <v>89907830</v>
      </c>
      <c r="J48" s="131">
        <f t="shared" si="13"/>
        <v>0</v>
      </c>
      <c r="K48" s="131">
        <f t="shared" si="13"/>
        <v>89907830</v>
      </c>
      <c r="L48" s="286"/>
      <c r="M48" s="524" t="s">
        <v>266</v>
      </c>
      <c r="N48" s="525"/>
      <c r="O48" s="135">
        <f aca="true" t="shared" si="14" ref="O48:W48">O42+O46</f>
        <v>191937691</v>
      </c>
      <c r="P48" s="135">
        <f t="shared" si="14"/>
        <v>3706875</v>
      </c>
      <c r="Q48" s="135">
        <f t="shared" si="14"/>
        <v>195644566</v>
      </c>
      <c r="R48" s="135">
        <f t="shared" si="14"/>
        <v>-3717000</v>
      </c>
      <c r="S48" s="135">
        <f t="shared" si="14"/>
        <v>191927566</v>
      </c>
      <c r="T48" s="135">
        <f t="shared" si="14"/>
        <v>-3200000</v>
      </c>
      <c r="U48" s="135">
        <f t="shared" si="14"/>
        <v>188727566</v>
      </c>
      <c r="V48" s="135">
        <f t="shared" si="14"/>
        <v>-10020772</v>
      </c>
      <c r="W48" s="135">
        <f t="shared" si="14"/>
        <v>178706794</v>
      </c>
    </row>
    <row r="49" spans="1:23" ht="15" customHeight="1">
      <c r="A49" s="237"/>
      <c r="B49" s="238"/>
      <c r="C49" s="132"/>
      <c r="D49" s="132"/>
      <c r="E49" s="132"/>
      <c r="F49" s="132"/>
      <c r="G49" s="132"/>
      <c r="H49" s="132"/>
      <c r="I49" s="132"/>
      <c r="J49" s="132"/>
      <c r="K49" s="132"/>
      <c r="L49" s="287"/>
      <c r="M49" s="108"/>
      <c r="N49" s="109"/>
      <c r="O49" s="134"/>
      <c r="P49" s="134"/>
      <c r="Q49" s="134"/>
      <c r="R49" s="134"/>
      <c r="S49" s="134"/>
      <c r="T49" s="134"/>
      <c r="U49" s="134"/>
      <c r="V49" s="134"/>
      <c r="W49" s="134"/>
    </row>
    <row r="50" spans="1:23" ht="15" customHeight="1">
      <c r="A50" s="526" t="s">
        <v>361</v>
      </c>
      <c r="B50" s="527"/>
      <c r="C50" s="528"/>
      <c r="D50" s="264"/>
      <c r="E50" s="264"/>
      <c r="F50" s="264"/>
      <c r="G50" s="264"/>
      <c r="H50" s="264"/>
      <c r="I50" s="264"/>
      <c r="J50" s="264"/>
      <c r="K50" s="264"/>
      <c r="L50" s="264"/>
      <c r="M50" s="529" t="s">
        <v>267</v>
      </c>
      <c r="N50" s="521"/>
      <c r="O50" s="134"/>
      <c r="P50" s="134"/>
      <c r="Q50" s="134"/>
      <c r="R50" s="134"/>
      <c r="S50" s="134"/>
      <c r="T50" s="134"/>
      <c r="U50" s="134"/>
      <c r="V50" s="134"/>
      <c r="W50" s="134"/>
    </row>
    <row r="51" spans="1:23" ht="15" customHeight="1">
      <c r="A51" s="231" t="s">
        <v>93</v>
      </c>
      <c r="B51" s="239" t="s">
        <v>249</v>
      </c>
      <c r="C51" s="132"/>
      <c r="D51" s="132"/>
      <c r="E51" s="132"/>
      <c r="F51" s="132"/>
      <c r="G51" s="132"/>
      <c r="H51" s="132"/>
      <c r="I51" s="132"/>
      <c r="J51" s="132"/>
      <c r="K51" s="132"/>
      <c r="L51" s="287"/>
      <c r="M51" s="126" t="s">
        <v>93</v>
      </c>
      <c r="N51" s="117" t="s">
        <v>249</v>
      </c>
      <c r="O51" s="134">
        <f aca="true" t="shared" si="15" ref="O51:W51">SUM(O52:O52)</f>
        <v>0</v>
      </c>
      <c r="P51" s="134">
        <f t="shared" si="15"/>
        <v>0</v>
      </c>
      <c r="Q51" s="134">
        <f t="shared" si="15"/>
        <v>0</v>
      </c>
      <c r="R51" s="134">
        <f t="shared" si="15"/>
        <v>0</v>
      </c>
      <c r="S51" s="134">
        <f t="shared" si="15"/>
        <v>0</v>
      </c>
      <c r="T51" s="134">
        <f t="shared" si="15"/>
        <v>0</v>
      </c>
      <c r="U51" s="134">
        <f t="shared" si="15"/>
        <v>0</v>
      </c>
      <c r="V51" s="134">
        <f t="shared" si="15"/>
        <v>0</v>
      </c>
      <c r="W51" s="134">
        <f t="shared" si="15"/>
        <v>0</v>
      </c>
    </row>
    <row r="52" spans="1:23" ht="28.5" customHeight="1">
      <c r="A52" s="233"/>
      <c r="B52" s="229" t="s">
        <v>348</v>
      </c>
      <c r="C52" s="136">
        <v>88071346</v>
      </c>
      <c r="D52" s="136">
        <v>0</v>
      </c>
      <c r="E52" s="136">
        <v>88071346</v>
      </c>
      <c r="F52" s="136">
        <v>0</v>
      </c>
      <c r="G52" s="136">
        <v>88071346</v>
      </c>
      <c r="H52" s="136">
        <v>0</v>
      </c>
      <c r="I52" s="136">
        <v>88071346</v>
      </c>
      <c r="J52" s="136">
        <v>0</v>
      </c>
      <c r="K52" s="136">
        <v>88071346</v>
      </c>
      <c r="L52" s="293"/>
      <c r="M52" s="126"/>
      <c r="N52" s="230"/>
      <c r="O52" s="128"/>
      <c r="P52" s="128"/>
      <c r="Q52" s="128"/>
      <c r="R52" s="128"/>
      <c r="S52" s="128"/>
      <c r="T52" s="128"/>
      <c r="U52" s="128"/>
      <c r="V52" s="128"/>
      <c r="W52" s="128"/>
    </row>
    <row r="53" spans="1:23" ht="15" customHeight="1">
      <c r="A53" s="231" t="s">
        <v>94</v>
      </c>
      <c r="B53" s="240" t="s">
        <v>254</v>
      </c>
      <c r="C53" s="134"/>
      <c r="D53" s="134"/>
      <c r="E53" s="134"/>
      <c r="F53" s="134"/>
      <c r="G53" s="134"/>
      <c r="H53" s="134"/>
      <c r="I53" s="134"/>
      <c r="J53" s="134"/>
      <c r="K53" s="134"/>
      <c r="L53" s="291"/>
      <c r="M53" s="126" t="s">
        <v>94</v>
      </c>
      <c r="N53" s="114" t="s">
        <v>254</v>
      </c>
      <c r="O53" s="134">
        <v>0</v>
      </c>
      <c r="P53" s="134">
        <v>0</v>
      </c>
      <c r="Q53" s="134">
        <v>0</v>
      </c>
      <c r="R53" s="134">
        <v>0</v>
      </c>
      <c r="S53" s="134">
        <v>0</v>
      </c>
      <c r="T53" s="134">
        <v>0</v>
      </c>
      <c r="U53" s="134">
        <v>0</v>
      </c>
      <c r="V53" s="134">
        <v>0</v>
      </c>
      <c r="W53" s="134">
        <v>0</v>
      </c>
    </row>
    <row r="54" spans="1:23" ht="31.5" customHeight="1">
      <c r="A54" s="233"/>
      <c r="B54" s="241" t="s">
        <v>349</v>
      </c>
      <c r="C54" s="130">
        <v>2161479</v>
      </c>
      <c r="D54" s="130">
        <v>0</v>
      </c>
      <c r="E54" s="130">
        <v>2161479</v>
      </c>
      <c r="F54" s="130">
        <v>0</v>
      </c>
      <c r="G54" s="130">
        <v>2161479</v>
      </c>
      <c r="H54" s="130">
        <v>0</v>
      </c>
      <c r="I54" s="130">
        <v>2161479</v>
      </c>
      <c r="J54" s="130">
        <v>0</v>
      </c>
      <c r="K54" s="130">
        <v>2161479</v>
      </c>
      <c r="L54" s="285"/>
      <c r="M54" s="126"/>
      <c r="N54" s="114"/>
      <c r="O54" s="128"/>
      <c r="P54" s="128"/>
      <c r="Q54" s="128"/>
      <c r="R54" s="128"/>
      <c r="S54" s="128"/>
      <c r="T54" s="128"/>
      <c r="U54" s="128"/>
      <c r="V54" s="128"/>
      <c r="W54" s="128"/>
    </row>
    <row r="55" spans="1:23" ht="15" customHeight="1">
      <c r="A55" s="510" t="s">
        <v>268</v>
      </c>
      <c r="B55" s="511"/>
      <c r="C55" s="131">
        <f aca="true" t="shared" si="16" ref="C55:I55">SUM(C52:C54)</f>
        <v>90232825</v>
      </c>
      <c r="D55" s="131">
        <f t="shared" si="16"/>
        <v>0</v>
      </c>
      <c r="E55" s="131">
        <f t="shared" si="16"/>
        <v>90232825</v>
      </c>
      <c r="F55" s="131">
        <f t="shared" si="16"/>
        <v>0</v>
      </c>
      <c r="G55" s="131">
        <f t="shared" si="16"/>
        <v>90232825</v>
      </c>
      <c r="H55" s="131">
        <f t="shared" si="16"/>
        <v>0</v>
      </c>
      <c r="I55" s="131">
        <f t="shared" si="16"/>
        <v>90232825</v>
      </c>
      <c r="J55" s="131">
        <f>SUM(J52:J54)</f>
        <v>0</v>
      </c>
      <c r="K55" s="131">
        <f>SUM(K52:K54)</f>
        <v>90232825</v>
      </c>
      <c r="L55" s="286"/>
      <c r="M55" s="512" t="s">
        <v>267</v>
      </c>
      <c r="N55" s="513"/>
      <c r="O55" s="135">
        <f aca="true" t="shared" si="17" ref="O55:U55">O51+O53</f>
        <v>0</v>
      </c>
      <c r="P55" s="135">
        <f t="shared" si="17"/>
        <v>0</v>
      </c>
      <c r="Q55" s="135">
        <f t="shared" si="17"/>
        <v>0</v>
      </c>
      <c r="R55" s="135">
        <f t="shared" si="17"/>
        <v>0</v>
      </c>
      <c r="S55" s="135">
        <f t="shared" si="17"/>
        <v>0</v>
      </c>
      <c r="T55" s="135">
        <f t="shared" si="17"/>
        <v>0</v>
      </c>
      <c r="U55" s="135">
        <f t="shared" si="17"/>
        <v>0</v>
      </c>
      <c r="V55" s="135">
        <f>V51+V53</f>
        <v>0</v>
      </c>
      <c r="W55" s="135">
        <f>W51+W53</f>
        <v>0</v>
      </c>
    </row>
    <row r="56" spans="1:23" ht="15" customHeight="1">
      <c r="A56" s="242"/>
      <c r="B56" s="243"/>
      <c r="C56" s="132"/>
      <c r="D56" s="132"/>
      <c r="E56" s="132"/>
      <c r="F56" s="132"/>
      <c r="G56" s="132"/>
      <c r="H56" s="132"/>
      <c r="I56" s="132"/>
      <c r="J56" s="132"/>
      <c r="K56" s="132"/>
      <c r="L56" s="287"/>
      <c r="M56" s="137"/>
      <c r="N56" s="137"/>
      <c r="O56" s="134"/>
      <c r="P56" s="134"/>
      <c r="Q56" s="134"/>
      <c r="R56" s="134"/>
      <c r="S56" s="134"/>
      <c r="T56" s="134"/>
      <c r="U56" s="134"/>
      <c r="V56" s="134"/>
      <c r="W56" s="134"/>
    </row>
    <row r="57" spans="1:23" ht="15" customHeight="1">
      <c r="A57" s="514" t="s">
        <v>269</v>
      </c>
      <c r="B57" s="515"/>
      <c r="C57" s="256">
        <f aca="true" t="shared" si="18" ref="C57:I57">C48+C55</f>
        <v>176433780</v>
      </c>
      <c r="D57" s="256">
        <f t="shared" si="18"/>
        <v>3706875</v>
      </c>
      <c r="E57" s="256">
        <f t="shared" si="18"/>
        <v>180140655</v>
      </c>
      <c r="F57" s="256">
        <f t="shared" si="18"/>
        <v>0</v>
      </c>
      <c r="G57" s="256">
        <f t="shared" si="18"/>
        <v>180140655</v>
      </c>
      <c r="H57" s="256">
        <f t="shared" si="18"/>
        <v>0</v>
      </c>
      <c r="I57" s="256">
        <f t="shared" si="18"/>
        <v>180140655</v>
      </c>
      <c r="J57" s="256">
        <f>J48+J55</f>
        <v>0</v>
      </c>
      <c r="K57" s="256">
        <f>K48+K55</f>
        <v>180140655</v>
      </c>
      <c r="L57" s="294"/>
      <c r="M57" s="516" t="s">
        <v>274</v>
      </c>
      <c r="N57" s="515"/>
      <c r="O57" s="151">
        <f aca="true" t="shared" si="19" ref="O57:U57">O48+O55</f>
        <v>191937691</v>
      </c>
      <c r="P57" s="151">
        <f t="shared" si="19"/>
        <v>3706875</v>
      </c>
      <c r="Q57" s="151">
        <f t="shared" si="19"/>
        <v>195644566</v>
      </c>
      <c r="R57" s="151">
        <f t="shared" si="19"/>
        <v>-3717000</v>
      </c>
      <c r="S57" s="151">
        <f t="shared" si="19"/>
        <v>191927566</v>
      </c>
      <c r="T57" s="151">
        <f t="shared" si="19"/>
        <v>-3200000</v>
      </c>
      <c r="U57" s="151">
        <f t="shared" si="19"/>
        <v>188727566</v>
      </c>
      <c r="V57" s="151">
        <f>V48+V55</f>
        <v>-10020772</v>
      </c>
      <c r="W57" s="151">
        <f>W48+W55</f>
        <v>178706794</v>
      </c>
    </row>
    <row r="58" spans="1:23" ht="15" customHeight="1">
      <c r="A58" s="155"/>
      <c r="B58" s="126"/>
      <c r="C58" s="132"/>
      <c r="D58" s="132"/>
      <c r="E58" s="132"/>
      <c r="F58" s="132"/>
      <c r="G58" s="132"/>
      <c r="H58" s="132"/>
      <c r="I58" s="132"/>
      <c r="J58" s="132"/>
      <c r="K58" s="132"/>
      <c r="L58" s="287"/>
      <c r="M58" s="137"/>
      <c r="N58" s="137"/>
      <c r="O58" s="134"/>
      <c r="P58" s="134"/>
      <c r="Q58" s="134"/>
      <c r="R58" s="134"/>
      <c r="S58" s="134"/>
      <c r="T58" s="134"/>
      <c r="U58" s="134"/>
      <c r="V58" s="134"/>
      <c r="W58" s="134"/>
    </row>
    <row r="59" spans="1:23" ht="15" customHeight="1" thickBot="1">
      <c r="A59" s="517" t="s">
        <v>270</v>
      </c>
      <c r="B59" s="518"/>
      <c r="C59" s="257">
        <f aca="true" t="shared" si="20" ref="C59:K59">C33+C57</f>
        <v>459880779</v>
      </c>
      <c r="D59" s="257">
        <f t="shared" si="20"/>
        <v>3706875</v>
      </c>
      <c r="E59" s="257">
        <f t="shared" si="20"/>
        <v>475654106</v>
      </c>
      <c r="F59" s="257">
        <f t="shared" si="20"/>
        <v>7746388</v>
      </c>
      <c r="G59" s="257">
        <f t="shared" si="20"/>
        <v>483400494</v>
      </c>
      <c r="H59" s="257">
        <f t="shared" si="20"/>
        <v>0</v>
      </c>
      <c r="I59" s="257">
        <f t="shared" si="20"/>
        <v>467460848</v>
      </c>
      <c r="J59" s="257">
        <f t="shared" si="20"/>
        <v>2544167</v>
      </c>
      <c r="K59" s="257">
        <f t="shared" si="20"/>
        <v>470005015</v>
      </c>
      <c r="L59" s="481" t="s">
        <v>271</v>
      </c>
      <c r="M59" s="482"/>
      <c r="N59" s="483"/>
      <c r="O59" s="257">
        <f aca="true" t="shared" si="21" ref="O59:W59">O33+O57</f>
        <v>459880779</v>
      </c>
      <c r="P59" s="257">
        <f t="shared" si="21"/>
        <v>3706875</v>
      </c>
      <c r="Q59" s="257">
        <f t="shared" si="21"/>
        <v>680766762</v>
      </c>
      <c r="R59" s="257">
        <f t="shared" si="21"/>
        <v>13428746</v>
      </c>
      <c r="S59" s="257">
        <f t="shared" si="21"/>
        <v>694195508</v>
      </c>
      <c r="T59" s="257">
        <f t="shared" si="21"/>
        <v>0</v>
      </c>
      <c r="U59" s="257">
        <f t="shared" si="21"/>
        <v>467460848</v>
      </c>
      <c r="V59" s="257">
        <f t="shared" si="21"/>
        <v>2544167</v>
      </c>
      <c r="W59" s="257">
        <f t="shared" si="21"/>
        <v>470005015</v>
      </c>
    </row>
    <row r="60" spans="1:23" ht="12.7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</row>
    <row r="61" spans="1:23" ht="12.75">
      <c r="A61" s="141"/>
      <c r="B61" s="142" t="s">
        <v>418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</row>
  </sheetData>
  <sheetProtection/>
  <mergeCells count="25">
    <mergeCell ref="A1:W1"/>
    <mergeCell ref="A2:W2"/>
    <mergeCell ref="A7:C7"/>
    <mergeCell ref="M7:O7"/>
    <mergeCell ref="A29:B29"/>
    <mergeCell ref="M29:N29"/>
    <mergeCell ref="A5:B5"/>
    <mergeCell ref="A4:B4"/>
    <mergeCell ref="M50:N50"/>
    <mergeCell ref="A31:B31"/>
    <mergeCell ref="M31:N31"/>
    <mergeCell ref="A33:B33"/>
    <mergeCell ref="M33:N33"/>
    <mergeCell ref="A35:B35"/>
    <mergeCell ref="M35:N35"/>
    <mergeCell ref="A55:B55"/>
    <mergeCell ref="M55:N55"/>
    <mergeCell ref="A57:B57"/>
    <mergeCell ref="M57:N57"/>
    <mergeCell ref="A59:B59"/>
    <mergeCell ref="A36:B36"/>
    <mergeCell ref="M36:N36"/>
    <mergeCell ref="A48:B48"/>
    <mergeCell ref="M48:N48"/>
    <mergeCell ref="A50:C5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50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8.7109375" style="486" customWidth="1"/>
    <col min="2" max="2" width="51.8515625" style="486" customWidth="1"/>
    <col min="3" max="3" width="14.421875" style="486" customWidth="1"/>
    <col min="4" max="5" width="15.28125" style="486" customWidth="1"/>
    <col min="6" max="6" width="13.28125" style="486" customWidth="1"/>
    <col min="7" max="8" width="14.7109375" style="486" customWidth="1"/>
    <col min="9" max="9" width="13.28125" style="486" customWidth="1"/>
    <col min="10" max="10" width="13.8515625" style="486" customWidth="1"/>
    <col min="11" max="11" width="21.7109375" style="486" customWidth="1"/>
    <col min="12" max="16384" width="11.421875" style="486" customWidth="1"/>
  </cols>
  <sheetData>
    <row r="1" spans="1:11" ht="15.75">
      <c r="A1" s="563" t="s">
        <v>540</v>
      </c>
      <c r="B1" s="563"/>
      <c r="C1" s="563"/>
      <c r="D1" s="563"/>
      <c r="E1" s="563"/>
      <c r="F1" s="563"/>
      <c r="G1" s="563"/>
      <c r="H1" s="563"/>
      <c r="I1" s="563"/>
      <c r="J1" s="563"/>
      <c r="K1" s="485"/>
    </row>
    <row r="2" spans="1:11" ht="15.75">
      <c r="A2" s="485"/>
      <c r="B2" s="485"/>
      <c r="C2" s="485"/>
      <c r="D2" s="485"/>
      <c r="E2" s="485"/>
      <c r="F2" s="485"/>
      <c r="G2" s="485"/>
      <c r="H2" s="485"/>
      <c r="I2" s="485"/>
      <c r="J2" s="485"/>
      <c r="K2" s="485"/>
    </row>
    <row r="3" spans="1:11" ht="12.75">
      <c r="A3" s="487"/>
      <c r="B3" s="487"/>
      <c r="C3" s="487"/>
      <c r="D3" s="487"/>
      <c r="E3" s="487"/>
      <c r="F3" s="487"/>
      <c r="G3" s="487"/>
      <c r="H3" s="487"/>
      <c r="I3" s="487"/>
      <c r="J3" s="488"/>
      <c r="K3" s="488"/>
    </row>
    <row r="4" spans="1:11" ht="12.75">
      <c r="A4" s="487"/>
      <c r="B4" s="487"/>
      <c r="C4" s="487"/>
      <c r="D4" s="487"/>
      <c r="E4" s="487"/>
      <c r="F4" s="487"/>
      <c r="G4" s="487"/>
      <c r="H4" s="487"/>
      <c r="I4" s="487"/>
      <c r="J4" s="488"/>
      <c r="K4" s="488"/>
    </row>
    <row r="5" spans="1:11" ht="15" customHeight="1">
      <c r="A5" s="541" t="s">
        <v>579</v>
      </c>
      <c r="B5" s="541"/>
      <c r="C5" s="487"/>
      <c r="D5" s="487"/>
      <c r="E5" s="487"/>
      <c r="F5" s="487"/>
      <c r="G5" s="487"/>
      <c r="H5" s="487"/>
      <c r="I5" s="487"/>
      <c r="J5" s="488"/>
      <c r="K5" s="488"/>
    </row>
    <row r="6" spans="1:12" ht="15.75" thickBot="1">
      <c r="A6" s="540" t="s">
        <v>561</v>
      </c>
      <c r="B6" s="540"/>
      <c r="C6" s="487"/>
      <c r="D6" s="487"/>
      <c r="E6" s="489"/>
      <c r="F6" s="489"/>
      <c r="G6" s="489"/>
      <c r="H6" s="489"/>
      <c r="I6" s="564"/>
      <c r="J6" s="564"/>
      <c r="K6" s="506" t="s">
        <v>320</v>
      </c>
      <c r="L6" s="507"/>
    </row>
    <row r="7" spans="1:11" ht="23.25" customHeight="1">
      <c r="A7" s="560" t="s">
        <v>541</v>
      </c>
      <c r="B7" s="565" t="s">
        <v>542</v>
      </c>
      <c r="C7" s="566" t="s">
        <v>543</v>
      </c>
      <c r="D7" s="567"/>
      <c r="E7" s="567"/>
      <c r="F7" s="568"/>
      <c r="G7" s="566" t="s">
        <v>544</v>
      </c>
      <c r="H7" s="567"/>
      <c r="I7" s="567"/>
      <c r="J7" s="568"/>
      <c r="K7" s="560" t="s">
        <v>566</v>
      </c>
    </row>
    <row r="8" spans="1:11" ht="15" customHeight="1">
      <c r="A8" s="561"/>
      <c r="B8" s="561"/>
      <c r="C8" s="561" t="s">
        <v>545</v>
      </c>
      <c r="D8" s="561" t="s">
        <v>546</v>
      </c>
      <c r="E8" s="561" t="s">
        <v>547</v>
      </c>
      <c r="F8" s="561" t="s">
        <v>548</v>
      </c>
      <c r="G8" s="561" t="s">
        <v>284</v>
      </c>
      <c r="H8" s="490" t="s">
        <v>549</v>
      </c>
      <c r="I8" s="561" t="s">
        <v>550</v>
      </c>
      <c r="J8" s="561" t="s">
        <v>548</v>
      </c>
      <c r="K8" s="561"/>
    </row>
    <row r="9" spans="1:11" ht="15" customHeight="1">
      <c r="A9" s="561"/>
      <c r="B9" s="561"/>
      <c r="C9" s="561"/>
      <c r="D9" s="561"/>
      <c r="E9" s="561"/>
      <c r="F9" s="561"/>
      <c r="G9" s="561"/>
      <c r="H9" s="490" t="s">
        <v>551</v>
      </c>
      <c r="I9" s="561"/>
      <c r="J9" s="561"/>
      <c r="K9" s="561"/>
    </row>
    <row r="10" spans="1:11" ht="15" customHeight="1">
      <c r="A10" s="562"/>
      <c r="B10" s="562"/>
      <c r="C10" s="562"/>
      <c r="D10" s="562"/>
      <c r="E10" s="562"/>
      <c r="F10" s="562"/>
      <c r="G10" s="562"/>
      <c r="H10" s="491" t="s">
        <v>552</v>
      </c>
      <c r="I10" s="562"/>
      <c r="J10" s="562"/>
      <c r="K10" s="562"/>
    </row>
    <row r="11" spans="1:11" s="498" customFormat="1" ht="39.75" customHeight="1">
      <c r="A11" s="492" t="s">
        <v>115</v>
      </c>
      <c r="B11" s="493" t="s">
        <v>553</v>
      </c>
      <c r="C11" s="494">
        <v>11287503</v>
      </c>
      <c r="D11" s="495">
        <v>0</v>
      </c>
      <c r="E11" s="496">
        <v>11287503</v>
      </c>
      <c r="F11" s="496">
        <v>0</v>
      </c>
      <c r="G11" s="497">
        <f aca="true" t="shared" si="0" ref="G11:G16">SUM(H11:J11)</f>
        <v>11287503</v>
      </c>
      <c r="H11" s="496">
        <v>0</v>
      </c>
      <c r="I11" s="496">
        <v>4629123</v>
      </c>
      <c r="J11" s="496">
        <f>E11-I11</f>
        <v>6658380</v>
      </c>
      <c r="K11" s="504"/>
    </row>
    <row r="12" spans="1:11" s="498" customFormat="1" ht="39.75" customHeight="1">
      <c r="A12" s="492" t="s">
        <v>116</v>
      </c>
      <c r="B12" s="493" t="s">
        <v>554</v>
      </c>
      <c r="C12" s="494">
        <v>10516770</v>
      </c>
      <c r="D12" s="495">
        <v>0</v>
      </c>
      <c r="E12" s="496">
        <v>10516770</v>
      </c>
      <c r="F12" s="496">
        <v>0</v>
      </c>
      <c r="G12" s="497">
        <f t="shared" si="0"/>
        <v>10516770</v>
      </c>
      <c r="H12" s="496">
        <v>0</v>
      </c>
      <c r="I12" s="496">
        <v>5658500</v>
      </c>
      <c r="J12" s="496">
        <f>E12-I12</f>
        <v>4858270</v>
      </c>
      <c r="K12" s="504"/>
    </row>
    <row r="13" spans="1:11" s="498" customFormat="1" ht="39.75" customHeight="1">
      <c r="A13" s="492" t="s">
        <v>117</v>
      </c>
      <c r="B13" s="493" t="s">
        <v>555</v>
      </c>
      <c r="C13" s="494">
        <v>37747229</v>
      </c>
      <c r="D13" s="495">
        <v>37747229</v>
      </c>
      <c r="E13" s="496">
        <v>0</v>
      </c>
      <c r="F13" s="496">
        <v>0</v>
      </c>
      <c r="G13" s="497">
        <f t="shared" si="0"/>
        <v>34930520</v>
      </c>
      <c r="H13" s="496">
        <v>15000000</v>
      </c>
      <c r="I13" s="496">
        <v>9965500</v>
      </c>
      <c r="J13" s="496">
        <v>9965020</v>
      </c>
      <c r="K13" s="504"/>
    </row>
    <row r="14" spans="1:11" s="498" customFormat="1" ht="50.25" customHeight="1">
      <c r="A14" s="492" t="s">
        <v>118</v>
      </c>
      <c r="B14" s="493" t="s">
        <v>556</v>
      </c>
      <c r="C14" s="494">
        <v>41110301</v>
      </c>
      <c r="D14" s="495">
        <v>0</v>
      </c>
      <c r="E14" s="496">
        <v>0</v>
      </c>
      <c r="F14" s="496">
        <v>0</v>
      </c>
      <c r="G14" s="497">
        <v>41110301</v>
      </c>
      <c r="H14" s="496">
        <v>0</v>
      </c>
      <c r="I14" s="496">
        <v>41110301</v>
      </c>
      <c r="J14" s="496">
        <f>C14-G14</f>
        <v>0</v>
      </c>
      <c r="K14" s="504" t="s">
        <v>567</v>
      </c>
    </row>
    <row r="15" spans="1:11" s="498" customFormat="1" ht="39.75" customHeight="1">
      <c r="A15" s="492" t="s">
        <v>119</v>
      </c>
      <c r="B15" s="493" t="s">
        <v>557</v>
      </c>
      <c r="C15" s="494">
        <v>0</v>
      </c>
      <c r="D15" s="495">
        <v>0</v>
      </c>
      <c r="E15" s="496">
        <v>15300933</v>
      </c>
      <c r="F15" s="496">
        <v>0</v>
      </c>
      <c r="G15" s="497">
        <f t="shared" si="0"/>
        <v>17344097</v>
      </c>
      <c r="H15" s="496">
        <v>0</v>
      </c>
      <c r="I15" s="496">
        <v>17344097</v>
      </c>
      <c r="J15" s="496">
        <v>0</v>
      </c>
      <c r="K15" s="504"/>
    </row>
    <row r="16" spans="1:11" s="498" customFormat="1" ht="39.75" customHeight="1">
      <c r="A16" s="492" t="s">
        <v>120</v>
      </c>
      <c r="B16" s="493" t="s">
        <v>558</v>
      </c>
      <c r="C16" s="494">
        <v>0</v>
      </c>
      <c r="D16" s="495">
        <v>0</v>
      </c>
      <c r="E16" s="496">
        <v>49000000</v>
      </c>
      <c r="F16" s="496">
        <v>0</v>
      </c>
      <c r="G16" s="497">
        <f t="shared" si="0"/>
        <v>55000000</v>
      </c>
      <c r="H16" s="496">
        <v>0</v>
      </c>
      <c r="I16" s="496">
        <v>55000000</v>
      </c>
      <c r="J16" s="496">
        <v>0</v>
      </c>
      <c r="K16" s="504"/>
    </row>
    <row r="17" spans="1:11" ht="39.75" customHeight="1">
      <c r="A17" s="499"/>
      <c r="B17" s="500" t="s">
        <v>559</v>
      </c>
      <c r="C17" s="501">
        <f>SUM(C11:C16)</f>
        <v>100661803</v>
      </c>
      <c r="D17" s="501">
        <f aca="true" t="shared" si="1" ref="D17:J17">SUM(D11:D16)</f>
        <v>37747229</v>
      </c>
      <c r="E17" s="501">
        <f t="shared" si="1"/>
        <v>86105206</v>
      </c>
      <c r="F17" s="501">
        <f t="shared" si="1"/>
        <v>0</v>
      </c>
      <c r="G17" s="501">
        <f t="shared" si="1"/>
        <v>170189191</v>
      </c>
      <c r="H17" s="501">
        <f t="shared" si="1"/>
        <v>15000000</v>
      </c>
      <c r="I17" s="501">
        <f t="shared" si="1"/>
        <v>133707521</v>
      </c>
      <c r="J17" s="501">
        <f t="shared" si="1"/>
        <v>21481670</v>
      </c>
      <c r="K17" s="505"/>
    </row>
    <row r="18" spans="2:8" ht="39.75" customHeight="1">
      <c r="B18" s="502"/>
      <c r="C18" s="502"/>
      <c r="D18" s="502"/>
      <c r="E18" s="502"/>
      <c r="F18" s="502"/>
      <c r="G18" s="502"/>
      <c r="H18" s="502"/>
    </row>
    <row r="19" ht="39.75" customHeight="1"/>
    <row r="50" ht="12.75">
      <c r="L50" s="503"/>
    </row>
  </sheetData>
  <sheetProtection/>
  <mergeCells count="16">
    <mergeCell ref="D8:D10"/>
    <mergeCell ref="E8:E10"/>
    <mergeCell ref="F8:F10"/>
    <mergeCell ref="G8:G10"/>
    <mergeCell ref="I8:I10"/>
    <mergeCell ref="J8:J10"/>
    <mergeCell ref="K7:K10"/>
    <mergeCell ref="A5:B5"/>
    <mergeCell ref="A6:B6"/>
    <mergeCell ref="A1:J1"/>
    <mergeCell ref="I6:J6"/>
    <mergeCell ref="A7:A10"/>
    <mergeCell ref="B7:B10"/>
    <mergeCell ref="C7:F7"/>
    <mergeCell ref="G7:J7"/>
    <mergeCell ref="C8:C10"/>
  </mergeCells>
  <printOptions horizontalCentered="1"/>
  <pageMargins left="0.2362204724409449" right="0.2362204724409449" top="1.3385826771653544" bottom="0.1968503937007874" header="0.5905511811023623" footer="0.1968503937007874"/>
  <pageSetup fitToHeight="1" fitToWidth="1" horizontalDpi="600" verticalDpi="600" orientation="landscape" paperSize="9" scale="7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32"/>
  <sheetViews>
    <sheetView zoomScale="80" zoomScaleNormal="80" zoomScaleSheetLayoutView="90" zoomScalePageLayoutView="0" workbookViewId="0" topLeftCell="A1">
      <selection activeCell="A4" sqref="A4:C4"/>
    </sheetView>
  </sheetViews>
  <sheetFormatPr defaultColWidth="9.140625" defaultRowHeight="12.75"/>
  <cols>
    <col min="1" max="1" width="3.00390625" style="156" customWidth="1"/>
    <col min="2" max="2" width="33.421875" style="156" customWidth="1"/>
    <col min="3" max="6" width="14.7109375" style="156" customWidth="1"/>
    <col min="7" max="8" width="15.28125" style="156" customWidth="1"/>
    <col min="9" max="9" width="16.00390625" style="156" customWidth="1"/>
    <col min="10" max="10" width="15.421875" style="156" customWidth="1"/>
    <col min="11" max="11" width="15.140625" style="156" customWidth="1"/>
    <col min="12" max="12" width="16.00390625" style="156" customWidth="1"/>
    <col min="13" max="14" width="15.140625" style="156" customWidth="1"/>
    <col min="15" max="15" width="15.00390625" style="156" customWidth="1"/>
    <col min="16" max="16384" width="11.421875" style="156" customWidth="1"/>
  </cols>
  <sheetData>
    <row r="1" spans="1:20" s="204" customFormat="1" ht="15.75">
      <c r="A1" s="569" t="s">
        <v>363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211"/>
      <c r="Q1" s="211"/>
      <c r="R1" s="211"/>
      <c r="S1" s="211"/>
      <c r="T1" s="211"/>
    </row>
    <row r="2" spans="1:20" s="204" customFormat="1" ht="15.7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11"/>
      <c r="Q2" s="211"/>
      <c r="R2" s="211"/>
      <c r="S2" s="211"/>
      <c r="T2" s="211"/>
    </row>
    <row r="3" spans="1:15" s="204" customFormat="1" ht="15" customHeight="1">
      <c r="A3" s="541" t="s">
        <v>580</v>
      </c>
      <c r="B3" s="541"/>
      <c r="C3" s="588"/>
      <c r="D3" s="588"/>
      <c r="O3" s="212"/>
    </row>
    <row r="4" spans="1:15" s="204" customFormat="1" ht="15.75" customHeight="1">
      <c r="A4" s="571" t="s">
        <v>476</v>
      </c>
      <c r="B4" s="571"/>
      <c r="C4" s="571"/>
      <c r="D4" s="210"/>
      <c r="N4" s="570" t="s">
        <v>320</v>
      </c>
      <c r="O4" s="570"/>
    </row>
    <row r="5" spans="1:15" ht="27.75" customHeight="1">
      <c r="A5" s="168" t="s">
        <v>286</v>
      </c>
      <c r="B5" s="169" t="s">
        <v>194</v>
      </c>
      <c r="C5" s="169" t="s">
        <v>287</v>
      </c>
      <c r="D5" s="169" t="s">
        <v>288</v>
      </c>
      <c r="E5" s="169" t="s">
        <v>289</v>
      </c>
      <c r="F5" s="169" t="s">
        <v>290</v>
      </c>
      <c r="G5" s="169" t="s">
        <v>291</v>
      </c>
      <c r="H5" s="169" t="s">
        <v>292</v>
      </c>
      <c r="I5" s="169" t="s">
        <v>293</v>
      </c>
      <c r="J5" s="169" t="s">
        <v>294</v>
      </c>
      <c r="K5" s="169" t="s">
        <v>295</v>
      </c>
      <c r="L5" s="169" t="s">
        <v>296</v>
      </c>
      <c r="M5" s="169" t="s">
        <v>297</v>
      </c>
      <c r="N5" s="169" t="s">
        <v>298</v>
      </c>
      <c r="O5" s="169" t="s">
        <v>284</v>
      </c>
    </row>
    <row r="6" spans="1:15" ht="27.75" customHeight="1">
      <c r="A6" s="170"/>
      <c r="B6" s="171" t="s">
        <v>299</v>
      </c>
      <c r="C6" s="245">
        <v>98160037</v>
      </c>
      <c r="D6" s="245">
        <f>C27</f>
        <v>80285909</v>
      </c>
      <c r="E6" s="245">
        <f aca="true" t="shared" si="0" ref="E6:N6">D27</f>
        <v>74055177</v>
      </c>
      <c r="F6" s="245">
        <f t="shared" si="0"/>
        <v>99417636</v>
      </c>
      <c r="G6" s="245">
        <f t="shared" si="0"/>
        <v>86159578</v>
      </c>
      <c r="H6" s="245">
        <f t="shared" si="0"/>
        <v>74844843</v>
      </c>
      <c r="I6" s="245">
        <f t="shared" si="0"/>
        <v>55700444</v>
      </c>
      <c r="J6" s="245">
        <f t="shared" si="0"/>
        <v>60461479</v>
      </c>
      <c r="K6" s="245">
        <f t="shared" si="0"/>
        <v>12630443</v>
      </c>
      <c r="L6" s="245">
        <f t="shared" si="0"/>
        <v>44093250</v>
      </c>
      <c r="M6" s="245">
        <f t="shared" si="0"/>
        <v>35471057</v>
      </c>
      <c r="N6" s="245">
        <f t="shared" si="0"/>
        <v>30128864</v>
      </c>
      <c r="O6" s="261"/>
    </row>
    <row r="7" spans="1:15" ht="22.5" customHeight="1">
      <c r="A7" s="172" t="s">
        <v>115</v>
      </c>
      <c r="B7" s="173" t="s">
        <v>26</v>
      </c>
      <c r="C7" s="245">
        <v>2325500</v>
      </c>
      <c r="D7" s="245">
        <v>2325500</v>
      </c>
      <c r="E7" s="245">
        <v>2325500</v>
      </c>
      <c r="F7" s="245">
        <v>2325500</v>
      </c>
      <c r="G7" s="245">
        <v>2325500</v>
      </c>
      <c r="H7" s="245">
        <v>2325500</v>
      </c>
      <c r="I7" s="245">
        <v>2325500</v>
      </c>
      <c r="J7" s="245">
        <v>2325500</v>
      </c>
      <c r="K7" s="245">
        <v>2325500</v>
      </c>
      <c r="L7" s="245">
        <v>2345500</v>
      </c>
      <c r="M7" s="245">
        <v>2345500</v>
      </c>
      <c r="N7" s="245">
        <v>2335500</v>
      </c>
      <c r="O7" s="262">
        <f aca="true" t="shared" si="1" ref="O7:O13">SUM(C7:N7)</f>
        <v>27956000</v>
      </c>
    </row>
    <row r="8" spans="1:15" ht="21.75" customHeight="1">
      <c r="A8" s="172" t="s">
        <v>116</v>
      </c>
      <c r="B8" s="173" t="s">
        <v>15</v>
      </c>
      <c r="C8" s="245">
        <v>100000</v>
      </c>
      <c r="D8" s="245">
        <v>80000</v>
      </c>
      <c r="E8" s="245">
        <v>29500000</v>
      </c>
      <c r="F8" s="245">
        <v>670000</v>
      </c>
      <c r="G8" s="245">
        <v>500000</v>
      </c>
      <c r="H8" s="245">
        <v>50000</v>
      </c>
      <c r="I8" s="245">
        <v>50000</v>
      </c>
      <c r="J8" s="245">
        <v>50000</v>
      </c>
      <c r="K8" s="245">
        <v>40000000</v>
      </c>
      <c r="L8" s="245">
        <v>800000</v>
      </c>
      <c r="M8" s="245">
        <v>600000</v>
      </c>
      <c r="N8" s="245">
        <v>10050000</v>
      </c>
      <c r="O8" s="262">
        <f t="shared" si="1"/>
        <v>82450000</v>
      </c>
    </row>
    <row r="9" spans="1:15" ht="34.5" customHeight="1">
      <c r="A9" s="172" t="s">
        <v>117</v>
      </c>
      <c r="B9" s="173" t="s">
        <v>350</v>
      </c>
      <c r="C9" s="245">
        <v>14420083</v>
      </c>
      <c r="D9" s="245">
        <v>14420086</v>
      </c>
      <c r="E9" s="245">
        <f>14420083+3873194</f>
        <v>18293277</v>
      </c>
      <c r="F9" s="245">
        <v>14420083</v>
      </c>
      <c r="G9" s="245">
        <v>14420083</v>
      </c>
      <c r="H9" s="245">
        <v>14420083</v>
      </c>
      <c r="I9" s="245">
        <v>14420083</v>
      </c>
      <c r="J9" s="245">
        <v>14420083</v>
      </c>
      <c r="K9" s="245">
        <f>14420083+623542</f>
        <v>15043625</v>
      </c>
      <c r="L9" s="245">
        <f>14420083+623542</f>
        <v>15043625</v>
      </c>
      <c r="M9" s="245">
        <f>14420083+623542</f>
        <v>15043625</v>
      </c>
      <c r="N9" s="245">
        <f>14420083+623541</f>
        <v>15043624</v>
      </c>
      <c r="O9" s="262">
        <f t="shared" si="1"/>
        <v>179408360</v>
      </c>
    </row>
    <row r="10" spans="1:15" ht="33.75" customHeight="1">
      <c r="A10" s="172" t="s">
        <v>118</v>
      </c>
      <c r="B10" s="173" t="s">
        <v>41</v>
      </c>
      <c r="C10" s="245"/>
      <c r="D10" s="245">
        <v>10000</v>
      </c>
      <c r="E10" s="245"/>
      <c r="F10" s="245"/>
      <c r="G10" s="245"/>
      <c r="H10" s="245"/>
      <c r="I10" s="245"/>
      <c r="J10" s="245"/>
      <c r="K10" s="245">
        <v>10000</v>
      </c>
      <c r="L10" s="245">
        <v>10000</v>
      </c>
      <c r="M10" s="245">
        <v>10000</v>
      </c>
      <c r="N10" s="245">
        <v>10000</v>
      </c>
      <c r="O10" s="262">
        <f t="shared" si="1"/>
        <v>50000</v>
      </c>
    </row>
    <row r="11" spans="1:15" ht="33.75" customHeight="1">
      <c r="A11" s="172" t="s">
        <v>119</v>
      </c>
      <c r="B11" s="244" t="s">
        <v>39</v>
      </c>
      <c r="C11" s="245"/>
      <c r="D11" s="245"/>
      <c r="E11" s="245">
        <v>15000</v>
      </c>
      <c r="F11" s="245"/>
      <c r="G11" s="245"/>
      <c r="H11" s="245"/>
      <c r="I11" s="245"/>
      <c r="J11" s="245"/>
      <c r="K11" s="245"/>
      <c r="L11" s="245"/>
      <c r="M11" s="245"/>
      <c r="N11" s="245"/>
      <c r="O11" s="262">
        <f>SUM(C11:N11)</f>
        <v>15000</v>
      </c>
    </row>
    <row r="12" spans="1:15" ht="33.75" customHeight="1">
      <c r="A12" s="172" t="s">
        <v>120</v>
      </c>
      <c r="B12" s="244" t="s">
        <v>394</v>
      </c>
      <c r="C12" s="245"/>
      <c r="D12" s="245"/>
      <c r="E12" s="245"/>
      <c r="F12" s="245">
        <v>15381682</v>
      </c>
      <c r="G12" s="245">
        <v>49000000</v>
      </c>
      <c r="H12" s="245">
        <v>11287503</v>
      </c>
      <c r="I12" s="245">
        <v>10516770</v>
      </c>
      <c r="J12" s="245"/>
      <c r="K12" s="245"/>
      <c r="L12" s="245"/>
      <c r="M12" s="245">
        <v>3706875</v>
      </c>
      <c r="N12" s="245"/>
      <c r="O12" s="262">
        <f>SUM(C12:N12)</f>
        <v>89892830</v>
      </c>
    </row>
    <row r="13" spans="1:15" ht="33" customHeight="1">
      <c r="A13" s="172" t="s">
        <v>121</v>
      </c>
      <c r="B13" s="244" t="s">
        <v>351</v>
      </c>
      <c r="C13" s="245">
        <v>90232825</v>
      </c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62">
        <f t="shared" si="1"/>
        <v>90232825</v>
      </c>
    </row>
    <row r="14" spans="1:15" s="202" customFormat="1" ht="27.75" customHeight="1">
      <c r="A14" s="199"/>
      <c r="B14" s="200" t="s">
        <v>300</v>
      </c>
      <c r="C14" s="201">
        <f aca="true" t="shared" si="2" ref="C14:N14">SUM(C7:C13)</f>
        <v>107078408</v>
      </c>
      <c r="D14" s="201">
        <f t="shared" si="2"/>
        <v>16835586</v>
      </c>
      <c r="E14" s="201">
        <f t="shared" si="2"/>
        <v>50133777</v>
      </c>
      <c r="F14" s="201">
        <f t="shared" si="2"/>
        <v>32797265</v>
      </c>
      <c r="G14" s="201">
        <f t="shared" si="2"/>
        <v>66245583</v>
      </c>
      <c r="H14" s="201">
        <f t="shared" si="2"/>
        <v>28083086</v>
      </c>
      <c r="I14" s="201">
        <f t="shared" si="2"/>
        <v>27312353</v>
      </c>
      <c r="J14" s="201">
        <f t="shared" si="2"/>
        <v>16795583</v>
      </c>
      <c r="K14" s="201">
        <f t="shared" si="2"/>
        <v>57379125</v>
      </c>
      <c r="L14" s="201">
        <f t="shared" si="2"/>
        <v>18199125</v>
      </c>
      <c r="M14" s="201">
        <f t="shared" si="2"/>
        <v>21706000</v>
      </c>
      <c r="N14" s="201">
        <f t="shared" si="2"/>
        <v>27439124</v>
      </c>
      <c r="O14" s="263">
        <f>SUM(O7:O13)</f>
        <v>470005015</v>
      </c>
    </row>
    <row r="15" spans="1:15" ht="27.75" customHeight="1">
      <c r="A15" s="170"/>
      <c r="B15" s="171" t="s">
        <v>99</v>
      </c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61"/>
    </row>
    <row r="16" spans="1:15" ht="27.75" customHeight="1">
      <c r="A16" s="172" t="s">
        <v>122</v>
      </c>
      <c r="B16" s="174" t="s">
        <v>51</v>
      </c>
      <c r="C16" s="247">
        <v>8678303</v>
      </c>
      <c r="D16" s="247">
        <v>8678303</v>
      </c>
      <c r="E16" s="247">
        <v>8678303</v>
      </c>
      <c r="F16" s="247">
        <f>8678303+2803646</f>
        <v>11481949</v>
      </c>
      <c r="G16" s="247">
        <v>8678303</v>
      </c>
      <c r="H16" s="247">
        <f>8678303+810990</f>
        <v>9489293</v>
      </c>
      <c r="I16" s="247">
        <f>8678303+250000</f>
        <v>8928303</v>
      </c>
      <c r="J16" s="247">
        <f>8678303+400000</f>
        <v>9078303</v>
      </c>
      <c r="K16" s="247">
        <f>8678303+600000</f>
        <v>9278303</v>
      </c>
      <c r="L16" s="247">
        <f>8678303+600000</f>
        <v>9278303</v>
      </c>
      <c r="M16" s="247">
        <f>8678303+475000</f>
        <v>9153303</v>
      </c>
      <c r="N16" s="247">
        <v>8678303</v>
      </c>
      <c r="O16" s="262">
        <f aca="true" t="shared" si="3" ref="O16:O23">SUM(C16:N16)</f>
        <v>110079272</v>
      </c>
    </row>
    <row r="17" spans="1:15" ht="27.75" customHeight="1">
      <c r="A17" s="172" t="s">
        <v>123</v>
      </c>
      <c r="B17" s="174" t="s">
        <v>301</v>
      </c>
      <c r="C17" s="247">
        <v>1954707</v>
      </c>
      <c r="D17" s="247">
        <v>1954707</v>
      </c>
      <c r="E17" s="247">
        <v>1954707</v>
      </c>
      <c r="F17" s="247">
        <f>1954707+566196</f>
        <v>2520903</v>
      </c>
      <c r="G17" s="247">
        <v>1954707</v>
      </c>
      <c r="H17" s="247">
        <f>1954707+142329</f>
        <v>2097036</v>
      </c>
      <c r="I17" s="247">
        <f>1954707+35000</f>
        <v>1989707</v>
      </c>
      <c r="J17" s="247">
        <f>1954707+75000</f>
        <v>2029707</v>
      </c>
      <c r="K17" s="247">
        <f>1954707+100000</f>
        <v>2054707</v>
      </c>
      <c r="L17" s="247">
        <f>1954707+100000</f>
        <v>2054707</v>
      </c>
      <c r="M17" s="247">
        <f>1954707+100000</f>
        <v>2054707</v>
      </c>
      <c r="N17" s="247">
        <f>1954711+61000</f>
        <v>2015711</v>
      </c>
      <c r="O17" s="262">
        <f>SUM(C17:N17)</f>
        <v>24636013</v>
      </c>
    </row>
    <row r="18" spans="1:15" ht="27.75" customHeight="1">
      <c r="A18" s="172" t="s">
        <v>196</v>
      </c>
      <c r="B18" s="175" t="s">
        <v>66</v>
      </c>
      <c r="C18" s="247">
        <v>7193289</v>
      </c>
      <c r="D18" s="247">
        <v>7193289</v>
      </c>
      <c r="E18" s="247">
        <v>7193289</v>
      </c>
      <c r="F18" s="247">
        <v>7193289</v>
      </c>
      <c r="G18" s="247">
        <v>7193289</v>
      </c>
      <c r="H18" s="247">
        <v>7193289</v>
      </c>
      <c r="I18" s="247">
        <v>7193289</v>
      </c>
      <c r="J18" s="247">
        <v>7193289</v>
      </c>
      <c r="K18" s="247">
        <v>7193289</v>
      </c>
      <c r="L18" s="247">
        <v>7193289</v>
      </c>
      <c r="M18" s="247">
        <v>7193289</v>
      </c>
      <c r="N18" s="247">
        <v>7193285</v>
      </c>
      <c r="O18" s="262">
        <f t="shared" si="3"/>
        <v>86319464</v>
      </c>
    </row>
    <row r="19" spans="1:15" ht="27.75" customHeight="1">
      <c r="A19" s="172" t="s">
        <v>197</v>
      </c>
      <c r="B19" s="176" t="s">
        <v>81</v>
      </c>
      <c r="C19" s="247">
        <v>300000</v>
      </c>
      <c r="D19" s="247">
        <v>50000</v>
      </c>
      <c r="E19" s="247">
        <v>50000</v>
      </c>
      <c r="F19" s="247">
        <f>50000</f>
        <v>50000</v>
      </c>
      <c r="G19" s="247">
        <v>90000</v>
      </c>
      <c r="H19" s="247">
        <v>50000</v>
      </c>
      <c r="I19" s="247">
        <v>50000</v>
      </c>
      <c r="J19" s="247">
        <v>825000</v>
      </c>
      <c r="K19" s="247">
        <v>1000000</v>
      </c>
      <c r="L19" s="247">
        <v>2000000</v>
      </c>
      <c r="M19" s="247">
        <v>50000</v>
      </c>
      <c r="N19" s="247">
        <v>1800000</v>
      </c>
      <c r="O19" s="262">
        <f t="shared" si="3"/>
        <v>6315000</v>
      </c>
    </row>
    <row r="20" spans="1:15" ht="27.75" customHeight="1">
      <c r="A20" s="172" t="s">
        <v>198</v>
      </c>
      <c r="B20" s="176" t="s">
        <v>244</v>
      </c>
      <c r="C20" s="247">
        <v>4390019</v>
      </c>
      <c r="D20" s="247">
        <v>4390019</v>
      </c>
      <c r="E20" s="247">
        <v>4390019</v>
      </c>
      <c r="F20" s="247">
        <f>4390019+75066</f>
        <v>4465085</v>
      </c>
      <c r="G20" s="247">
        <f>4390019+3717000</f>
        <v>8107019</v>
      </c>
      <c r="H20" s="247">
        <v>4390019</v>
      </c>
      <c r="I20" s="247">
        <v>4390019</v>
      </c>
      <c r="J20" s="247">
        <f>4390019+3200000</f>
        <v>7590019</v>
      </c>
      <c r="K20" s="247">
        <v>4390019</v>
      </c>
      <c r="L20" s="247">
        <v>4390019</v>
      </c>
      <c r="M20" s="247">
        <v>4390019</v>
      </c>
      <c r="N20" s="247">
        <v>4390016</v>
      </c>
      <c r="O20" s="262">
        <f t="shared" si="3"/>
        <v>59672291</v>
      </c>
    </row>
    <row r="21" spans="1:15" ht="27.75" customHeight="1">
      <c r="A21" s="172" t="s">
        <v>199</v>
      </c>
      <c r="B21" s="175" t="s">
        <v>84</v>
      </c>
      <c r="C21" s="247"/>
      <c r="D21" s="247"/>
      <c r="E21" s="247">
        <f>200000+400000</f>
        <v>600000</v>
      </c>
      <c r="F21" s="247"/>
      <c r="G21" s="247">
        <v>254000</v>
      </c>
      <c r="H21" s="247">
        <f>15000000-951369</f>
        <v>14048631</v>
      </c>
      <c r="I21" s="247"/>
      <c r="J21" s="247"/>
      <c r="K21" s="247"/>
      <c r="L21" s="247"/>
      <c r="M21" s="247">
        <v>4206875</v>
      </c>
      <c r="N21" s="247">
        <f>2000000+500000</f>
        <v>2500000</v>
      </c>
      <c r="O21" s="262">
        <f t="shared" si="3"/>
        <v>21609506</v>
      </c>
    </row>
    <row r="22" spans="1:15" ht="27.75" customHeight="1">
      <c r="A22" s="172" t="s">
        <v>200</v>
      </c>
      <c r="B22" s="175" t="s">
        <v>86</v>
      </c>
      <c r="C22" s="247"/>
      <c r="D22" s="247">
        <v>800000</v>
      </c>
      <c r="E22" s="247">
        <v>1905000</v>
      </c>
      <c r="F22" s="247">
        <f>3000000+17344097</f>
        <v>20344097</v>
      </c>
      <c r="G22" s="247">
        <f>55000000-3717000</f>
        <v>51283000</v>
      </c>
      <c r="H22" s="247">
        <f>15000000+200000-1060000-650000+300000-7551833</f>
        <v>6238167</v>
      </c>
      <c r="I22" s="247"/>
      <c r="J22" s="247"/>
      <c r="K22" s="247"/>
      <c r="L22" s="247">
        <v>1905000</v>
      </c>
      <c r="M22" s="247"/>
      <c r="N22" s="247"/>
      <c r="O22" s="262">
        <f t="shared" si="3"/>
        <v>82475264</v>
      </c>
    </row>
    <row r="23" spans="1:15" ht="27.75" customHeight="1">
      <c r="A23" s="172" t="s">
        <v>202</v>
      </c>
      <c r="B23" s="175" t="s">
        <v>179</v>
      </c>
      <c r="C23" s="247"/>
      <c r="D23" s="247"/>
      <c r="E23" s="247"/>
      <c r="F23" s="247"/>
      <c r="G23" s="247"/>
      <c r="H23" s="247">
        <f>810000+411050</f>
        <v>1221050</v>
      </c>
      <c r="I23" s="247"/>
      <c r="J23" s="247">
        <v>37910301</v>
      </c>
      <c r="K23" s="247"/>
      <c r="L23" s="247"/>
      <c r="M23" s="247"/>
      <c r="N23" s="247"/>
      <c r="O23" s="262">
        <f t="shared" si="3"/>
        <v>39131351</v>
      </c>
    </row>
    <row r="24" spans="1:15" ht="27.75" customHeight="1">
      <c r="A24" s="172" t="s">
        <v>203</v>
      </c>
      <c r="B24" s="244" t="s">
        <v>302</v>
      </c>
      <c r="C24" s="247"/>
      <c r="D24" s="247"/>
      <c r="E24" s="247"/>
      <c r="F24" s="247"/>
      <c r="G24" s="247"/>
      <c r="H24" s="247">
        <v>2500000</v>
      </c>
      <c r="I24" s="247"/>
      <c r="J24" s="247"/>
      <c r="K24" s="247">
        <v>2000000</v>
      </c>
      <c r="L24" s="247"/>
      <c r="M24" s="247"/>
      <c r="N24" s="247">
        <f>52879594-21110301-778620</f>
        <v>30990673</v>
      </c>
      <c r="O24" s="262">
        <f>SUM(C24:N24)</f>
        <v>35490673</v>
      </c>
    </row>
    <row r="25" spans="1:15" ht="34.5" customHeight="1">
      <c r="A25" s="172" t="s">
        <v>205</v>
      </c>
      <c r="B25" s="244" t="s">
        <v>245</v>
      </c>
      <c r="C25" s="247">
        <v>4276181</v>
      </c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62">
        <f>SUM(C25:N25)</f>
        <v>4276181</v>
      </c>
    </row>
    <row r="26" spans="1:15" s="202" customFormat="1" ht="27.75" customHeight="1">
      <c r="A26" s="199"/>
      <c r="B26" s="200" t="s">
        <v>303</v>
      </c>
      <c r="C26" s="201">
        <f>SUM(C16:C25)</f>
        <v>26792499</v>
      </c>
      <c r="D26" s="201">
        <f aca="true" t="shared" si="4" ref="D26:N26">SUM(D16:D24)</f>
        <v>23066318</v>
      </c>
      <c r="E26" s="201">
        <f t="shared" si="4"/>
        <v>24771318</v>
      </c>
      <c r="F26" s="201">
        <f t="shared" si="4"/>
        <v>46055323</v>
      </c>
      <c r="G26" s="201">
        <f t="shared" si="4"/>
        <v>77560318</v>
      </c>
      <c r="H26" s="201">
        <f t="shared" si="4"/>
        <v>47227485</v>
      </c>
      <c r="I26" s="201">
        <f t="shared" si="4"/>
        <v>22551318</v>
      </c>
      <c r="J26" s="201">
        <f t="shared" si="4"/>
        <v>64626619</v>
      </c>
      <c r="K26" s="201">
        <f t="shared" si="4"/>
        <v>25916318</v>
      </c>
      <c r="L26" s="201">
        <f t="shared" si="4"/>
        <v>26821318</v>
      </c>
      <c r="M26" s="201">
        <f t="shared" si="4"/>
        <v>27048193</v>
      </c>
      <c r="N26" s="201">
        <f t="shared" si="4"/>
        <v>57567988</v>
      </c>
      <c r="O26" s="263">
        <f>SUM(O16:O25)</f>
        <v>470005015</v>
      </c>
    </row>
    <row r="27" spans="1:15" ht="15.75">
      <c r="A27" s="170"/>
      <c r="B27" s="171" t="s">
        <v>304</v>
      </c>
      <c r="C27" s="177">
        <f>C14-C26</f>
        <v>80285909</v>
      </c>
      <c r="D27" s="177">
        <f aca="true" t="shared" si="5" ref="D27:N27">D6+D14-D26</f>
        <v>74055177</v>
      </c>
      <c r="E27" s="177">
        <f t="shared" si="5"/>
        <v>99417636</v>
      </c>
      <c r="F27" s="177">
        <f t="shared" si="5"/>
        <v>86159578</v>
      </c>
      <c r="G27" s="177">
        <f t="shared" si="5"/>
        <v>74844843</v>
      </c>
      <c r="H27" s="177">
        <f t="shared" si="5"/>
        <v>55700444</v>
      </c>
      <c r="I27" s="177">
        <f t="shared" si="5"/>
        <v>60461479</v>
      </c>
      <c r="J27" s="177">
        <f t="shared" si="5"/>
        <v>12630443</v>
      </c>
      <c r="K27" s="177">
        <f t="shared" si="5"/>
        <v>44093250</v>
      </c>
      <c r="L27" s="177">
        <f t="shared" si="5"/>
        <v>35471057</v>
      </c>
      <c r="M27" s="177">
        <f t="shared" si="5"/>
        <v>30128864</v>
      </c>
      <c r="N27" s="177">
        <f t="shared" si="5"/>
        <v>0</v>
      </c>
      <c r="O27" s="170"/>
    </row>
    <row r="28" spans="1:15" ht="15.75">
      <c r="A28" s="248"/>
      <c r="B28" s="249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48"/>
    </row>
    <row r="29" spans="5:14" ht="12.75">
      <c r="E29" s="156" t="s">
        <v>404</v>
      </c>
      <c r="F29" s="156" t="s">
        <v>405</v>
      </c>
      <c r="G29" s="156" t="s">
        <v>408</v>
      </c>
      <c r="H29" s="156" t="s">
        <v>400</v>
      </c>
      <c r="I29" s="156" t="s">
        <v>401</v>
      </c>
      <c r="L29" s="156" t="s">
        <v>402</v>
      </c>
      <c r="M29" s="156" t="s">
        <v>422</v>
      </c>
      <c r="N29" s="156" t="s">
        <v>395</v>
      </c>
    </row>
    <row r="30" spans="3:14" ht="12.75">
      <c r="C30" s="203"/>
      <c r="D30" s="156" t="s">
        <v>397</v>
      </c>
      <c r="E30" s="203" t="s">
        <v>406</v>
      </c>
      <c r="F30" s="203" t="s">
        <v>407</v>
      </c>
      <c r="G30" s="203" t="s">
        <v>396</v>
      </c>
      <c r="H30" s="156" t="s">
        <v>398</v>
      </c>
      <c r="I30" s="203" t="s">
        <v>503</v>
      </c>
      <c r="J30" s="203"/>
      <c r="K30" s="203"/>
      <c r="N30" s="203" t="s">
        <v>403</v>
      </c>
    </row>
    <row r="31" spans="5:13" ht="12.75">
      <c r="E31" s="203" t="s">
        <v>402</v>
      </c>
      <c r="F31" s="203"/>
      <c r="G31" s="203" t="s">
        <v>396</v>
      </c>
      <c r="H31" s="203" t="s">
        <v>399</v>
      </c>
      <c r="I31" s="203"/>
      <c r="K31" s="203"/>
      <c r="L31" s="203"/>
      <c r="M31" s="203"/>
    </row>
    <row r="32" ht="22.5" customHeight="1">
      <c r="B32" s="157"/>
    </row>
    <row r="55" ht="15.75" customHeight="1"/>
  </sheetData>
  <sheetProtection/>
  <mergeCells count="4">
    <mergeCell ref="A1:O1"/>
    <mergeCell ref="N4:O4"/>
    <mergeCell ref="A4:C4"/>
    <mergeCell ref="A3:D3"/>
  </mergeCells>
  <printOptions horizontalCentered="1"/>
  <pageMargins left="0.15748031496062992" right="0.15748031496062992" top="0.8661417322834646" bottom="0.1968503937007874" header="0.35433070866141736" footer="0.1968503937007874"/>
  <pageSetup fitToHeight="1" fitToWidth="1" horizontalDpi="600" verticalDpi="6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I18"/>
  <sheetViews>
    <sheetView zoomScalePageLayoutView="0" workbookViewId="0" topLeftCell="A1">
      <selection activeCell="A5" sqref="A5:C5"/>
    </sheetView>
  </sheetViews>
  <sheetFormatPr defaultColWidth="8.00390625" defaultRowHeight="12.75"/>
  <cols>
    <col min="1" max="1" width="5.8515625" style="68" customWidth="1"/>
    <col min="2" max="2" width="42.421875" style="65" customWidth="1"/>
    <col min="3" max="4" width="11.00390625" style="65" customWidth="1"/>
    <col min="5" max="5" width="13.00390625" style="65" customWidth="1"/>
    <col min="6" max="7" width="11.00390625" style="65" customWidth="1"/>
    <col min="8" max="8" width="14.7109375" style="65" customWidth="1"/>
    <col min="9" max="9" width="2.8515625" style="65" customWidth="1"/>
    <col min="10" max="16384" width="8.00390625" style="65" customWidth="1"/>
  </cols>
  <sheetData>
    <row r="2" spans="1:8" ht="39.75" customHeight="1">
      <c r="A2" s="577" t="s">
        <v>315</v>
      </c>
      <c r="B2" s="577"/>
      <c r="C2" s="577"/>
      <c r="D2" s="577"/>
      <c r="E2" s="577"/>
      <c r="F2" s="577"/>
      <c r="G2" s="577"/>
      <c r="H2" s="577"/>
    </row>
    <row r="3" spans="1:8" ht="12.75" customHeight="1">
      <c r="A3" s="274"/>
      <c r="B3" s="274"/>
      <c r="C3" s="274"/>
      <c r="D3" s="274"/>
      <c r="E3" s="274"/>
      <c r="F3" s="274"/>
      <c r="G3" s="274"/>
      <c r="H3" s="274"/>
    </row>
    <row r="4" spans="1:9" s="162" customFormat="1" ht="15.75" customHeight="1">
      <c r="A4" s="541" t="s">
        <v>581</v>
      </c>
      <c r="B4" s="541"/>
      <c r="C4" s="587"/>
      <c r="D4" s="216"/>
      <c r="G4" s="575"/>
      <c r="H4" s="575"/>
      <c r="I4" s="214"/>
    </row>
    <row r="5" spans="1:9" s="163" customFormat="1" ht="15.75" customHeight="1" thickBot="1">
      <c r="A5" s="571" t="s">
        <v>477</v>
      </c>
      <c r="B5" s="571"/>
      <c r="C5" s="571"/>
      <c r="D5" s="164"/>
      <c r="G5" s="574" t="s">
        <v>332</v>
      </c>
      <c r="H5" s="574"/>
      <c r="I5" s="213"/>
    </row>
    <row r="6" spans="1:8" s="158" customFormat="1" ht="26.25" customHeight="1">
      <c r="A6" s="583" t="s">
        <v>193</v>
      </c>
      <c r="B6" s="582" t="s">
        <v>306</v>
      </c>
      <c r="C6" s="586" t="s">
        <v>307</v>
      </c>
      <c r="D6" s="572" t="s">
        <v>373</v>
      </c>
      <c r="E6" s="582" t="s">
        <v>308</v>
      </c>
      <c r="F6" s="582"/>
      <c r="G6" s="582"/>
      <c r="H6" s="580" t="s">
        <v>284</v>
      </c>
    </row>
    <row r="7" spans="1:8" s="159" customFormat="1" ht="32.25" customHeight="1">
      <c r="A7" s="584"/>
      <c r="B7" s="585"/>
      <c r="C7" s="585"/>
      <c r="D7" s="573"/>
      <c r="E7" s="181" t="s">
        <v>333</v>
      </c>
      <c r="F7" s="181" t="s">
        <v>334</v>
      </c>
      <c r="G7" s="181" t="s">
        <v>352</v>
      </c>
      <c r="H7" s="581"/>
    </row>
    <row r="8" spans="1:8" s="160" customFormat="1" ht="12.75" customHeight="1">
      <c r="A8" s="161" t="s">
        <v>93</v>
      </c>
      <c r="B8" s="182" t="s">
        <v>94</v>
      </c>
      <c r="C8" s="182" t="s">
        <v>95</v>
      </c>
      <c r="D8" s="182" t="s">
        <v>96</v>
      </c>
      <c r="E8" s="182" t="s">
        <v>97</v>
      </c>
      <c r="F8" s="182" t="s">
        <v>305</v>
      </c>
      <c r="G8" s="182" t="s">
        <v>309</v>
      </c>
      <c r="H8" s="183" t="s">
        <v>319</v>
      </c>
    </row>
    <row r="9" spans="1:8" ht="24.75" customHeight="1">
      <c r="A9" s="161" t="s">
        <v>115</v>
      </c>
      <c r="B9" s="184" t="s">
        <v>310</v>
      </c>
      <c r="C9" s="185"/>
      <c r="D9" s="185"/>
      <c r="E9" s="186">
        <v>0</v>
      </c>
      <c r="F9" s="186">
        <v>0</v>
      </c>
      <c r="G9" s="186">
        <v>0</v>
      </c>
      <c r="H9" s="187">
        <v>0</v>
      </c>
    </row>
    <row r="10" spans="1:9" ht="25.5" customHeight="1">
      <c r="A10" s="161" t="s">
        <v>116</v>
      </c>
      <c r="B10" s="184" t="s">
        <v>311</v>
      </c>
      <c r="C10" s="193"/>
      <c r="D10" s="166"/>
      <c r="E10" s="186">
        <v>0</v>
      </c>
      <c r="F10" s="186">
        <v>0</v>
      </c>
      <c r="G10" s="186">
        <v>0</v>
      </c>
      <c r="H10" s="187">
        <v>0</v>
      </c>
      <c r="I10" s="576"/>
    </row>
    <row r="11" spans="1:9" ht="19.5" customHeight="1">
      <c r="A11" s="161" t="s">
        <v>117</v>
      </c>
      <c r="B11" s="184" t="s">
        <v>312</v>
      </c>
      <c r="C11" s="193" t="s">
        <v>333</v>
      </c>
      <c r="D11" s="188">
        <v>0</v>
      </c>
      <c r="E11" s="189">
        <f>+E12</f>
        <v>21355506</v>
      </c>
      <c r="F11" s="189">
        <f>+F12</f>
        <v>0</v>
      </c>
      <c r="G11" s="189">
        <f>+G12</f>
        <v>0</v>
      </c>
      <c r="H11" s="190">
        <f>SUM(E11:G11)</f>
        <v>21355506</v>
      </c>
      <c r="I11" s="576"/>
    </row>
    <row r="12" spans="1:9" ht="19.5" customHeight="1">
      <c r="A12" s="161" t="s">
        <v>118</v>
      </c>
      <c r="B12" s="191" t="s">
        <v>568</v>
      </c>
      <c r="C12" s="193"/>
      <c r="D12" s="166"/>
      <c r="E12" s="167">
        <v>21355506</v>
      </c>
      <c r="F12" s="167">
        <v>0</v>
      </c>
      <c r="G12" s="167">
        <v>0</v>
      </c>
      <c r="H12" s="187">
        <f>SUM(E12:G12)</f>
        <v>21355506</v>
      </c>
      <c r="I12" s="576"/>
    </row>
    <row r="13" spans="1:9" ht="19.5" customHeight="1">
      <c r="A13" s="161" t="s">
        <v>119</v>
      </c>
      <c r="B13" s="184" t="s">
        <v>313</v>
      </c>
      <c r="C13" s="193" t="s">
        <v>333</v>
      </c>
      <c r="D13" s="188">
        <v>0</v>
      </c>
      <c r="E13" s="189">
        <f>+E14</f>
        <v>82475264</v>
      </c>
      <c r="F13" s="189">
        <f>+F14</f>
        <v>0</v>
      </c>
      <c r="G13" s="189">
        <f>+G14</f>
        <v>0</v>
      </c>
      <c r="H13" s="190">
        <f>SUM(E13:G13)</f>
        <v>82475264</v>
      </c>
      <c r="I13" s="576"/>
    </row>
    <row r="14" spans="1:9" ht="19.5" customHeight="1">
      <c r="A14" s="161" t="s">
        <v>120</v>
      </c>
      <c r="B14" s="191" t="s">
        <v>569</v>
      </c>
      <c r="C14" s="193"/>
      <c r="D14" s="166"/>
      <c r="E14" s="167">
        <v>82475264</v>
      </c>
      <c r="F14" s="167">
        <v>0</v>
      </c>
      <c r="G14" s="167">
        <v>0</v>
      </c>
      <c r="H14" s="187">
        <f>SUM(E14:G14)</f>
        <v>82475264</v>
      </c>
      <c r="I14" s="576"/>
    </row>
    <row r="15" spans="1:9" ht="19.5" customHeight="1">
      <c r="A15" s="161" t="s">
        <v>121</v>
      </c>
      <c r="B15" s="192" t="s">
        <v>314</v>
      </c>
      <c r="C15" s="188"/>
      <c r="D15" s="188"/>
      <c r="E15" s="189">
        <f>+E17+E16</f>
        <v>5476181</v>
      </c>
      <c r="F15" s="189">
        <f>+F17+F16</f>
        <v>1400000</v>
      </c>
      <c r="G15" s="189">
        <f>+G17+G16</f>
        <v>1600000</v>
      </c>
      <c r="H15" s="190">
        <f>H16+H17</f>
        <v>8476181</v>
      </c>
      <c r="I15" s="576"/>
    </row>
    <row r="16" spans="1:9" ht="19.5" customHeight="1">
      <c r="A16" s="161" t="s">
        <v>122</v>
      </c>
      <c r="B16" s="192" t="s">
        <v>317</v>
      </c>
      <c r="C16" s="193" t="s">
        <v>318</v>
      </c>
      <c r="D16" s="193">
        <v>2660000</v>
      </c>
      <c r="E16" s="194">
        <v>1200000</v>
      </c>
      <c r="F16" s="194">
        <v>1400000</v>
      </c>
      <c r="G16" s="194">
        <v>1600000</v>
      </c>
      <c r="H16" s="195">
        <f>SUM(E16:G16)</f>
        <v>4200000</v>
      </c>
      <c r="I16" s="576"/>
    </row>
    <row r="17" spans="1:9" ht="19.5" customHeight="1">
      <c r="A17" s="161" t="s">
        <v>123</v>
      </c>
      <c r="B17" s="191" t="s">
        <v>316</v>
      </c>
      <c r="C17" s="166" t="s">
        <v>333</v>
      </c>
      <c r="D17" s="166">
        <v>0</v>
      </c>
      <c r="E17" s="167">
        <v>4276181</v>
      </c>
      <c r="F17" s="167">
        <v>0</v>
      </c>
      <c r="G17" s="167">
        <v>0</v>
      </c>
      <c r="H17" s="187">
        <f>SUM(E17:G17)</f>
        <v>4276181</v>
      </c>
      <c r="I17" s="576"/>
    </row>
    <row r="18" spans="1:9" s="165" customFormat="1" ht="19.5" customHeight="1" thickBot="1">
      <c r="A18" s="578" t="s">
        <v>374</v>
      </c>
      <c r="B18" s="579"/>
      <c r="C18" s="196"/>
      <c r="D18" s="196"/>
      <c r="E18" s="197">
        <f>+E9+E10+E11+E13+E15</f>
        <v>109306951</v>
      </c>
      <c r="F18" s="197">
        <f>+F9+F10+F11+F13+F15</f>
        <v>1400000</v>
      </c>
      <c r="G18" s="197">
        <f>+G9+G10+G11+G13+G15</f>
        <v>1600000</v>
      </c>
      <c r="H18" s="198">
        <f>+H9+H10+H11+H13+H15</f>
        <v>112306951</v>
      </c>
      <c r="I18" s="576"/>
    </row>
  </sheetData>
  <sheetProtection/>
  <mergeCells count="13">
    <mergeCell ref="A2:H2"/>
    <mergeCell ref="A18:B18"/>
    <mergeCell ref="H6:H7"/>
    <mergeCell ref="E6:G6"/>
    <mergeCell ref="A6:A7"/>
    <mergeCell ref="B6:B7"/>
    <mergeCell ref="C6:C7"/>
    <mergeCell ref="D6:D7"/>
    <mergeCell ref="A5:C5"/>
    <mergeCell ref="A4:C4"/>
    <mergeCell ref="G5:H5"/>
    <mergeCell ref="G4:H4"/>
    <mergeCell ref="I10:I18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1.421875" style="393" customWidth="1"/>
    <col min="2" max="2" width="56.00390625" style="393" customWidth="1"/>
    <col min="3" max="4" width="16.7109375" style="393" hidden="1" customWidth="1"/>
    <col min="5" max="5" width="20.00390625" style="393" customWidth="1"/>
    <col min="6" max="6" width="15.8515625" style="393" hidden="1" customWidth="1"/>
    <col min="7" max="7" width="16.7109375" style="393" hidden="1" customWidth="1"/>
    <col min="8" max="8" width="17.421875" style="393" customWidth="1"/>
    <col min="9" max="16384" width="11.421875" style="394" customWidth="1"/>
  </cols>
  <sheetData>
    <row r="1" spans="1:6" ht="12.75">
      <c r="A1" s="391"/>
      <c r="B1" s="392"/>
      <c r="C1" s="392"/>
      <c r="F1" s="392"/>
    </row>
    <row r="2" spans="1:8" s="397" customFormat="1" ht="20.25" customHeight="1">
      <c r="A2" s="544" t="s">
        <v>528</v>
      </c>
      <c r="B2" s="544"/>
      <c r="C2" s="544"/>
      <c r="D2" s="544"/>
      <c r="E2" s="544"/>
      <c r="F2" s="544"/>
      <c r="G2" s="544"/>
      <c r="H2" s="396"/>
    </row>
    <row r="3" spans="1:8" s="397" customFormat="1" ht="20.25" customHeight="1">
      <c r="A3" s="544"/>
      <c r="B3" s="544"/>
      <c r="C3" s="544"/>
      <c r="D3" s="544"/>
      <c r="E3" s="544"/>
      <c r="F3" s="544"/>
      <c r="G3" s="544"/>
      <c r="H3" s="396"/>
    </row>
    <row r="4" spans="1:8" s="397" customFormat="1" ht="20.25">
      <c r="A4" s="544" t="s">
        <v>333</v>
      </c>
      <c r="B4" s="544"/>
      <c r="C4" s="544"/>
      <c r="D4" s="544"/>
      <c r="E4" s="544"/>
      <c r="F4" s="544"/>
      <c r="G4" s="544"/>
      <c r="H4" s="396"/>
    </row>
    <row r="5" spans="1:8" s="397" customFormat="1" ht="20.25">
      <c r="A5" s="541" t="s">
        <v>571</v>
      </c>
      <c r="B5" s="541"/>
      <c r="C5" s="395"/>
      <c r="D5" s="395"/>
      <c r="E5" s="395"/>
      <c r="F5" s="395"/>
      <c r="G5" s="395"/>
      <c r="H5" s="396"/>
    </row>
    <row r="6" spans="1:8" ht="21" customHeight="1" thickBot="1">
      <c r="A6" s="571" t="s">
        <v>572</v>
      </c>
      <c r="B6" s="571"/>
      <c r="C6" s="571"/>
      <c r="D6" s="545" t="s">
        <v>320</v>
      </c>
      <c r="E6" s="545"/>
      <c r="F6" s="401"/>
      <c r="G6" s="402" t="s">
        <v>320</v>
      </c>
      <c r="H6" s="403"/>
    </row>
    <row r="7" spans="1:8" ht="45" customHeight="1" thickBot="1" thickTop="1">
      <c r="A7" s="404" t="s">
        <v>0</v>
      </c>
      <c r="B7" s="405" t="s">
        <v>506</v>
      </c>
      <c r="C7" s="406" t="s">
        <v>507</v>
      </c>
      <c r="D7" s="405" t="s">
        <v>508</v>
      </c>
      <c r="E7" s="405" t="s">
        <v>529</v>
      </c>
      <c r="F7" s="407" t="s">
        <v>423</v>
      </c>
      <c r="G7" s="405" t="s">
        <v>424</v>
      </c>
      <c r="H7" s="394"/>
    </row>
    <row r="8" spans="1:8" ht="15" customHeight="1" thickTop="1">
      <c r="A8" s="408" t="s">
        <v>93</v>
      </c>
      <c r="B8" s="409" t="s">
        <v>94</v>
      </c>
      <c r="C8" s="409" t="s">
        <v>95</v>
      </c>
      <c r="D8" s="409" t="s">
        <v>96</v>
      </c>
      <c r="E8" s="410" t="s">
        <v>95</v>
      </c>
      <c r="F8" s="411" t="s">
        <v>96</v>
      </c>
      <c r="G8" s="409" t="s">
        <v>97</v>
      </c>
      <c r="H8" s="394"/>
    </row>
    <row r="9" spans="1:7" ht="19.5" customHeight="1">
      <c r="A9" s="412" t="s">
        <v>25</v>
      </c>
      <c r="B9" s="413" t="s">
        <v>26</v>
      </c>
      <c r="C9" s="422">
        <f>SUM(C10:C10)</f>
        <v>8300000</v>
      </c>
      <c r="D9" s="422">
        <f>SUM(D10:D10)</f>
        <v>7278483</v>
      </c>
      <c r="E9" s="415">
        <f>SUM(E10:E10)</f>
        <v>50000</v>
      </c>
      <c r="F9" s="423">
        <f>SUM(F10:F10)</f>
        <v>0</v>
      </c>
      <c r="G9" s="422">
        <f>SUM(G10:G10)</f>
        <v>50000</v>
      </c>
    </row>
    <row r="10" spans="1:7" ht="16.5" customHeight="1">
      <c r="A10" s="424" t="s">
        <v>353</v>
      </c>
      <c r="B10" s="425" t="s">
        <v>37</v>
      </c>
      <c r="C10" s="426">
        <v>8300000</v>
      </c>
      <c r="D10" s="419">
        <v>7278483</v>
      </c>
      <c r="E10" s="420">
        <v>50000</v>
      </c>
      <c r="F10" s="427">
        <v>0</v>
      </c>
      <c r="G10" s="419">
        <f>E10+F10</f>
        <v>50000</v>
      </c>
    </row>
    <row r="11" spans="1:7" ht="15" customHeight="1">
      <c r="A11" s="428" t="s">
        <v>517</v>
      </c>
      <c r="B11" s="429" t="s">
        <v>44</v>
      </c>
      <c r="C11" s="430" t="e">
        <f>#REF!+C9+#REF!</f>
        <v>#REF!</v>
      </c>
      <c r="D11" s="430" t="e">
        <f>#REF!+D9+#REF!</f>
        <v>#REF!</v>
      </c>
      <c r="E11" s="431">
        <f>E9</f>
        <v>50000</v>
      </c>
      <c r="F11" s="432" t="e">
        <f>#REF!+F9+#REF!</f>
        <v>#REF!</v>
      </c>
      <c r="G11" s="430" t="e">
        <f>#REF!+G9+#REF!</f>
        <v>#REF!</v>
      </c>
    </row>
    <row r="12" spans="1:7" ht="15" customHeight="1">
      <c r="A12" s="412" t="s">
        <v>45</v>
      </c>
      <c r="B12" s="413" t="s">
        <v>46</v>
      </c>
      <c r="C12" s="422">
        <f>SUM(C13:C13)</f>
        <v>66914644</v>
      </c>
      <c r="D12" s="435">
        <f>SUM(D13:D13)</f>
        <v>66919069</v>
      </c>
      <c r="E12" s="436">
        <f>SUM(E13:E13)</f>
        <v>3046000</v>
      </c>
      <c r="F12" s="423">
        <f>SUM(F13:F13)</f>
        <v>0</v>
      </c>
      <c r="G12" s="435">
        <f>SUM(G13:G13)</f>
        <v>3046000</v>
      </c>
    </row>
    <row r="13" spans="1:7" ht="15" customHeight="1">
      <c r="A13" s="417" t="s">
        <v>518</v>
      </c>
      <c r="B13" s="418" t="s">
        <v>427</v>
      </c>
      <c r="C13" s="437">
        <v>66914644</v>
      </c>
      <c r="D13" s="419">
        <v>66919069</v>
      </c>
      <c r="E13" s="420">
        <f>2494167+551833</f>
        <v>3046000</v>
      </c>
      <c r="F13" s="438">
        <v>0</v>
      </c>
      <c r="G13" s="419">
        <f>E13+F13</f>
        <v>3046000</v>
      </c>
    </row>
    <row r="14" spans="1:7" ht="15" customHeight="1" thickBot="1">
      <c r="A14" s="439" t="s">
        <v>519</v>
      </c>
      <c r="B14" s="440" t="s">
        <v>49</v>
      </c>
      <c r="C14" s="441" t="e">
        <f>C12+C11</f>
        <v>#REF!</v>
      </c>
      <c r="D14" s="442" t="e">
        <f>D11+D12</f>
        <v>#REF!</v>
      </c>
      <c r="E14" s="442">
        <f>E11+E12</f>
        <v>3096000</v>
      </c>
      <c r="F14" s="443" t="e">
        <f>F12+F11</f>
        <v>#REF!</v>
      </c>
      <c r="G14" s="442" t="e">
        <f>G11+G12</f>
        <v>#REF!</v>
      </c>
    </row>
    <row r="15" spans="1:8" ht="15" customHeight="1" thickTop="1">
      <c r="A15" s="444"/>
      <c r="B15" s="444"/>
      <c r="C15" s="445"/>
      <c r="D15" s="446"/>
      <c r="E15" s="446"/>
      <c r="F15" s="445"/>
      <c r="G15" s="446"/>
      <c r="H15" s="394"/>
    </row>
    <row r="16" spans="1:8" ht="15" customHeight="1" thickBot="1">
      <c r="A16" s="447"/>
      <c r="B16" s="448"/>
      <c r="C16" s="449"/>
      <c r="D16" s="450"/>
      <c r="E16" s="450"/>
      <c r="F16" s="449"/>
      <c r="G16" s="450"/>
      <c r="H16" s="394"/>
    </row>
    <row r="17" spans="1:8" ht="45.75" customHeight="1" thickBot="1" thickTop="1">
      <c r="A17" s="404" t="s">
        <v>0</v>
      </c>
      <c r="B17" s="405" t="s">
        <v>520</v>
      </c>
      <c r="C17" s="406" t="s">
        <v>507</v>
      </c>
      <c r="D17" s="405" t="s">
        <v>508</v>
      </c>
      <c r="E17" s="405" t="s">
        <v>529</v>
      </c>
      <c r="F17" s="407" t="s">
        <v>423</v>
      </c>
      <c r="G17" s="405" t="s">
        <v>424</v>
      </c>
      <c r="H17" s="394"/>
    </row>
    <row r="18" spans="1:7" ht="15" customHeight="1" thickTop="1">
      <c r="A18" s="408" t="s">
        <v>93</v>
      </c>
      <c r="B18" s="409" t="s">
        <v>94</v>
      </c>
      <c r="C18" s="451" t="s">
        <v>95</v>
      </c>
      <c r="D18" s="451" t="s">
        <v>96</v>
      </c>
      <c r="E18" s="451" t="s">
        <v>95</v>
      </c>
      <c r="F18" s="452" t="s">
        <v>96</v>
      </c>
      <c r="G18" s="451" t="s">
        <v>97</v>
      </c>
    </row>
    <row r="19" spans="1:7" ht="15" customHeight="1">
      <c r="A19" s="412" t="s">
        <v>50</v>
      </c>
      <c r="B19" s="413" t="s">
        <v>51</v>
      </c>
      <c r="C19" s="453">
        <f>SUM(C20:C20)</f>
        <v>46560245</v>
      </c>
      <c r="D19" s="453">
        <f>SUM(D20:D20)</f>
        <v>47741858</v>
      </c>
      <c r="E19" s="454">
        <f>SUM(E20:E20)</f>
        <v>2325000</v>
      </c>
      <c r="F19" s="455">
        <f>SUM(F20:F20)</f>
        <v>980000</v>
      </c>
      <c r="G19" s="453">
        <f>SUM(G20:G20)</f>
        <v>3305000</v>
      </c>
    </row>
    <row r="20" spans="1:7" ht="15" customHeight="1">
      <c r="A20" s="424" t="s">
        <v>52</v>
      </c>
      <c r="B20" s="425" t="s">
        <v>53</v>
      </c>
      <c r="C20" s="456">
        <v>46560245</v>
      </c>
      <c r="D20" s="457">
        <v>47741858</v>
      </c>
      <c r="E20" s="458">
        <f>2325000</f>
        <v>2325000</v>
      </c>
      <c r="F20" s="459">
        <v>980000</v>
      </c>
      <c r="G20" s="457">
        <f>E20+F20</f>
        <v>3305000</v>
      </c>
    </row>
    <row r="21" spans="1:7" ht="30.75" customHeight="1">
      <c r="A21" s="412" t="s">
        <v>64</v>
      </c>
      <c r="B21" s="460" t="s">
        <v>161</v>
      </c>
      <c r="C21" s="461">
        <v>10838079</v>
      </c>
      <c r="D21" s="462">
        <v>10716052</v>
      </c>
      <c r="E21" s="462">
        <v>471000</v>
      </c>
      <c r="F21" s="463">
        <v>566196</v>
      </c>
      <c r="G21" s="462">
        <f>E21+F21</f>
        <v>1037196</v>
      </c>
    </row>
    <row r="22" spans="1:7" ht="15" customHeight="1">
      <c r="A22" s="412" t="s">
        <v>65</v>
      </c>
      <c r="B22" s="413" t="s">
        <v>66</v>
      </c>
      <c r="C22" s="453">
        <f>SUM(C23:C27)</f>
        <v>31920000</v>
      </c>
      <c r="D22" s="462">
        <f>SUM(D23:D27)</f>
        <v>29393152</v>
      </c>
      <c r="E22" s="462">
        <f>SUM(E23:E27)</f>
        <v>300000</v>
      </c>
      <c r="F22" s="455">
        <f>SUM(F23:F27)</f>
        <v>428286</v>
      </c>
      <c r="G22" s="462">
        <f>SUM(G23:G27)</f>
        <v>728286</v>
      </c>
    </row>
    <row r="23" spans="1:7" ht="15" customHeight="1">
      <c r="A23" s="424" t="s">
        <v>67</v>
      </c>
      <c r="B23" s="425" t="s">
        <v>68</v>
      </c>
      <c r="C23" s="456">
        <v>18790000</v>
      </c>
      <c r="D23" s="458">
        <v>18211785</v>
      </c>
      <c r="E23" s="458">
        <v>100000</v>
      </c>
      <c r="F23" s="459">
        <v>304522</v>
      </c>
      <c r="G23" s="458">
        <f>E23+F23</f>
        <v>404522</v>
      </c>
    </row>
    <row r="24" spans="1:7" ht="15" customHeight="1">
      <c r="A24" s="424" t="s">
        <v>69</v>
      </c>
      <c r="B24" s="425" t="s">
        <v>70</v>
      </c>
      <c r="C24" s="456">
        <v>1360000</v>
      </c>
      <c r="D24" s="458">
        <v>1167083</v>
      </c>
      <c r="E24" s="458">
        <v>20000</v>
      </c>
      <c r="F24" s="459">
        <v>0</v>
      </c>
      <c r="G24" s="458">
        <f>E24+F24</f>
        <v>20000</v>
      </c>
    </row>
    <row r="25" spans="1:7" ht="15" customHeight="1">
      <c r="A25" s="424" t="s">
        <v>71</v>
      </c>
      <c r="B25" s="425" t="s">
        <v>72</v>
      </c>
      <c r="C25" s="456">
        <v>5390000</v>
      </c>
      <c r="D25" s="458">
        <v>5302314</v>
      </c>
      <c r="E25" s="458">
        <v>120000</v>
      </c>
      <c r="F25" s="459">
        <v>23659</v>
      </c>
      <c r="G25" s="458">
        <f>E25+F25</f>
        <v>143659</v>
      </c>
    </row>
    <row r="26" spans="1:7" ht="15" customHeight="1">
      <c r="A26" s="424" t="s">
        <v>75</v>
      </c>
      <c r="B26" s="425" t="s">
        <v>76</v>
      </c>
      <c r="C26" s="456">
        <v>600000</v>
      </c>
      <c r="D26" s="458">
        <v>547444</v>
      </c>
      <c r="E26" s="458">
        <v>10000</v>
      </c>
      <c r="F26" s="459">
        <v>0</v>
      </c>
      <c r="G26" s="458">
        <f>E26+F26</f>
        <v>10000</v>
      </c>
    </row>
    <row r="27" spans="1:7" ht="15" customHeight="1">
      <c r="A27" s="424" t="s">
        <v>77</v>
      </c>
      <c r="B27" s="425" t="s">
        <v>78</v>
      </c>
      <c r="C27" s="456">
        <v>5780000</v>
      </c>
      <c r="D27" s="458">
        <v>4164526</v>
      </c>
      <c r="E27" s="458">
        <v>50000</v>
      </c>
      <c r="F27" s="459">
        <v>100105</v>
      </c>
      <c r="G27" s="458">
        <f>E27+F27</f>
        <v>150105</v>
      </c>
    </row>
    <row r="28" spans="1:7" ht="15" customHeight="1" thickBot="1">
      <c r="A28" s="439" t="s">
        <v>525</v>
      </c>
      <c r="B28" s="440" t="s">
        <v>92</v>
      </c>
      <c r="C28" s="468" t="e">
        <f>C19+C21+C22+#REF!</f>
        <v>#REF!</v>
      </c>
      <c r="D28" s="469" t="e">
        <f>D19++#REF!+D21+D22</f>
        <v>#REF!</v>
      </c>
      <c r="E28" s="469">
        <f>E19+E21+E22</f>
        <v>3096000</v>
      </c>
      <c r="F28" s="469" t="e">
        <f>F19+F21+F22+#REF!+#REF!</f>
        <v>#REF!</v>
      </c>
      <c r="G28" s="469" t="e">
        <f>G19+G21+G22+#REF!+#REF!</f>
        <v>#REF!</v>
      </c>
    </row>
    <row r="29" spans="1:8" ht="16.5" thickTop="1">
      <c r="A29" s="444"/>
      <c r="B29" s="444"/>
      <c r="C29" s="444"/>
      <c r="D29" s="470"/>
      <c r="E29" s="470"/>
      <c r="F29" s="444"/>
      <c r="G29" s="470"/>
      <c r="H29" s="471"/>
    </row>
    <row r="30" spans="1:8" ht="16.5" thickBot="1">
      <c r="A30" s="396"/>
      <c r="B30" s="472"/>
      <c r="C30" s="472"/>
      <c r="D30" s="472"/>
      <c r="F30" s="471"/>
      <c r="G30" s="394"/>
      <c r="H30" s="394"/>
    </row>
    <row r="31" spans="1:8" ht="15" thickBot="1">
      <c r="A31" s="473" t="s">
        <v>526</v>
      </c>
      <c r="B31" s="474"/>
      <c r="C31" s="475"/>
      <c r="D31" s="475"/>
      <c r="E31" s="477">
        <v>2.5</v>
      </c>
      <c r="G31" s="394"/>
      <c r="H31" s="394"/>
    </row>
    <row r="32" spans="1:5" s="393" customFormat="1" ht="15" thickBot="1">
      <c r="A32" s="473" t="s">
        <v>527</v>
      </c>
      <c r="B32" s="474"/>
      <c r="C32" s="475"/>
      <c r="D32" s="475"/>
      <c r="E32" s="476">
        <v>0</v>
      </c>
    </row>
  </sheetData>
  <sheetProtection/>
  <mergeCells count="5">
    <mergeCell ref="A2:G3"/>
    <mergeCell ref="A4:G4"/>
    <mergeCell ref="D6:E6"/>
    <mergeCell ref="A5:B5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4"/>
  <sheetViews>
    <sheetView view="pageBreakPreview" zoomScaleSheetLayoutView="100" zoomScalePageLayoutView="0" workbookViewId="0" topLeftCell="A30">
      <selection activeCell="F18" sqref="F18"/>
    </sheetView>
  </sheetViews>
  <sheetFormatPr defaultColWidth="8.8515625" defaultRowHeight="12.75"/>
  <cols>
    <col min="1" max="1" width="6.7109375" style="0" customWidth="1"/>
    <col min="2" max="2" width="47.421875" style="0" customWidth="1"/>
    <col min="3" max="3" width="16.7109375" style="0" customWidth="1"/>
    <col min="4" max="4" width="16.7109375" style="0" hidden="1" customWidth="1"/>
    <col min="5" max="7" width="16.7109375" style="0" customWidth="1"/>
  </cols>
  <sheetData>
    <row r="1" spans="1:7" ht="30" customHeight="1">
      <c r="A1" s="542" t="s">
        <v>184</v>
      </c>
      <c r="B1" s="542"/>
      <c r="C1" s="542"/>
      <c r="D1" s="542"/>
      <c r="E1" s="542"/>
      <c r="F1" s="270"/>
      <c r="G1" s="270"/>
    </row>
    <row r="2" spans="1:7" ht="18" customHeight="1">
      <c r="A2" s="543" t="s">
        <v>333</v>
      </c>
      <c r="B2" s="543"/>
      <c r="C2" s="543"/>
      <c r="D2" s="543"/>
      <c r="E2" s="543"/>
      <c r="F2" s="271"/>
      <c r="G2" s="271"/>
    </row>
    <row r="3" spans="1:7" ht="17.25" customHeight="1">
      <c r="A3" s="19"/>
      <c r="B3" s="17"/>
      <c r="C3" s="267"/>
      <c r="D3" s="267"/>
      <c r="E3" s="267"/>
      <c r="F3" s="267"/>
      <c r="G3" s="267"/>
    </row>
    <row r="4" spans="1:7" ht="13.5" thickBot="1">
      <c r="A4" s="18"/>
      <c r="B4" s="18"/>
      <c r="C4" s="268"/>
      <c r="D4" s="275"/>
      <c r="E4" s="275"/>
      <c r="F4" s="275"/>
      <c r="G4" s="275"/>
    </row>
    <row r="5" spans="1:7" ht="44.25" customHeight="1" thickBot="1" thickTop="1">
      <c r="A5" s="54" t="s">
        <v>0</v>
      </c>
      <c r="B5" s="37" t="s">
        <v>1</v>
      </c>
      <c r="C5" s="38" t="s">
        <v>354</v>
      </c>
      <c r="D5" s="38" t="s">
        <v>412</v>
      </c>
      <c r="E5" s="38" t="s">
        <v>413</v>
      </c>
      <c r="F5" s="38" t="s">
        <v>423</v>
      </c>
      <c r="G5" s="38" t="s">
        <v>424</v>
      </c>
    </row>
    <row r="6" spans="1:7" ht="12.75" customHeight="1" thickTop="1">
      <c r="A6" s="59" t="s">
        <v>93</v>
      </c>
      <c r="B6" s="60" t="s">
        <v>94</v>
      </c>
      <c r="C6" s="60" t="s">
        <v>95</v>
      </c>
      <c r="D6" s="60" t="s">
        <v>96</v>
      </c>
      <c r="E6" s="60" t="s">
        <v>96</v>
      </c>
      <c r="F6" s="60" t="s">
        <v>96</v>
      </c>
      <c r="G6" s="60" t="s">
        <v>305</v>
      </c>
    </row>
    <row r="7" spans="1:7" ht="21.75" customHeight="1">
      <c r="A7" s="35" t="s">
        <v>2</v>
      </c>
      <c r="B7" s="36" t="s">
        <v>3</v>
      </c>
      <c r="C7" s="52">
        <f>C8+C14</f>
        <v>160974547</v>
      </c>
      <c r="D7" s="52">
        <f>D8+D14</f>
        <v>0</v>
      </c>
      <c r="E7" s="52">
        <f>E8+E14</f>
        <v>160974547</v>
      </c>
      <c r="F7" s="52">
        <f>F8+F14</f>
        <v>0</v>
      </c>
      <c r="G7" s="52">
        <f>G8+G14</f>
        <v>160974547</v>
      </c>
    </row>
    <row r="8" spans="1:7" ht="21.75" customHeight="1">
      <c r="A8" s="24" t="s">
        <v>4</v>
      </c>
      <c r="B8" s="25" t="s">
        <v>5</v>
      </c>
      <c r="C8" s="46">
        <f>SUM(C9:C13)</f>
        <v>123425683</v>
      </c>
      <c r="D8" s="46">
        <f>SUM(D9:D13)</f>
        <v>0</v>
      </c>
      <c r="E8" s="46">
        <f>SUM(E9:E13)</f>
        <v>123425683</v>
      </c>
      <c r="F8" s="46">
        <f>SUM(F9:F13)</f>
        <v>0</v>
      </c>
      <c r="G8" s="46">
        <f>SUM(G9:G13)</f>
        <v>123425683</v>
      </c>
    </row>
    <row r="9" spans="1:7" ht="21.75" customHeight="1">
      <c r="A9" s="26" t="s">
        <v>130</v>
      </c>
      <c r="B9" s="27" t="s">
        <v>6</v>
      </c>
      <c r="C9" s="47">
        <v>44635962</v>
      </c>
      <c r="D9" s="47">
        <v>0</v>
      </c>
      <c r="E9" s="47">
        <v>44635962</v>
      </c>
      <c r="F9" s="47">
        <v>0</v>
      </c>
      <c r="G9" s="47">
        <v>44635962</v>
      </c>
    </row>
    <row r="10" spans="1:7" ht="21.75" customHeight="1">
      <c r="A10" s="26" t="s">
        <v>131</v>
      </c>
      <c r="B10" s="27" t="s">
        <v>7</v>
      </c>
      <c r="C10" s="47">
        <v>42304768</v>
      </c>
      <c r="D10" s="47">
        <v>0</v>
      </c>
      <c r="E10" s="47">
        <v>42304768</v>
      </c>
      <c r="F10" s="47">
        <v>0</v>
      </c>
      <c r="G10" s="47">
        <v>42304768</v>
      </c>
    </row>
    <row r="11" spans="1:7" ht="21.75" customHeight="1">
      <c r="A11" s="26" t="s">
        <v>132</v>
      </c>
      <c r="B11" s="27" t="s">
        <v>8</v>
      </c>
      <c r="C11" s="47">
        <v>32891974</v>
      </c>
      <c r="D11" s="47">
        <v>0</v>
      </c>
      <c r="E11" s="47">
        <v>32891974</v>
      </c>
      <c r="F11" s="47">
        <v>0</v>
      </c>
      <c r="G11" s="47">
        <v>32891974</v>
      </c>
    </row>
    <row r="12" spans="1:7" ht="21.75" customHeight="1">
      <c r="A12" s="26" t="s">
        <v>133</v>
      </c>
      <c r="B12" s="27" t="s">
        <v>9</v>
      </c>
      <c r="C12" s="47">
        <v>1800000</v>
      </c>
      <c r="D12" s="47">
        <v>0</v>
      </c>
      <c r="E12" s="47">
        <v>1800000</v>
      </c>
      <c r="F12" s="47">
        <v>0</v>
      </c>
      <c r="G12" s="47">
        <v>1800000</v>
      </c>
    </row>
    <row r="13" spans="1:7" ht="21.75" customHeight="1">
      <c r="A13" s="26" t="s">
        <v>134</v>
      </c>
      <c r="B13" s="48" t="s">
        <v>321</v>
      </c>
      <c r="C13" s="49">
        <v>1792979</v>
      </c>
      <c r="D13" s="49">
        <v>0</v>
      </c>
      <c r="E13" s="49">
        <v>1792979</v>
      </c>
      <c r="F13" s="49">
        <v>0</v>
      </c>
      <c r="G13" s="49">
        <v>1792979</v>
      </c>
    </row>
    <row r="14" spans="1:7" ht="21.75" customHeight="1">
      <c r="A14" s="24" t="s">
        <v>10</v>
      </c>
      <c r="B14" s="25" t="s">
        <v>11</v>
      </c>
      <c r="C14" s="46">
        <v>37548864</v>
      </c>
      <c r="D14" s="46">
        <v>0</v>
      </c>
      <c r="E14" s="46">
        <v>37548864</v>
      </c>
      <c r="F14" s="46">
        <v>0</v>
      </c>
      <c r="G14" s="46">
        <v>37548864</v>
      </c>
    </row>
    <row r="15" spans="1:7" ht="21.75" customHeight="1">
      <c r="A15" s="28" t="s">
        <v>12</v>
      </c>
      <c r="B15" s="29" t="s">
        <v>13</v>
      </c>
      <c r="C15" s="222">
        <f>C16+C17</f>
        <v>86185955</v>
      </c>
      <c r="D15" s="222">
        <f>D16+D17</f>
        <v>3706875</v>
      </c>
      <c r="E15" s="222">
        <f>E16+E17</f>
        <v>89892830</v>
      </c>
      <c r="F15" s="222">
        <f>F16+F17</f>
        <v>0</v>
      </c>
      <c r="G15" s="222">
        <f>G16+G17</f>
        <v>89892830</v>
      </c>
    </row>
    <row r="16" spans="1:7" ht="21.75" customHeight="1">
      <c r="A16" s="26" t="s">
        <v>163</v>
      </c>
      <c r="B16" s="48" t="s">
        <v>237</v>
      </c>
      <c r="C16" s="49">
        <v>0</v>
      </c>
      <c r="D16" s="49">
        <v>3706875</v>
      </c>
      <c r="E16" s="49">
        <f>C16+D16</f>
        <v>3706875</v>
      </c>
      <c r="F16" s="49">
        <v>0</v>
      </c>
      <c r="G16" s="49">
        <f>E16+F16</f>
        <v>3706875</v>
      </c>
    </row>
    <row r="17" spans="1:7" ht="21.75" customHeight="1">
      <c r="A17" s="26" t="s">
        <v>355</v>
      </c>
      <c r="B17" s="48" t="s">
        <v>356</v>
      </c>
      <c r="C17" s="49">
        <v>86185955</v>
      </c>
      <c r="D17" s="49">
        <v>0</v>
      </c>
      <c r="E17" s="49">
        <v>86185955</v>
      </c>
      <c r="F17" s="49">
        <v>0</v>
      </c>
      <c r="G17" s="49">
        <v>86185955</v>
      </c>
    </row>
    <row r="18" spans="1:7" ht="21.75" customHeight="1">
      <c r="A18" s="28" t="s">
        <v>14</v>
      </c>
      <c r="B18" s="29" t="s">
        <v>15</v>
      </c>
      <c r="C18" s="45">
        <f>C19+C23</f>
        <v>82450000</v>
      </c>
      <c r="D18" s="45">
        <f>D19+D23</f>
        <v>0</v>
      </c>
      <c r="E18" s="45">
        <f>E19+E23</f>
        <v>82450000</v>
      </c>
      <c r="F18" s="45">
        <f>F19+F23</f>
        <v>0</v>
      </c>
      <c r="G18" s="45">
        <f>G19+G23</f>
        <v>82450000</v>
      </c>
    </row>
    <row r="19" spans="1:7" s="58" customFormat="1" ht="23.25" customHeight="1">
      <c r="A19" s="26" t="s">
        <v>16</v>
      </c>
      <c r="B19" s="27" t="s">
        <v>17</v>
      </c>
      <c r="C19" s="221">
        <f>SUM(C20:C22)</f>
        <v>82300000</v>
      </c>
      <c r="D19" s="221">
        <f>SUM(D20:D22)</f>
        <v>0</v>
      </c>
      <c r="E19" s="221">
        <f>SUM(E20:E22)</f>
        <v>82300000</v>
      </c>
      <c r="F19" s="221">
        <f>SUM(F20:F22)</f>
        <v>0</v>
      </c>
      <c r="G19" s="221">
        <f>SUM(G20:G22)</f>
        <v>82300000</v>
      </c>
    </row>
    <row r="20" spans="1:7" s="228" customFormat="1" ht="21.75" customHeight="1">
      <c r="A20" s="225" t="s">
        <v>18</v>
      </c>
      <c r="B20" s="226" t="s">
        <v>409</v>
      </c>
      <c r="C20" s="227">
        <v>80000000</v>
      </c>
      <c r="D20" s="227">
        <v>0</v>
      </c>
      <c r="E20" s="227">
        <v>80000000</v>
      </c>
      <c r="F20" s="227">
        <v>0</v>
      </c>
      <c r="G20" s="227">
        <v>80000000</v>
      </c>
    </row>
    <row r="21" spans="1:7" s="228" customFormat="1" ht="21.75" customHeight="1">
      <c r="A21" s="225" t="s">
        <v>19</v>
      </c>
      <c r="B21" s="226" t="s">
        <v>20</v>
      </c>
      <c r="C21" s="227">
        <v>2300000</v>
      </c>
      <c r="D21" s="227">
        <v>0</v>
      </c>
      <c r="E21" s="227">
        <v>2300000</v>
      </c>
      <c r="F21" s="227">
        <v>0</v>
      </c>
      <c r="G21" s="227">
        <v>2300000</v>
      </c>
    </row>
    <row r="22" spans="1:7" s="228" customFormat="1" ht="21.75" customHeight="1">
      <c r="A22" s="225" t="s">
        <v>21</v>
      </c>
      <c r="B22" s="226" t="s">
        <v>22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</row>
    <row r="23" spans="1:7" s="58" customFormat="1" ht="21.75" customHeight="1">
      <c r="A23" s="26" t="s">
        <v>23</v>
      </c>
      <c r="B23" s="27" t="s">
        <v>24</v>
      </c>
      <c r="C23" s="47">
        <v>150000</v>
      </c>
      <c r="D23" s="47">
        <v>0</v>
      </c>
      <c r="E23" s="47">
        <v>150000</v>
      </c>
      <c r="F23" s="47">
        <v>0</v>
      </c>
      <c r="G23" s="47">
        <v>150000</v>
      </c>
    </row>
    <row r="24" spans="1:7" ht="21.75" customHeight="1">
      <c r="A24" s="28" t="s">
        <v>25</v>
      </c>
      <c r="B24" s="29" t="s">
        <v>26</v>
      </c>
      <c r="C24" s="45">
        <f>SUM(C25:C32)</f>
        <v>11883000</v>
      </c>
      <c r="D24" s="45">
        <f>SUM(D25:D32)</f>
        <v>0</v>
      </c>
      <c r="E24" s="45">
        <f>SUM(E25:E32)</f>
        <v>11883000</v>
      </c>
      <c r="F24" s="45">
        <f>SUM(F25:F32)</f>
        <v>0</v>
      </c>
      <c r="G24" s="45">
        <f>SUM(G25:G32)</f>
        <v>11883000</v>
      </c>
    </row>
    <row r="25" spans="1:7" ht="21.75" customHeight="1">
      <c r="A25" s="26" t="s">
        <v>27</v>
      </c>
      <c r="B25" s="27" t="s">
        <v>127</v>
      </c>
      <c r="C25" s="47">
        <v>3760000</v>
      </c>
      <c r="D25" s="47">
        <v>0</v>
      </c>
      <c r="E25" s="47">
        <v>3760000</v>
      </c>
      <c r="F25" s="47">
        <v>0</v>
      </c>
      <c r="G25" s="47">
        <v>3760000</v>
      </c>
    </row>
    <row r="26" spans="1:7" ht="21.75" customHeight="1">
      <c r="A26" s="26" t="s">
        <v>238</v>
      </c>
      <c r="B26" s="27" t="s">
        <v>239</v>
      </c>
      <c r="C26" s="47">
        <v>637500</v>
      </c>
      <c r="D26" s="47">
        <v>0</v>
      </c>
      <c r="E26" s="47">
        <v>637500</v>
      </c>
      <c r="F26" s="47">
        <v>0</v>
      </c>
      <c r="G26" s="47">
        <v>637500</v>
      </c>
    </row>
    <row r="27" spans="1:7" ht="21.75" customHeight="1">
      <c r="A27" s="26" t="s">
        <v>28</v>
      </c>
      <c r="B27" s="27" t="s">
        <v>29</v>
      </c>
      <c r="C27" s="47">
        <v>6000000</v>
      </c>
      <c r="D27" s="47">
        <v>0</v>
      </c>
      <c r="E27" s="47">
        <v>6000000</v>
      </c>
      <c r="F27" s="47">
        <v>0</v>
      </c>
      <c r="G27" s="47">
        <v>6000000</v>
      </c>
    </row>
    <row r="28" spans="1:7" ht="18.75" customHeight="1">
      <c r="A28" s="26" t="s">
        <v>30</v>
      </c>
      <c r="B28" s="27" t="s">
        <v>31</v>
      </c>
      <c r="C28" s="47">
        <v>150000</v>
      </c>
      <c r="D28" s="47">
        <v>0</v>
      </c>
      <c r="E28" s="47">
        <v>150000</v>
      </c>
      <c r="F28" s="47">
        <v>0</v>
      </c>
      <c r="G28" s="47">
        <v>150000</v>
      </c>
    </row>
    <row r="29" spans="1:7" ht="24.75" customHeight="1">
      <c r="A29" s="26" t="s">
        <v>32</v>
      </c>
      <c r="B29" s="27" t="s">
        <v>33</v>
      </c>
      <c r="C29" s="47">
        <v>1265500</v>
      </c>
      <c r="D29" s="47">
        <v>0</v>
      </c>
      <c r="E29" s="47">
        <v>1265500</v>
      </c>
      <c r="F29" s="47">
        <v>0</v>
      </c>
      <c r="G29" s="47">
        <v>1265500</v>
      </c>
    </row>
    <row r="30" spans="1:7" ht="21.75" customHeight="1">
      <c r="A30" s="26" t="s">
        <v>34</v>
      </c>
      <c r="B30" s="27" t="s">
        <v>35</v>
      </c>
      <c r="C30" s="53">
        <v>10000</v>
      </c>
      <c r="D30" s="53">
        <v>0</v>
      </c>
      <c r="E30" s="53">
        <v>10000</v>
      </c>
      <c r="F30" s="53">
        <v>0</v>
      </c>
      <c r="G30" s="53">
        <v>10000</v>
      </c>
    </row>
    <row r="31" spans="1:7" ht="21.75" customHeight="1">
      <c r="A31" s="26" t="s">
        <v>36</v>
      </c>
      <c r="B31" s="27" t="s">
        <v>322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</row>
    <row r="32" spans="1:7" ht="21.75" customHeight="1">
      <c r="A32" s="26" t="s">
        <v>353</v>
      </c>
      <c r="B32" s="27" t="s">
        <v>37</v>
      </c>
      <c r="C32" s="53">
        <v>60000</v>
      </c>
      <c r="D32" s="53">
        <v>0</v>
      </c>
      <c r="E32" s="53">
        <v>60000</v>
      </c>
      <c r="F32" s="53">
        <v>0</v>
      </c>
      <c r="G32" s="53">
        <v>60000</v>
      </c>
    </row>
    <row r="33" spans="1:7" ht="21.75" customHeight="1">
      <c r="A33" s="28" t="s">
        <v>38</v>
      </c>
      <c r="B33" s="29" t="s">
        <v>39</v>
      </c>
      <c r="C33" s="223">
        <f>SUM(C34:C34)</f>
        <v>0</v>
      </c>
      <c r="D33" s="223">
        <f>SUM(D34:D34)</f>
        <v>0</v>
      </c>
      <c r="E33" s="223">
        <f>SUM(E34:E34)</f>
        <v>0</v>
      </c>
      <c r="F33" s="223">
        <f>SUM(F34:F34)</f>
        <v>0</v>
      </c>
      <c r="G33" s="223">
        <f>SUM(G34:G34)</f>
        <v>0</v>
      </c>
    </row>
    <row r="34" spans="1:7" ht="21.75" customHeight="1">
      <c r="A34" s="26" t="s">
        <v>240</v>
      </c>
      <c r="B34" s="27" t="s">
        <v>241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</row>
    <row r="35" spans="1:7" ht="21.75" customHeight="1">
      <c r="A35" s="28" t="s">
        <v>40</v>
      </c>
      <c r="B35" s="29" t="s">
        <v>41</v>
      </c>
      <c r="C35" s="45">
        <f>SUM(C36:C36)</f>
        <v>50000</v>
      </c>
      <c r="D35" s="45">
        <f>SUM(D36:D36)</f>
        <v>0</v>
      </c>
      <c r="E35" s="45">
        <f>SUM(E36:E36)</f>
        <v>50000</v>
      </c>
      <c r="F35" s="45">
        <f>SUM(F36:F36)</f>
        <v>0</v>
      </c>
      <c r="G35" s="45">
        <f>SUM(G36:G36)</f>
        <v>50000</v>
      </c>
    </row>
    <row r="36" spans="1:7" ht="21.75" customHeight="1">
      <c r="A36" s="26" t="s">
        <v>128</v>
      </c>
      <c r="B36" s="27" t="s">
        <v>42</v>
      </c>
      <c r="C36" s="47">
        <v>50000</v>
      </c>
      <c r="D36" s="47">
        <v>0</v>
      </c>
      <c r="E36" s="47">
        <v>50000</v>
      </c>
      <c r="F36" s="47">
        <v>0</v>
      </c>
      <c r="G36" s="47">
        <v>50000</v>
      </c>
    </row>
    <row r="37" spans="1:7" ht="21.75" customHeight="1">
      <c r="A37" s="28" t="s">
        <v>43</v>
      </c>
      <c r="B37" s="29" t="s">
        <v>186</v>
      </c>
      <c r="C37" s="251">
        <f>C38</f>
        <v>0</v>
      </c>
      <c r="D37" s="251">
        <f>D38</f>
        <v>0</v>
      </c>
      <c r="E37" s="251">
        <f>E38</f>
        <v>0</v>
      </c>
      <c r="F37" s="251">
        <f>F38</f>
        <v>0</v>
      </c>
      <c r="G37" s="251">
        <f>G38</f>
        <v>0</v>
      </c>
    </row>
    <row r="38" spans="1:7" ht="21.75" customHeight="1">
      <c r="A38" s="26" t="s">
        <v>357</v>
      </c>
      <c r="B38" s="27" t="s">
        <v>358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</row>
    <row r="39" spans="1:7" ht="30" customHeight="1">
      <c r="A39" s="31" t="s">
        <v>181</v>
      </c>
      <c r="B39" s="32" t="s">
        <v>44</v>
      </c>
      <c r="C39" s="50">
        <f>C7+C15+C18+C24+C33+C35+C37</f>
        <v>341543502</v>
      </c>
      <c r="D39" s="50">
        <f>D7+D15+D18+D24+D33+D35+D37</f>
        <v>3706875</v>
      </c>
      <c r="E39" s="50">
        <f>E7+E15+E18+E24+E33+E35+E37</f>
        <v>345250377</v>
      </c>
      <c r="F39" s="50">
        <f>F7+F15+F18+F24+F33+F35+F37</f>
        <v>0</v>
      </c>
      <c r="G39" s="50">
        <f>G7+G15+G18+G24+G33+G35+G37</f>
        <v>345250377</v>
      </c>
    </row>
    <row r="40" spans="1:7" ht="21.75" customHeight="1">
      <c r="A40" s="28" t="s">
        <v>45</v>
      </c>
      <c r="B40" s="29" t="s">
        <v>46</v>
      </c>
      <c r="C40" s="222">
        <f>SUM(C41:C42)</f>
        <v>88071346</v>
      </c>
      <c r="D40" s="222">
        <f>SUM(D41:D42)</f>
        <v>0</v>
      </c>
      <c r="E40" s="222">
        <f>SUM(E41:E42)</f>
        <v>88071346</v>
      </c>
      <c r="F40" s="222">
        <f>SUM(F41:F42)</f>
        <v>0</v>
      </c>
      <c r="G40" s="222">
        <f>SUM(G41:G42)</f>
        <v>88071346</v>
      </c>
    </row>
    <row r="41" spans="1:7" ht="21.75" customHeight="1">
      <c r="A41" s="26" t="s">
        <v>47</v>
      </c>
      <c r="B41" s="27" t="s">
        <v>48</v>
      </c>
      <c r="C41" s="47">
        <v>88071346</v>
      </c>
      <c r="D41" s="47">
        <v>0</v>
      </c>
      <c r="E41" s="47">
        <v>88071346</v>
      </c>
      <c r="F41" s="47">
        <v>0</v>
      </c>
      <c r="G41" s="47">
        <v>88071346</v>
      </c>
    </row>
    <row r="42" spans="1:7" ht="21.75" customHeight="1">
      <c r="A42" s="26" t="s">
        <v>242</v>
      </c>
      <c r="B42" s="27" t="s">
        <v>243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</row>
    <row r="43" spans="1:7" s="20" customFormat="1" ht="37.5" customHeight="1" thickBot="1">
      <c r="A43" s="33" t="s">
        <v>129</v>
      </c>
      <c r="B43" s="34" t="s">
        <v>49</v>
      </c>
      <c r="C43" s="51">
        <f>C39+C40</f>
        <v>429614848</v>
      </c>
      <c r="D43" s="51">
        <f>D39+D40</f>
        <v>3706875</v>
      </c>
      <c r="E43" s="51">
        <f>E39+E40</f>
        <v>433321723</v>
      </c>
      <c r="F43" s="51">
        <f>F39+F40</f>
        <v>0</v>
      </c>
      <c r="G43" s="51">
        <f>G39+G40</f>
        <v>433321723</v>
      </c>
    </row>
    <row r="44" spans="1:7" ht="15.75" thickTop="1">
      <c r="A44" s="2"/>
      <c r="B44" s="2"/>
      <c r="C44" s="2"/>
      <c r="D44" s="2"/>
      <c r="E44" s="2"/>
      <c r="F44" s="2"/>
      <c r="G44" s="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rowBreaks count="1" manualBreakCount="1">
    <brk id="4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0"/>
  <sheetViews>
    <sheetView view="pageBreakPreview" zoomScaleSheetLayoutView="100" zoomScalePageLayoutView="0" workbookViewId="0" topLeftCell="A1">
      <selection activeCell="A6" sqref="A6:B6"/>
    </sheetView>
  </sheetViews>
  <sheetFormatPr defaultColWidth="8.8515625" defaultRowHeight="12.75"/>
  <cols>
    <col min="1" max="1" width="6.7109375" style="0" customWidth="1"/>
    <col min="2" max="2" width="47.421875" style="0" customWidth="1"/>
    <col min="3" max="3" width="16.7109375" style="0" customWidth="1"/>
    <col min="4" max="4" width="16.7109375" style="0" hidden="1" customWidth="1"/>
    <col min="5" max="7" width="16.7109375" style="0" customWidth="1"/>
  </cols>
  <sheetData>
    <row r="1" spans="1:7" ht="30" customHeight="1">
      <c r="A1" s="542" t="s">
        <v>184</v>
      </c>
      <c r="B1" s="542"/>
      <c r="C1" s="542"/>
      <c r="D1" s="542"/>
      <c r="E1" s="542"/>
      <c r="F1" s="542"/>
      <c r="G1" s="542"/>
    </row>
    <row r="2" spans="1:7" ht="18" customHeight="1">
      <c r="A2" s="543" t="s">
        <v>333</v>
      </c>
      <c r="B2" s="543"/>
      <c r="C2" s="543"/>
      <c r="D2" s="543"/>
      <c r="E2" s="543"/>
      <c r="F2" s="543"/>
      <c r="G2" s="543"/>
    </row>
    <row r="3" spans="1:7" ht="18" customHeight="1">
      <c r="A3" s="271"/>
      <c r="B3" s="271"/>
      <c r="C3" s="271"/>
      <c r="D3" s="271"/>
      <c r="E3" s="271"/>
      <c r="F3" s="271"/>
      <c r="G3" s="271"/>
    </row>
    <row r="4" spans="1:7" ht="18" customHeight="1">
      <c r="A4" s="271"/>
      <c r="B4" s="271"/>
      <c r="C4" s="271"/>
      <c r="D4" s="271"/>
      <c r="E4" s="271"/>
      <c r="F4" s="271"/>
      <c r="G4" s="271"/>
    </row>
    <row r="5" spans="1:11" ht="19.5" customHeight="1">
      <c r="A5" s="541" t="s">
        <v>573</v>
      </c>
      <c r="B5" s="541"/>
      <c r="C5" s="267"/>
      <c r="D5" s="267"/>
      <c r="E5" s="267"/>
      <c r="F5" s="267"/>
      <c r="G5" s="207"/>
      <c r="H5" s="267"/>
      <c r="I5" s="207"/>
      <c r="J5" s="267"/>
      <c r="K5" s="207"/>
    </row>
    <row r="6" spans="1:11" ht="24" customHeight="1" thickBot="1">
      <c r="A6" s="540" t="s">
        <v>532</v>
      </c>
      <c r="B6" s="540"/>
      <c r="C6" s="269"/>
      <c r="D6" s="276"/>
      <c r="E6" s="276"/>
      <c r="F6" s="276"/>
      <c r="G6" s="40" t="s">
        <v>320</v>
      </c>
      <c r="H6" s="276"/>
      <c r="I6" s="40"/>
      <c r="J6" s="276"/>
      <c r="K6" s="40"/>
    </row>
    <row r="7" spans="1:7" ht="44.25" customHeight="1" thickBot="1" thickTop="1">
      <c r="A7" s="54" t="s">
        <v>0</v>
      </c>
      <c r="B7" s="37" t="s">
        <v>1</v>
      </c>
      <c r="C7" s="38" t="s">
        <v>354</v>
      </c>
      <c r="D7" s="38" t="s">
        <v>412</v>
      </c>
      <c r="E7" s="38" t="s">
        <v>413</v>
      </c>
      <c r="F7" s="38" t="s">
        <v>531</v>
      </c>
      <c r="G7" s="38" t="s">
        <v>529</v>
      </c>
    </row>
    <row r="8" spans="1:7" ht="12.75" customHeight="1" thickTop="1">
      <c r="A8" s="59" t="s">
        <v>93</v>
      </c>
      <c r="B8" s="60" t="s">
        <v>94</v>
      </c>
      <c r="C8" s="60" t="s">
        <v>95</v>
      </c>
      <c r="D8" s="60" t="s">
        <v>96</v>
      </c>
      <c r="E8" s="60" t="s">
        <v>96</v>
      </c>
      <c r="F8" s="60" t="s">
        <v>97</v>
      </c>
      <c r="G8" s="60" t="s">
        <v>305</v>
      </c>
    </row>
    <row r="9" spans="1:7" ht="21.75" customHeight="1">
      <c r="A9" s="35" t="s">
        <v>2</v>
      </c>
      <c r="B9" s="36" t="s">
        <v>3</v>
      </c>
      <c r="C9" s="52">
        <f>C10+C16</f>
        <v>160974547</v>
      </c>
      <c r="D9" s="52">
        <f>D10+D16</f>
        <v>0</v>
      </c>
      <c r="E9" s="52">
        <f>E10+E16</f>
        <v>160974547</v>
      </c>
      <c r="F9" s="52">
        <f>F10+F16</f>
        <v>2494167</v>
      </c>
      <c r="G9" s="52">
        <f>G10+G16</f>
        <v>163468714</v>
      </c>
    </row>
    <row r="10" spans="1:7" s="478" customFormat="1" ht="21.75" customHeight="1">
      <c r="A10" s="26" t="s">
        <v>4</v>
      </c>
      <c r="B10" s="27" t="s">
        <v>5</v>
      </c>
      <c r="C10" s="47">
        <f>SUM(C11:C15)</f>
        <v>123425683</v>
      </c>
      <c r="D10" s="47">
        <f>SUM(D11:D15)</f>
        <v>0</v>
      </c>
      <c r="E10" s="47">
        <f>SUM(E11:E15)</f>
        <v>123425683</v>
      </c>
      <c r="F10" s="47">
        <f>SUM(F11:F15)</f>
        <v>2494167</v>
      </c>
      <c r="G10" s="47">
        <f>SUM(G11:G15)</f>
        <v>125919850</v>
      </c>
    </row>
    <row r="11" spans="1:7" s="478" customFormat="1" ht="21.75" customHeight="1" hidden="1">
      <c r="A11" s="26" t="s">
        <v>130</v>
      </c>
      <c r="B11" s="27" t="s">
        <v>6</v>
      </c>
      <c r="C11" s="47">
        <v>44635962</v>
      </c>
      <c r="D11" s="47">
        <v>0</v>
      </c>
      <c r="E11" s="47">
        <v>44635962</v>
      </c>
      <c r="F11" s="47">
        <v>0</v>
      </c>
      <c r="G11" s="47">
        <v>44635962</v>
      </c>
    </row>
    <row r="12" spans="1:7" s="478" customFormat="1" ht="21.75" customHeight="1" hidden="1">
      <c r="A12" s="26" t="s">
        <v>131</v>
      </c>
      <c r="B12" s="27" t="s">
        <v>7</v>
      </c>
      <c r="C12" s="47">
        <v>42304768</v>
      </c>
      <c r="D12" s="47">
        <v>0</v>
      </c>
      <c r="E12" s="47">
        <v>42304768</v>
      </c>
      <c r="F12" s="47">
        <v>0</v>
      </c>
      <c r="G12" s="47">
        <v>42304768</v>
      </c>
    </row>
    <row r="13" spans="1:7" s="478" customFormat="1" ht="21.75" customHeight="1" hidden="1">
      <c r="A13" s="26" t="s">
        <v>132</v>
      </c>
      <c r="B13" s="27" t="s">
        <v>8</v>
      </c>
      <c r="C13" s="47">
        <v>32891974</v>
      </c>
      <c r="D13" s="47">
        <v>0</v>
      </c>
      <c r="E13" s="47">
        <v>32891974</v>
      </c>
      <c r="F13" s="47">
        <v>2494167</v>
      </c>
      <c r="G13" s="47">
        <f>E13+F13</f>
        <v>35386141</v>
      </c>
    </row>
    <row r="14" spans="1:7" s="478" customFormat="1" ht="21.75" customHeight="1" hidden="1">
      <c r="A14" s="26" t="s">
        <v>133</v>
      </c>
      <c r="B14" s="27" t="s">
        <v>9</v>
      </c>
      <c r="C14" s="47">
        <v>1800000</v>
      </c>
      <c r="D14" s="47">
        <v>0</v>
      </c>
      <c r="E14" s="47">
        <v>1800000</v>
      </c>
      <c r="F14" s="47">
        <v>0</v>
      </c>
      <c r="G14" s="47">
        <v>1800000</v>
      </c>
    </row>
    <row r="15" spans="1:7" s="478" customFormat="1" ht="21.75" customHeight="1" hidden="1">
      <c r="A15" s="26" t="s">
        <v>134</v>
      </c>
      <c r="B15" s="48" t="s">
        <v>321</v>
      </c>
      <c r="C15" s="49">
        <v>1792979</v>
      </c>
      <c r="D15" s="49">
        <v>0</v>
      </c>
      <c r="E15" s="49">
        <v>1792979</v>
      </c>
      <c r="F15" s="49">
        <v>0</v>
      </c>
      <c r="G15" s="49">
        <v>1792979</v>
      </c>
    </row>
    <row r="16" spans="1:7" s="478" customFormat="1" ht="21.75" customHeight="1">
      <c r="A16" s="26" t="s">
        <v>10</v>
      </c>
      <c r="B16" s="27" t="s">
        <v>11</v>
      </c>
      <c r="C16" s="47">
        <v>37548864</v>
      </c>
      <c r="D16" s="47">
        <v>0</v>
      </c>
      <c r="E16" s="47">
        <v>37548864</v>
      </c>
      <c r="F16" s="47">
        <v>0</v>
      </c>
      <c r="G16" s="47">
        <v>37548864</v>
      </c>
    </row>
    <row r="17" spans="1:7" ht="21.75" customHeight="1">
      <c r="A17" s="28" t="s">
        <v>12</v>
      </c>
      <c r="B17" s="29" t="s">
        <v>13</v>
      </c>
      <c r="C17" s="222">
        <f>C18+C19</f>
        <v>86185955</v>
      </c>
      <c r="D17" s="222">
        <f>D18+D19</f>
        <v>3706875</v>
      </c>
      <c r="E17" s="222">
        <f>E18+E19</f>
        <v>89892830</v>
      </c>
      <c r="F17" s="222">
        <f>F18+F19</f>
        <v>0</v>
      </c>
      <c r="G17" s="222">
        <f>G18+G19</f>
        <v>89892830</v>
      </c>
    </row>
    <row r="18" spans="1:7" ht="21.75" customHeight="1">
      <c r="A18" s="26" t="s">
        <v>163</v>
      </c>
      <c r="B18" s="48" t="s">
        <v>237</v>
      </c>
      <c r="C18" s="49">
        <v>0</v>
      </c>
      <c r="D18" s="49">
        <v>3706875</v>
      </c>
      <c r="E18" s="49">
        <f>C18+D18</f>
        <v>3706875</v>
      </c>
      <c r="F18" s="49">
        <v>0</v>
      </c>
      <c r="G18" s="49">
        <f>E18+F18</f>
        <v>3706875</v>
      </c>
    </row>
    <row r="19" spans="1:7" ht="21.75" customHeight="1">
      <c r="A19" s="26" t="s">
        <v>355</v>
      </c>
      <c r="B19" s="48" t="s">
        <v>356</v>
      </c>
      <c r="C19" s="49">
        <v>86185955</v>
      </c>
      <c r="D19" s="49">
        <v>0</v>
      </c>
      <c r="E19" s="49">
        <v>86185955</v>
      </c>
      <c r="F19" s="49">
        <v>0</v>
      </c>
      <c r="G19" s="49">
        <v>86185955</v>
      </c>
    </row>
    <row r="20" spans="1:7" ht="21.75" customHeight="1">
      <c r="A20" s="28" t="s">
        <v>14</v>
      </c>
      <c r="B20" s="29" t="s">
        <v>15</v>
      </c>
      <c r="C20" s="45">
        <f>C21+C24</f>
        <v>82450000</v>
      </c>
      <c r="D20" s="45">
        <f>D21+D24</f>
        <v>0</v>
      </c>
      <c r="E20" s="45">
        <f>E21+E24</f>
        <v>82450000</v>
      </c>
      <c r="F20" s="45">
        <f>F21+F24</f>
        <v>0</v>
      </c>
      <c r="G20" s="45">
        <f>G21+G24</f>
        <v>82450000</v>
      </c>
    </row>
    <row r="21" spans="1:7" s="478" customFormat="1" ht="23.25" customHeight="1">
      <c r="A21" s="26" t="s">
        <v>16</v>
      </c>
      <c r="B21" s="27" t="s">
        <v>17</v>
      </c>
      <c r="C21" s="221">
        <f>SUM(C22:C23)</f>
        <v>82300000</v>
      </c>
      <c r="D21" s="221">
        <f>SUM(D22:D23)</f>
        <v>0</v>
      </c>
      <c r="E21" s="221">
        <f>SUM(E22:E23)</f>
        <v>82300000</v>
      </c>
      <c r="F21" s="221">
        <f>SUM(F22:F23)</f>
        <v>0</v>
      </c>
      <c r="G21" s="221">
        <f>SUM(G22:G23)</f>
        <v>82300000</v>
      </c>
    </row>
    <row r="22" spans="1:7" s="228" customFormat="1" ht="21.75" customHeight="1">
      <c r="A22" s="225" t="s">
        <v>18</v>
      </c>
      <c r="B22" s="226" t="s">
        <v>409</v>
      </c>
      <c r="C22" s="227">
        <v>80000000</v>
      </c>
      <c r="D22" s="227">
        <v>0</v>
      </c>
      <c r="E22" s="227">
        <v>80000000</v>
      </c>
      <c r="F22" s="227">
        <v>0</v>
      </c>
      <c r="G22" s="227">
        <v>80000000</v>
      </c>
    </row>
    <row r="23" spans="1:7" s="228" customFormat="1" ht="21.75" customHeight="1">
      <c r="A23" s="225" t="s">
        <v>19</v>
      </c>
      <c r="B23" s="226" t="s">
        <v>20</v>
      </c>
      <c r="C23" s="227">
        <v>2300000</v>
      </c>
      <c r="D23" s="227">
        <v>0</v>
      </c>
      <c r="E23" s="227">
        <v>2300000</v>
      </c>
      <c r="F23" s="227">
        <v>0</v>
      </c>
      <c r="G23" s="227">
        <v>2300000</v>
      </c>
    </row>
    <row r="24" spans="1:7" s="478" customFormat="1" ht="21.75" customHeight="1">
      <c r="A24" s="26" t="s">
        <v>23</v>
      </c>
      <c r="B24" s="27" t="s">
        <v>24</v>
      </c>
      <c r="C24" s="47">
        <v>150000</v>
      </c>
      <c r="D24" s="47">
        <v>0</v>
      </c>
      <c r="E24" s="47">
        <v>150000</v>
      </c>
      <c r="F24" s="47">
        <v>0</v>
      </c>
      <c r="G24" s="47">
        <v>150000</v>
      </c>
    </row>
    <row r="25" spans="1:7" ht="21.75" customHeight="1">
      <c r="A25" s="28" t="s">
        <v>25</v>
      </c>
      <c r="B25" s="29" t="s">
        <v>26</v>
      </c>
      <c r="C25" s="45">
        <f>SUM(C26:C32)</f>
        <v>11883000</v>
      </c>
      <c r="D25" s="45">
        <f>SUM(D26:D32)</f>
        <v>0</v>
      </c>
      <c r="E25" s="45">
        <f>SUM(E26:E32)</f>
        <v>11883000</v>
      </c>
      <c r="F25" s="45">
        <f>SUM(F26:F32)</f>
        <v>0</v>
      </c>
      <c r="G25" s="45">
        <f>SUM(G26:G32)</f>
        <v>11883000</v>
      </c>
    </row>
    <row r="26" spans="1:7" ht="21.75" customHeight="1">
      <c r="A26" s="26" t="s">
        <v>27</v>
      </c>
      <c r="B26" s="27" t="s">
        <v>127</v>
      </c>
      <c r="C26" s="47">
        <v>3760000</v>
      </c>
      <c r="D26" s="47">
        <v>0</v>
      </c>
      <c r="E26" s="47">
        <v>3760000</v>
      </c>
      <c r="F26" s="47">
        <v>0</v>
      </c>
      <c r="G26" s="47">
        <v>3760000</v>
      </c>
    </row>
    <row r="27" spans="1:7" ht="21.75" customHeight="1">
      <c r="A27" s="26" t="s">
        <v>238</v>
      </c>
      <c r="B27" s="27" t="s">
        <v>239</v>
      </c>
      <c r="C27" s="47">
        <v>637500</v>
      </c>
      <c r="D27" s="47">
        <v>0</v>
      </c>
      <c r="E27" s="47">
        <v>637500</v>
      </c>
      <c r="F27" s="47">
        <v>0</v>
      </c>
      <c r="G27" s="47">
        <v>637500</v>
      </c>
    </row>
    <row r="28" spans="1:7" ht="21.75" customHeight="1">
      <c r="A28" s="26" t="s">
        <v>28</v>
      </c>
      <c r="B28" s="27" t="s">
        <v>29</v>
      </c>
      <c r="C28" s="47">
        <v>6000000</v>
      </c>
      <c r="D28" s="47">
        <v>0</v>
      </c>
      <c r="E28" s="47">
        <v>6000000</v>
      </c>
      <c r="F28" s="47">
        <v>0</v>
      </c>
      <c r="G28" s="47">
        <v>6000000</v>
      </c>
    </row>
    <row r="29" spans="1:7" ht="18.75" customHeight="1">
      <c r="A29" s="26" t="s">
        <v>30</v>
      </c>
      <c r="B29" s="27" t="s">
        <v>31</v>
      </c>
      <c r="C29" s="47">
        <v>150000</v>
      </c>
      <c r="D29" s="47">
        <v>0</v>
      </c>
      <c r="E29" s="47">
        <v>150000</v>
      </c>
      <c r="F29" s="47">
        <v>0</v>
      </c>
      <c r="G29" s="47">
        <v>150000</v>
      </c>
    </row>
    <row r="30" spans="1:7" ht="24.75" customHeight="1">
      <c r="A30" s="26" t="s">
        <v>32</v>
      </c>
      <c r="B30" s="27" t="s">
        <v>33</v>
      </c>
      <c r="C30" s="47">
        <v>1265500</v>
      </c>
      <c r="D30" s="47">
        <v>0</v>
      </c>
      <c r="E30" s="47">
        <v>1265500</v>
      </c>
      <c r="F30" s="47">
        <v>0</v>
      </c>
      <c r="G30" s="47">
        <v>1265500</v>
      </c>
    </row>
    <row r="31" spans="1:7" ht="21.75" customHeight="1">
      <c r="A31" s="26" t="s">
        <v>34</v>
      </c>
      <c r="B31" s="27" t="s">
        <v>35</v>
      </c>
      <c r="C31" s="53">
        <v>10000</v>
      </c>
      <c r="D31" s="53">
        <v>0</v>
      </c>
      <c r="E31" s="53">
        <v>10000</v>
      </c>
      <c r="F31" s="53">
        <v>0</v>
      </c>
      <c r="G31" s="53">
        <v>10000</v>
      </c>
    </row>
    <row r="32" spans="1:7" ht="21.75" customHeight="1">
      <c r="A32" s="26" t="s">
        <v>353</v>
      </c>
      <c r="B32" s="27" t="s">
        <v>37</v>
      </c>
      <c r="C32" s="53">
        <v>60000</v>
      </c>
      <c r="D32" s="53">
        <v>0</v>
      </c>
      <c r="E32" s="53">
        <v>60000</v>
      </c>
      <c r="F32" s="53">
        <v>0</v>
      </c>
      <c r="G32" s="53">
        <v>60000</v>
      </c>
    </row>
    <row r="33" spans="1:7" ht="21.75" customHeight="1">
      <c r="A33" s="28" t="s">
        <v>40</v>
      </c>
      <c r="B33" s="29" t="s">
        <v>41</v>
      </c>
      <c r="C33" s="45">
        <f>SUM(C34:C34)</f>
        <v>50000</v>
      </c>
      <c r="D33" s="45">
        <f>SUM(D34:D34)</f>
        <v>0</v>
      </c>
      <c r="E33" s="45">
        <f>SUM(E34:E34)</f>
        <v>50000</v>
      </c>
      <c r="F33" s="45">
        <f>SUM(F34:F34)</f>
        <v>0</v>
      </c>
      <c r="G33" s="45">
        <f>SUM(G34:G34)</f>
        <v>50000</v>
      </c>
    </row>
    <row r="34" spans="1:7" ht="21.75" customHeight="1" hidden="1">
      <c r="A34" s="26" t="s">
        <v>128</v>
      </c>
      <c r="B34" s="27" t="s">
        <v>42</v>
      </c>
      <c r="C34" s="47">
        <v>50000</v>
      </c>
      <c r="D34" s="47">
        <v>0</v>
      </c>
      <c r="E34" s="47">
        <v>50000</v>
      </c>
      <c r="F34" s="47">
        <v>0</v>
      </c>
      <c r="G34" s="47">
        <v>50000</v>
      </c>
    </row>
    <row r="35" spans="1:7" ht="30" customHeight="1">
      <c r="A35" s="31" t="s">
        <v>181</v>
      </c>
      <c r="B35" s="32" t="s">
        <v>44</v>
      </c>
      <c r="C35" s="50">
        <f>C9+C17+C20+C25+C33</f>
        <v>341543502</v>
      </c>
      <c r="D35" s="50">
        <f>D9+D17+D20+D25+D33</f>
        <v>3706875</v>
      </c>
      <c r="E35" s="50">
        <f>E9+E17+E20+E25+E33</f>
        <v>345250377</v>
      </c>
      <c r="F35" s="50">
        <f>F9+F17+F20+F25+F33</f>
        <v>2494167</v>
      </c>
      <c r="G35" s="50">
        <f>G9+G17+G20+G25+G33</f>
        <v>347744544</v>
      </c>
    </row>
    <row r="36" spans="1:7" ht="21.75" customHeight="1">
      <c r="A36" s="28" t="s">
        <v>45</v>
      </c>
      <c r="B36" s="29" t="s">
        <v>46</v>
      </c>
      <c r="C36" s="222">
        <f>SUM(C37:C38)</f>
        <v>88071346</v>
      </c>
      <c r="D36" s="222">
        <f>SUM(D37:D38)</f>
        <v>0</v>
      </c>
      <c r="E36" s="222">
        <f>SUM(E37:E38)</f>
        <v>88071346</v>
      </c>
      <c r="F36" s="222">
        <f>SUM(F37:F38)</f>
        <v>0</v>
      </c>
      <c r="G36" s="222">
        <f>SUM(G37:G38)</f>
        <v>88071346</v>
      </c>
    </row>
    <row r="37" spans="1:7" ht="21.75" customHeight="1">
      <c r="A37" s="26" t="s">
        <v>47</v>
      </c>
      <c r="B37" s="27" t="s">
        <v>48</v>
      </c>
      <c r="C37" s="47">
        <v>88071346</v>
      </c>
      <c r="D37" s="47">
        <v>0</v>
      </c>
      <c r="E37" s="47">
        <v>88071346</v>
      </c>
      <c r="F37" s="47">
        <v>0</v>
      </c>
      <c r="G37" s="47">
        <v>88071346</v>
      </c>
    </row>
    <row r="38" spans="1:7" ht="21.75" customHeight="1">
      <c r="A38" s="26" t="s">
        <v>242</v>
      </c>
      <c r="B38" s="27" t="s">
        <v>243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</row>
    <row r="39" spans="1:7" s="20" customFormat="1" ht="37.5" customHeight="1" thickBot="1">
      <c r="A39" s="33" t="s">
        <v>129</v>
      </c>
      <c r="B39" s="34" t="s">
        <v>49</v>
      </c>
      <c r="C39" s="51">
        <f>C35+C36</f>
        <v>429614848</v>
      </c>
      <c r="D39" s="51">
        <f>D35+D36</f>
        <v>3706875</v>
      </c>
      <c r="E39" s="51">
        <f>E35+E36</f>
        <v>433321723</v>
      </c>
      <c r="F39" s="51">
        <f>F35+F36</f>
        <v>2494167</v>
      </c>
      <c r="G39" s="51">
        <f>G35+G36</f>
        <v>435815890</v>
      </c>
    </row>
    <row r="40" spans="1:7" ht="15.75" thickTop="1">
      <c r="A40" s="2"/>
      <c r="B40" s="2"/>
      <c r="C40" s="2"/>
      <c r="D40" s="2"/>
      <c r="E40" s="2"/>
      <c r="F40" s="2"/>
      <c r="G40" s="2"/>
    </row>
  </sheetData>
  <sheetProtection/>
  <mergeCells count="4">
    <mergeCell ref="A6:B6"/>
    <mergeCell ref="A5:B5"/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rowBreaks count="1" manualBreakCount="1">
    <brk id="3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6"/>
  <sheetViews>
    <sheetView zoomScalePageLayoutView="0" workbookViewId="0" topLeftCell="A1">
      <selection activeCell="A5" sqref="A5:B5"/>
    </sheetView>
  </sheetViews>
  <sheetFormatPr defaultColWidth="8.8515625" defaultRowHeight="12.75"/>
  <cols>
    <col min="1" max="1" width="7.140625" style="0" customWidth="1"/>
    <col min="2" max="2" width="45.421875" style="0" customWidth="1"/>
    <col min="3" max="3" width="16.7109375" style="0" customWidth="1"/>
    <col min="4" max="4" width="16.140625" style="0" hidden="1" customWidth="1"/>
    <col min="5" max="5" width="16.28125" style="0" hidden="1" customWidth="1"/>
    <col min="6" max="6" width="16.140625" style="0" hidden="1" customWidth="1"/>
    <col min="7" max="7" width="16.28125" style="0" hidden="1" customWidth="1"/>
    <col min="8" max="8" width="16.140625" style="0" hidden="1" customWidth="1"/>
    <col min="9" max="9" width="16.28125" style="0" customWidth="1"/>
    <col min="10" max="10" width="16.140625" style="0" customWidth="1"/>
    <col min="11" max="11" width="16.28125" style="0" customWidth="1"/>
  </cols>
  <sheetData>
    <row r="1" spans="1:11" ht="30" customHeight="1">
      <c r="A1" s="542" t="s">
        <v>185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</row>
    <row r="2" spans="1:11" ht="18" customHeight="1">
      <c r="A2" s="543" t="s">
        <v>333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</row>
    <row r="3" spans="1:11" ht="18" customHeigh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19.5" customHeight="1">
      <c r="A4" s="541" t="s">
        <v>574</v>
      </c>
      <c r="B4" s="541"/>
      <c r="C4" s="267"/>
      <c r="D4" s="267"/>
      <c r="E4" s="267"/>
      <c r="F4" s="267"/>
      <c r="G4" s="207"/>
      <c r="H4" s="267"/>
      <c r="I4" s="207"/>
      <c r="J4" s="267"/>
      <c r="K4" s="207"/>
    </row>
    <row r="5" spans="1:11" ht="24" customHeight="1" thickBot="1">
      <c r="A5" s="540" t="s">
        <v>426</v>
      </c>
      <c r="B5" s="540"/>
      <c r="C5" s="269"/>
      <c r="D5" s="276"/>
      <c r="E5" s="276"/>
      <c r="F5" s="276"/>
      <c r="G5" s="40"/>
      <c r="H5" s="276"/>
      <c r="I5" s="40"/>
      <c r="J5" s="276"/>
      <c r="K5" s="40" t="s">
        <v>326</v>
      </c>
    </row>
    <row r="6" spans="1:11" ht="38.25" customHeight="1" thickBot="1" thickTop="1">
      <c r="A6" s="56" t="s">
        <v>0</v>
      </c>
      <c r="B6" s="57" t="s">
        <v>1</v>
      </c>
      <c r="C6" s="38" t="s">
        <v>354</v>
      </c>
      <c r="D6" s="38" t="s">
        <v>414</v>
      </c>
      <c r="E6" s="38" t="s">
        <v>413</v>
      </c>
      <c r="F6" s="38" t="s">
        <v>425</v>
      </c>
      <c r="G6" s="38" t="s">
        <v>424</v>
      </c>
      <c r="H6" s="38" t="s">
        <v>479</v>
      </c>
      <c r="I6" s="38" t="s">
        <v>478</v>
      </c>
      <c r="J6" s="38" t="s">
        <v>530</v>
      </c>
      <c r="K6" s="38" t="s">
        <v>529</v>
      </c>
    </row>
    <row r="7" spans="1:11" ht="12.75" customHeight="1" thickTop="1">
      <c r="A7" s="59" t="s">
        <v>93</v>
      </c>
      <c r="B7" s="60" t="s">
        <v>94</v>
      </c>
      <c r="C7" s="60" t="s">
        <v>95</v>
      </c>
      <c r="D7" s="60" t="s">
        <v>96</v>
      </c>
      <c r="E7" s="60" t="s">
        <v>96</v>
      </c>
      <c r="F7" s="60" t="s">
        <v>97</v>
      </c>
      <c r="G7" s="60" t="s">
        <v>96</v>
      </c>
      <c r="H7" s="60" t="s">
        <v>97</v>
      </c>
      <c r="I7" s="60" t="s">
        <v>96</v>
      </c>
      <c r="J7" s="60" t="s">
        <v>97</v>
      </c>
      <c r="K7" s="60" t="s">
        <v>305</v>
      </c>
    </row>
    <row r="8" spans="1:11" s="22" customFormat="1" ht="21.75" customHeight="1">
      <c r="A8" s="35" t="s">
        <v>50</v>
      </c>
      <c r="B8" s="36" t="s">
        <v>51</v>
      </c>
      <c r="C8" s="52">
        <f aca="true" t="shared" si="0" ref="C8:H8">C9+C16</f>
        <v>47206036</v>
      </c>
      <c r="D8" s="52">
        <f t="shared" si="0"/>
        <v>0</v>
      </c>
      <c r="E8" s="52">
        <f t="shared" si="0"/>
        <v>47206036</v>
      </c>
      <c r="F8" s="52">
        <f t="shared" si="0"/>
        <v>0</v>
      </c>
      <c r="G8" s="52">
        <f t="shared" si="0"/>
        <v>47206036</v>
      </c>
      <c r="H8" s="52">
        <f t="shared" si="0"/>
        <v>810990</v>
      </c>
      <c r="I8" s="52">
        <f>G8+H8</f>
        <v>48017026</v>
      </c>
      <c r="J8" s="52">
        <f>J9+J16</f>
        <v>0</v>
      </c>
      <c r="K8" s="52">
        <f>I8+J8</f>
        <v>48017026</v>
      </c>
    </row>
    <row r="9" spans="1:11" s="21" customFormat="1" ht="21.75" customHeight="1">
      <c r="A9" s="26" t="s">
        <v>52</v>
      </c>
      <c r="B9" s="27" t="s">
        <v>53</v>
      </c>
      <c r="C9" s="47">
        <f aca="true" t="shared" si="1" ref="C9:I9">SUM(C10:C15)</f>
        <v>36766036</v>
      </c>
      <c r="D9" s="47">
        <f t="shared" si="1"/>
        <v>0</v>
      </c>
      <c r="E9" s="47">
        <f t="shared" si="1"/>
        <v>36766036</v>
      </c>
      <c r="F9" s="47">
        <f t="shared" si="1"/>
        <v>0</v>
      </c>
      <c r="G9" s="47">
        <f t="shared" si="1"/>
        <v>36766036</v>
      </c>
      <c r="H9" s="47">
        <f t="shared" si="1"/>
        <v>0</v>
      </c>
      <c r="I9" s="47">
        <f t="shared" si="1"/>
        <v>36766036</v>
      </c>
      <c r="J9" s="47">
        <f>SUM(J10:J15)</f>
        <v>0</v>
      </c>
      <c r="K9" s="47">
        <f>SUM(K10:K15)</f>
        <v>36766036</v>
      </c>
    </row>
    <row r="10" spans="1:11" s="21" customFormat="1" ht="22.5" customHeight="1" hidden="1">
      <c r="A10" s="26" t="s">
        <v>135</v>
      </c>
      <c r="B10" s="27" t="s">
        <v>54</v>
      </c>
      <c r="C10" s="47">
        <v>33575000</v>
      </c>
      <c r="D10" s="47">
        <v>0</v>
      </c>
      <c r="E10" s="47">
        <v>33575000</v>
      </c>
      <c r="F10" s="47">
        <v>-30000</v>
      </c>
      <c r="G10" s="47">
        <f>E10+F10</f>
        <v>33545000</v>
      </c>
      <c r="H10" s="47">
        <v>0</v>
      </c>
      <c r="I10" s="47">
        <f aca="true" t="shared" si="2" ref="I10:I15">G10+H10</f>
        <v>33545000</v>
      </c>
      <c r="J10" s="47">
        <v>0</v>
      </c>
      <c r="K10" s="47">
        <f aca="true" t="shared" si="3" ref="K10:K15">I10+J10</f>
        <v>33545000</v>
      </c>
    </row>
    <row r="11" spans="1:11" s="21" customFormat="1" ht="22.5" customHeight="1" hidden="1">
      <c r="A11" s="26" t="s">
        <v>188</v>
      </c>
      <c r="B11" s="27" t="s">
        <v>189</v>
      </c>
      <c r="C11" s="47">
        <v>0</v>
      </c>
      <c r="D11" s="47">
        <v>0</v>
      </c>
      <c r="E11" s="47">
        <v>0</v>
      </c>
      <c r="F11" s="47">
        <v>30000</v>
      </c>
      <c r="G11" s="47">
        <f>F11</f>
        <v>30000</v>
      </c>
      <c r="H11" s="47">
        <v>0</v>
      </c>
      <c r="I11" s="47">
        <f t="shared" si="2"/>
        <v>30000</v>
      </c>
      <c r="J11" s="47">
        <v>0</v>
      </c>
      <c r="K11" s="47">
        <f t="shared" si="3"/>
        <v>30000</v>
      </c>
    </row>
    <row r="12" spans="1:11" s="21" customFormat="1" ht="21.75" customHeight="1" hidden="1">
      <c r="A12" s="26" t="s">
        <v>136</v>
      </c>
      <c r="B12" s="27" t="s">
        <v>55</v>
      </c>
      <c r="C12" s="47">
        <v>2095036</v>
      </c>
      <c r="D12" s="47">
        <v>0</v>
      </c>
      <c r="E12" s="47">
        <v>2095036</v>
      </c>
      <c r="F12" s="47">
        <v>0</v>
      </c>
      <c r="G12" s="47">
        <v>2095036</v>
      </c>
      <c r="H12" s="47">
        <v>0</v>
      </c>
      <c r="I12" s="47">
        <f t="shared" si="2"/>
        <v>2095036</v>
      </c>
      <c r="J12" s="47">
        <v>0</v>
      </c>
      <c r="K12" s="47">
        <f t="shared" si="3"/>
        <v>2095036</v>
      </c>
    </row>
    <row r="13" spans="1:11" s="21" customFormat="1" ht="21.75" customHeight="1" hidden="1">
      <c r="A13" s="26" t="s">
        <v>137</v>
      </c>
      <c r="B13" s="27" t="s">
        <v>56</v>
      </c>
      <c r="C13" s="47">
        <v>36000</v>
      </c>
      <c r="D13" s="47">
        <v>0</v>
      </c>
      <c r="E13" s="47">
        <v>36000</v>
      </c>
      <c r="F13" s="47">
        <v>0</v>
      </c>
      <c r="G13" s="47">
        <v>36000</v>
      </c>
      <c r="H13" s="47">
        <v>0</v>
      </c>
      <c r="I13" s="47">
        <f t="shared" si="2"/>
        <v>36000</v>
      </c>
      <c r="J13" s="47">
        <v>0</v>
      </c>
      <c r="K13" s="47">
        <f t="shared" si="3"/>
        <v>36000</v>
      </c>
    </row>
    <row r="14" spans="1:11" s="21" customFormat="1" ht="21.75" customHeight="1" hidden="1">
      <c r="A14" s="26" t="s">
        <v>138</v>
      </c>
      <c r="B14" s="27" t="s">
        <v>57</v>
      </c>
      <c r="C14" s="47">
        <v>510000</v>
      </c>
      <c r="D14" s="47">
        <v>0</v>
      </c>
      <c r="E14" s="47">
        <v>510000</v>
      </c>
      <c r="F14" s="47">
        <v>0</v>
      </c>
      <c r="G14" s="47">
        <v>510000</v>
      </c>
      <c r="H14" s="47">
        <v>0</v>
      </c>
      <c r="I14" s="47">
        <f t="shared" si="2"/>
        <v>510000</v>
      </c>
      <c r="J14" s="47">
        <v>0</v>
      </c>
      <c r="K14" s="47">
        <f t="shared" si="3"/>
        <v>510000</v>
      </c>
    </row>
    <row r="15" spans="1:11" s="21" customFormat="1" ht="21.75" customHeight="1" hidden="1">
      <c r="A15" s="26" t="s">
        <v>139</v>
      </c>
      <c r="B15" s="27" t="s">
        <v>58</v>
      </c>
      <c r="C15" s="47">
        <v>550000</v>
      </c>
      <c r="D15" s="47">
        <v>0</v>
      </c>
      <c r="E15" s="47">
        <v>550000</v>
      </c>
      <c r="F15" s="47">
        <v>0</v>
      </c>
      <c r="G15" s="47">
        <v>550000</v>
      </c>
      <c r="H15" s="47">
        <v>0</v>
      </c>
      <c r="I15" s="47">
        <f t="shared" si="2"/>
        <v>550000</v>
      </c>
      <c r="J15" s="47">
        <v>0</v>
      </c>
      <c r="K15" s="47">
        <f t="shared" si="3"/>
        <v>550000</v>
      </c>
    </row>
    <row r="16" spans="1:11" s="21" customFormat="1" ht="21.75" customHeight="1">
      <c r="A16" s="26" t="s">
        <v>59</v>
      </c>
      <c r="B16" s="27" t="s">
        <v>60</v>
      </c>
      <c r="C16" s="47">
        <f aca="true" t="shared" si="4" ref="C16:I16">SUM(C17:C19)</f>
        <v>10440000</v>
      </c>
      <c r="D16" s="47">
        <f t="shared" si="4"/>
        <v>0</v>
      </c>
      <c r="E16" s="47">
        <f t="shared" si="4"/>
        <v>10440000</v>
      </c>
      <c r="F16" s="47">
        <f t="shared" si="4"/>
        <v>0</v>
      </c>
      <c r="G16" s="47">
        <f t="shared" si="4"/>
        <v>10440000</v>
      </c>
      <c r="H16" s="47">
        <f t="shared" si="4"/>
        <v>810990</v>
      </c>
      <c r="I16" s="47">
        <f t="shared" si="4"/>
        <v>11250990</v>
      </c>
      <c r="J16" s="47">
        <f>SUM(J17:J19)</f>
        <v>0</v>
      </c>
      <c r="K16" s="47">
        <f>SUM(K17:K19)</f>
        <v>11250990</v>
      </c>
    </row>
    <row r="17" spans="1:11" s="21" customFormat="1" ht="21.75" customHeight="1" hidden="1">
      <c r="A17" s="26" t="s">
        <v>140</v>
      </c>
      <c r="B17" s="27" t="s">
        <v>61</v>
      </c>
      <c r="C17" s="47">
        <v>7800000</v>
      </c>
      <c r="D17" s="47">
        <v>0</v>
      </c>
      <c r="E17" s="47">
        <v>7800000</v>
      </c>
      <c r="F17" s="47">
        <v>0</v>
      </c>
      <c r="G17" s="47">
        <v>7800000</v>
      </c>
      <c r="H17" s="47">
        <v>0</v>
      </c>
      <c r="I17" s="47">
        <f>G17+H17</f>
        <v>7800000</v>
      </c>
      <c r="J17" s="47">
        <v>-800000</v>
      </c>
      <c r="K17" s="47">
        <f>I17+J17</f>
        <v>7000000</v>
      </c>
    </row>
    <row r="18" spans="1:11" s="21" customFormat="1" ht="28.5" customHeight="1" hidden="1">
      <c r="A18" s="26" t="s">
        <v>141</v>
      </c>
      <c r="B18" s="27" t="s">
        <v>62</v>
      </c>
      <c r="C18" s="47">
        <v>2140000</v>
      </c>
      <c r="D18" s="47">
        <v>0</v>
      </c>
      <c r="E18" s="47">
        <v>2140000</v>
      </c>
      <c r="F18" s="47">
        <v>0</v>
      </c>
      <c r="G18" s="47">
        <v>2140000</v>
      </c>
      <c r="H18" s="47">
        <v>810990</v>
      </c>
      <c r="I18" s="47">
        <f>G18+H18</f>
        <v>2950990</v>
      </c>
      <c r="J18" s="47">
        <v>800000</v>
      </c>
      <c r="K18" s="47">
        <f>I18+J18</f>
        <v>3750990</v>
      </c>
    </row>
    <row r="19" spans="1:11" s="21" customFormat="1" ht="21.75" customHeight="1" hidden="1">
      <c r="A19" s="26" t="s">
        <v>142</v>
      </c>
      <c r="B19" s="27" t="s">
        <v>63</v>
      </c>
      <c r="C19" s="47">
        <v>500000</v>
      </c>
      <c r="D19" s="47">
        <v>0</v>
      </c>
      <c r="E19" s="47">
        <v>500000</v>
      </c>
      <c r="F19" s="47">
        <v>0</v>
      </c>
      <c r="G19" s="47">
        <v>500000</v>
      </c>
      <c r="H19" s="47">
        <v>0</v>
      </c>
      <c r="I19" s="47">
        <f>G19+H19</f>
        <v>500000</v>
      </c>
      <c r="J19" s="47">
        <v>0</v>
      </c>
      <c r="K19" s="47">
        <f>I19+J19</f>
        <v>500000</v>
      </c>
    </row>
    <row r="20" spans="1:11" s="22" customFormat="1" ht="34.5" customHeight="1">
      <c r="A20" s="28" t="s">
        <v>64</v>
      </c>
      <c r="B20" s="30" t="s">
        <v>161</v>
      </c>
      <c r="C20" s="45">
        <v>11598180</v>
      </c>
      <c r="D20" s="45">
        <v>0</v>
      </c>
      <c r="E20" s="45">
        <v>11598180</v>
      </c>
      <c r="F20" s="45">
        <v>0</v>
      </c>
      <c r="G20" s="45">
        <v>11598180</v>
      </c>
      <c r="H20" s="45">
        <v>142329</v>
      </c>
      <c r="I20" s="45">
        <f>G20+H20</f>
        <v>11740509</v>
      </c>
      <c r="J20" s="45">
        <v>0</v>
      </c>
      <c r="K20" s="45">
        <f>I20+J20</f>
        <v>11740509</v>
      </c>
    </row>
    <row r="21" spans="1:11" s="22" customFormat="1" ht="21.75" customHeight="1">
      <c r="A21" s="28" t="s">
        <v>65</v>
      </c>
      <c r="B21" s="29" t="s">
        <v>66</v>
      </c>
      <c r="C21" s="50">
        <f aca="true" t="shared" si="5" ref="C21:I21">C22+C25+C28+C35+C36</f>
        <v>42555558</v>
      </c>
      <c r="D21" s="50">
        <f t="shared" si="5"/>
        <v>0</v>
      </c>
      <c r="E21" s="50">
        <f t="shared" si="5"/>
        <v>42555558</v>
      </c>
      <c r="F21" s="50">
        <f t="shared" si="5"/>
        <v>0</v>
      </c>
      <c r="G21" s="50">
        <f t="shared" si="5"/>
        <v>42555558</v>
      </c>
      <c r="H21" s="50">
        <f t="shared" si="5"/>
        <v>-953319</v>
      </c>
      <c r="I21" s="50">
        <f t="shared" si="5"/>
        <v>41602239</v>
      </c>
      <c r="J21" s="50">
        <f>J22+J25+J28+J35+J36</f>
        <v>9468939</v>
      </c>
      <c r="K21" s="50">
        <f>K22+K25+K28+K35+K36</f>
        <v>51071178</v>
      </c>
    </row>
    <row r="22" spans="1:11" s="21" customFormat="1" ht="21.75" customHeight="1">
      <c r="A22" s="26" t="s">
        <v>67</v>
      </c>
      <c r="B22" s="27" t="s">
        <v>68</v>
      </c>
      <c r="C22" s="47">
        <f aca="true" t="shared" si="6" ref="C22:I22">SUM(C23:C24)</f>
        <v>5516627</v>
      </c>
      <c r="D22" s="47">
        <f t="shared" si="6"/>
        <v>0</v>
      </c>
      <c r="E22" s="47">
        <f t="shared" si="6"/>
        <v>5516627</v>
      </c>
      <c r="F22" s="47">
        <f t="shared" si="6"/>
        <v>0</v>
      </c>
      <c r="G22" s="47">
        <f t="shared" si="6"/>
        <v>5516627</v>
      </c>
      <c r="H22" s="47">
        <f t="shared" si="6"/>
        <v>0</v>
      </c>
      <c r="I22" s="47">
        <f t="shared" si="6"/>
        <v>5516627</v>
      </c>
      <c r="J22" s="47">
        <f>SUM(J23:J24)</f>
        <v>700000</v>
      </c>
      <c r="K22" s="47">
        <f>SUM(K23:K24)</f>
        <v>6216627</v>
      </c>
    </row>
    <row r="23" spans="1:11" s="21" customFormat="1" ht="21.75" customHeight="1" hidden="1">
      <c r="A23" s="26" t="s">
        <v>147</v>
      </c>
      <c r="B23" s="27" t="s">
        <v>149</v>
      </c>
      <c r="C23" s="47">
        <v>900000</v>
      </c>
      <c r="D23" s="47">
        <v>0</v>
      </c>
      <c r="E23" s="47">
        <v>900000</v>
      </c>
      <c r="F23" s="47">
        <v>0</v>
      </c>
      <c r="G23" s="47">
        <v>900000</v>
      </c>
      <c r="H23" s="47">
        <v>0</v>
      </c>
      <c r="I23" s="47">
        <v>900000</v>
      </c>
      <c r="J23" s="47">
        <v>700000</v>
      </c>
      <c r="K23" s="47">
        <f>I23+J23</f>
        <v>1600000</v>
      </c>
    </row>
    <row r="24" spans="1:11" s="21" customFormat="1" ht="21.75" customHeight="1" hidden="1">
      <c r="A24" s="26" t="s">
        <v>148</v>
      </c>
      <c r="B24" s="27" t="s">
        <v>150</v>
      </c>
      <c r="C24" s="47">
        <v>4616627</v>
      </c>
      <c r="D24" s="47">
        <v>0</v>
      </c>
      <c r="E24" s="47">
        <v>4616627</v>
      </c>
      <c r="F24" s="47">
        <v>0</v>
      </c>
      <c r="G24" s="47">
        <v>4616627</v>
      </c>
      <c r="H24" s="47">
        <v>0</v>
      </c>
      <c r="I24" s="47">
        <v>4616627</v>
      </c>
      <c r="J24" s="47">
        <v>0</v>
      </c>
      <c r="K24" s="47">
        <v>4616627</v>
      </c>
    </row>
    <row r="25" spans="1:11" s="21" customFormat="1" ht="21.75" customHeight="1">
      <c r="A25" s="26" t="s">
        <v>69</v>
      </c>
      <c r="B25" s="27" t="s">
        <v>70</v>
      </c>
      <c r="C25" s="47">
        <f aca="true" t="shared" si="7" ref="C25:I25">SUM(C26:C27)</f>
        <v>605000</v>
      </c>
      <c r="D25" s="47">
        <f t="shared" si="7"/>
        <v>0</v>
      </c>
      <c r="E25" s="47">
        <f t="shared" si="7"/>
        <v>605000</v>
      </c>
      <c r="F25" s="47">
        <f t="shared" si="7"/>
        <v>0</v>
      </c>
      <c r="G25" s="47">
        <f t="shared" si="7"/>
        <v>605000</v>
      </c>
      <c r="H25" s="47">
        <f t="shared" si="7"/>
        <v>0</v>
      </c>
      <c r="I25" s="47">
        <f t="shared" si="7"/>
        <v>605000</v>
      </c>
      <c r="J25" s="47">
        <f>SUM(J26:J27)</f>
        <v>200000</v>
      </c>
      <c r="K25" s="47">
        <f>SUM(K26:K27)</f>
        <v>805000</v>
      </c>
    </row>
    <row r="26" spans="1:11" s="21" customFormat="1" ht="21.75" customHeight="1" hidden="1">
      <c r="A26" s="26" t="s">
        <v>143</v>
      </c>
      <c r="B26" s="27" t="s">
        <v>145</v>
      </c>
      <c r="C26" s="47">
        <v>140000</v>
      </c>
      <c r="D26" s="47">
        <v>0</v>
      </c>
      <c r="E26" s="47">
        <v>140000</v>
      </c>
      <c r="F26" s="47">
        <v>0</v>
      </c>
      <c r="G26" s="47">
        <v>140000</v>
      </c>
      <c r="H26" s="47">
        <v>0</v>
      </c>
      <c r="I26" s="47">
        <v>140000</v>
      </c>
      <c r="J26" s="47">
        <v>200000</v>
      </c>
      <c r="K26" s="47">
        <f>I26+J26</f>
        <v>340000</v>
      </c>
    </row>
    <row r="27" spans="1:11" s="21" customFormat="1" ht="21.75" customHeight="1" hidden="1">
      <c r="A27" s="26" t="s">
        <v>144</v>
      </c>
      <c r="B27" s="27" t="s">
        <v>146</v>
      </c>
      <c r="C27" s="47">
        <v>465000</v>
      </c>
      <c r="D27" s="47">
        <v>0</v>
      </c>
      <c r="E27" s="47">
        <v>465000</v>
      </c>
      <c r="F27" s="47">
        <v>0</v>
      </c>
      <c r="G27" s="47">
        <v>465000</v>
      </c>
      <c r="H27" s="47">
        <v>0</v>
      </c>
      <c r="I27" s="47">
        <v>465000</v>
      </c>
      <c r="J27" s="47">
        <v>0</v>
      </c>
      <c r="K27" s="47">
        <v>465000</v>
      </c>
    </row>
    <row r="28" spans="1:11" s="21" customFormat="1" ht="21.75" customHeight="1">
      <c r="A28" s="26" t="s">
        <v>71</v>
      </c>
      <c r="B28" s="27" t="s">
        <v>72</v>
      </c>
      <c r="C28" s="47">
        <f aca="true" t="shared" si="8" ref="C28:I28">SUM(C29:C34)</f>
        <v>26230331</v>
      </c>
      <c r="D28" s="47">
        <f t="shared" si="8"/>
        <v>0</v>
      </c>
      <c r="E28" s="47">
        <f t="shared" si="8"/>
        <v>26230331</v>
      </c>
      <c r="F28" s="47">
        <f t="shared" si="8"/>
        <v>0</v>
      </c>
      <c r="G28" s="47">
        <f t="shared" si="8"/>
        <v>26230331</v>
      </c>
      <c r="H28" s="47">
        <f t="shared" si="8"/>
        <v>-750645</v>
      </c>
      <c r="I28" s="47">
        <f t="shared" si="8"/>
        <v>25479686</v>
      </c>
      <c r="J28" s="47">
        <f>SUM(J29:J34)</f>
        <v>7053241</v>
      </c>
      <c r="K28" s="47">
        <f>SUM(K29:K34)</f>
        <v>32532927</v>
      </c>
    </row>
    <row r="29" spans="1:11" s="21" customFormat="1" ht="21.75" customHeight="1" hidden="1">
      <c r="A29" s="26" t="s">
        <v>151</v>
      </c>
      <c r="B29" s="48" t="s">
        <v>73</v>
      </c>
      <c r="C29" s="47">
        <v>7575000</v>
      </c>
      <c r="D29" s="47">
        <v>0</v>
      </c>
      <c r="E29" s="47">
        <v>7575000</v>
      </c>
      <c r="F29" s="47">
        <v>0</v>
      </c>
      <c r="G29" s="47">
        <v>7575000</v>
      </c>
      <c r="H29" s="47">
        <v>0</v>
      </c>
      <c r="I29" s="47">
        <v>7575000</v>
      </c>
      <c r="J29" s="47">
        <v>0</v>
      </c>
      <c r="K29" s="47">
        <v>7575000</v>
      </c>
    </row>
    <row r="30" spans="1:11" s="21" customFormat="1" ht="21.75" customHeight="1" hidden="1">
      <c r="A30" s="26" t="s">
        <v>152</v>
      </c>
      <c r="B30" s="48" t="s">
        <v>153</v>
      </c>
      <c r="C30" s="47">
        <v>430000</v>
      </c>
      <c r="D30" s="47">
        <v>0</v>
      </c>
      <c r="E30" s="47">
        <v>430000</v>
      </c>
      <c r="F30" s="47">
        <v>0</v>
      </c>
      <c r="G30" s="47">
        <v>430000</v>
      </c>
      <c r="H30" s="47">
        <v>0</v>
      </c>
      <c r="I30" s="47">
        <v>430000</v>
      </c>
      <c r="J30" s="47">
        <v>0</v>
      </c>
      <c r="K30" s="47">
        <v>430000</v>
      </c>
    </row>
    <row r="31" spans="1:11" s="21" customFormat="1" ht="21.75" customHeight="1" hidden="1">
      <c r="A31" s="26" t="s">
        <v>154</v>
      </c>
      <c r="B31" s="27" t="s">
        <v>155</v>
      </c>
      <c r="C31" s="47">
        <v>1760000</v>
      </c>
      <c r="D31" s="47">
        <v>0</v>
      </c>
      <c r="E31" s="47">
        <v>1760000</v>
      </c>
      <c r="F31" s="47">
        <v>0</v>
      </c>
      <c r="G31" s="47">
        <v>1760000</v>
      </c>
      <c r="H31" s="47">
        <v>0</v>
      </c>
      <c r="I31" s="47">
        <v>1760000</v>
      </c>
      <c r="J31" s="47">
        <v>200000</v>
      </c>
      <c r="K31" s="47">
        <f>I31+J31</f>
        <v>1960000</v>
      </c>
    </row>
    <row r="32" spans="1:11" s="21" customFormat="1" ht="21.75" customHeight="1" hidden="1">
      <c r="A32" s="26" t="s">
        <v>323</v>
      </c>
      <c r="B32" s="27" t="s">
        <v>324</v>
      </c>
      <c r="C32" s="47">
        <v>705000</v>
      </c>
      <c r="D32" s="47">
        <v>0</v>
      </c>
      <c r="E32" s="47">
        <v>705000</v>
      </c>
      <c r="F32" s="47">
        <v>0</v>
      </c>
      <c r="G32" s="47">
        <v>705000</v>
      </c>
      <c r="H32" s="47">
        <v>0</v>
      </c>
      <c r="I32" s="47">
        <v>705000</v>
      </c>
      <c r="J32" s="47">
        <v>0</v>
      </c>
      <c r="K32" s="47">
        <v>705000</v>
      </c>
    </row>
    <row r="33" spans="1:11" s="21" customFormat="1" ht="21.75" customHeight="1" hidden="1">
      <c r="A33" s="26" t="s">
        <v>156</v>
      </c>
      <c r="B33" s="27" t="s">
        <v>158</v>
      </c>
      <c r="C33" s="47">
        <v>10020331</v>
      </c>
      <c r="D33" s="47">
        <v>0</v>
      </c>
      <c r="E33" s="47">
        <v>10020331</v>
      </c>
      <c r="F33" s="47">
        <v>0</v>
      </c>
      <c r="G33" s="47">
        <v>10020331</v>
      </c>
      <c r="H33" s="47">
        <v>-750645</v>
      </c>
      <c r="I33" s="47">
        <f>G33+H33</f>
        <v>9269686</v>
      </c>
      <c r="J33" s="47">
        <v>6744651</v>
      </c>
      <c r="K33" s="47">
        <f>I33+J33</f>
        <v>16014337</v>
      </c>
    </row>
    <row r="34" spans="1:11" s="21" customFormat="1" ht="21.75" customHeight="1" hidden="1">
      <c r="A34" s="26" t="s">
        <v>157</v>
      </c>
      <c r="B34" s="27" t="s">
        <v>74</v>
      </c>
      <c r="C34" s="47">
        <v>5740000</v>
      </c>
      <c r="D34" s="47">
        <v>0</v>
      </c>
      <c r="E34" s="47">
        <v>5740000</v>
      </c>
      <c r="F34" s="47">
        <v>0</v>
      </c>
      <c r="G34" s="47">
        <v>5740000</v>
      </c>
      <c r="H34" s="47">
        <v>0</v>
      </c>
      <c r="I34" s="47">
        <f>G34+H34</f>
        <v>5740000</v>
      </c>
      <c r="J34" s="47">
        <v>108590</v>
      </c>
      <c r="K34" s="47">
        <f>I34+J34</f>
        <v>5848590</v>
      </c>
    </row>
    <row r="35" spans="1:11" s="21" customFormat="1" ht="21.75" customHeight="1">
      <c r="A35" s="508" t="s">
        <v>75</v>
      </c>
      <c r="B35" s="509" t="s">
        <v>76</v>
      </c>
      <c r="C35" s="53">
        <v>500000</v>
      </c>
      <c r="D35" s="53">
        <v>0</v>
      </c>
      <c r="E35" s="53">
        <v>500000</v>
      </c>
      <c r="F35" s="53">
        <v>0</v>
      </c>
      <c r="G35" s="53">
        <v>500000</v>
      </c>
      <c r="H35" s="53">
        <v>0</v>
      </c>
      <c r="I35" s="53">
        <v>500000</v>
      </c>
      <c r="J35" s="53">
        <v>0</v>
      </c>
      <c r="K35" s="53">
        <v>500000</v>
      </c>
    </row>
    <row r="36" spans="1:11" s="21" customFormat="1" ht="21.75" customHeight="1">
      <c r="A36" s="26" t="s">
        <v>77</v>
      </c>
      <c r="B36" s="27" t="s">
        <v>78</v>
      </c>
      <c r="C36" s="47">
        <f aca="true" t="shared" si="9" ref="C36:I36">SUM(C37:C39)</f>
        <v>9703600</v>
      </c>
      <c r="D36" s="47">
        <f t="shared" si="9"/>
        <v>0</v>
      </c>
      <c r="E36" s="47">
        <f t="shared" si="9"/>
        <v>9703600</v>
      </c>
      <c r="F36" s="47">
        <f t="shared" si="9"/>
        <v>0</v>
      </c>
      <c r="G36" s="47">
        <f t="shared" si="9"/>
        <v>9703600</v>
      </c>
      <c r="H36" s="47">
        <f t="shared" si="9"/>
        <v>-202674</v>
      </c>
      <c r="I36" s="47">
        <f t="shared" si="9"/>
        <v>9500926</v>
      </c>
      <c r="J36" s="47">
        <f>SUM(J37:J39)</f>
        <v>1515698</v>
      </c>
      <c r="K36" s="47">
        <f>SUM(K37:K39)</f>
        <v>11016624</v>
      </c>
    </row>
    <row r="37" spans="1:11" s="21" customFormat="1" ht="21.75" customHeight="1" hidden="1">
      <c r="A37" s="26" t="s">
        <v>159</v>
      </c>
      <c r="B37" s="27" t="s">
        <v>327</v>
      </c>
      <c r="C37" s="215">
        <v>7553600</v>
      </c>
      <c r="D37" s="47">
        <v>-200000</v>
      </c>
      <c r="E37" s="215">
        <f>C37+D37</f>
        <v>7353600</v>
      </c>
      <c r="F37" s="47">
        <v>0</v>
      </c>
      <c r="G37" s="215">
        <f>E37+F37</f>
        <v>7353600</v>
      </c>
      <c r="H37" s="47">
        <v>-202674</v>
      </c>
      <c r="I37" s="215">
        <f>G37+H37</f>
        <v>7150926</v>
      </c>
      <c r="J37" s="47">
        <v>1248698</v>
      </c>
      <c r="K37" s="215">
        <f>I37+J37</f>
        <v>8399624</v>
      </c>
    </row>
    <row r="38" spans="1:11" s="21" customFormat="1" ht="21.75" customHeight="1" hidden="1">
      <c r="A38" s="26" t="s">
        <v>339</v>
      </c>
      <c r="B38" s="27" t="s">
        <v>340</v>
      </c>
      <c r="C38" s="221">
        <v>100000</v>
      </c>
      <c r="D38" s="221">
        <v>200000</v>
      </c>
      <c r="E38" s="215">
        <f>C38+D38</f>
        <v>300000</v>
      </c>
      <c r="F38" s="221">
        <v>0</v>
      </c>
      <c r="G38" s="215">
        <f>E38+F38</f>
        <v>300000</v>
      </c>
      <c r="H38" s="221">
        <v>0</v>
      </c>
      <c r="I38" s="215">
        <f>G38+H38</f>
        <v>300000</v>
      </c>
      <c r="J38" s="221">
        <v>267000</v>
      </c>
      <c r="K38" s="215">
        <f>I38+J38</f>
        <v>567000</v>
      </c>
    </row>
    <row r="39" spans="1:11" s="21" customFormat="1" ht="21.75" customHeight="1" hidden="1">
      <c r="A39" s="26" t="s">
        <v>160</v>
      </c>
      <c r="B39" s="27" t="s">
        <v>79</v>
      </c>
      <c r="C39" s="215">
        <v>2050000</v>
      </c>
      <c r="D39" s="47">
        <v>0</v>
      </c>
      <c r="E39" s="215">
        <f>C39+D39</f>
        <v>2050000</v>
      </c>
      <c r="F39" s="47">
        <v>0</v>
      </c>
      <c r="G39" s="215">
        <f>E39+F39</f>
        <v>2050000</v>
      </c>
      <c r="H39" s="47">
        <v>0</v>
      </c>
      <c r="I39" s="215">
        <f>G39+H39</f>
        <v>2050000</v>
      </c>
      <c r="J39" s="47">
        <v>0</v>
      </c>
      <c r="K39" s="215">
        <f>I39+J39</f>
        <v>2050000</v>
      </c>
    </row>
    <row r="40" spans="1:11" s="22" customFormat="1" ht="21" customHeight="1">
      <c r="A40" s="28" t="s">
        <v>80</v>
      </c>
      <c r="B40" s="29" t="s">
        <v>81</v>
      </c>
      <c r="C40" s="45">
        <f aca="true" t="shared" si="10" ref="C40:I40">SUM(C41:C42)</f>
        <v>6315000</v>
      </c>
      <c r="D40" s="45">
        <f t="shared" si="10"/>
        <v>0</v>
      </c>
      <c r="E40" s="45">
        <f t="shared" si="10"/>
        <v>6315000</v>
      </c>
      <c r="F40" s="45">
        <f t="shared" si="10"/>
        <v>0</v>
      </c>
      <c r="G40" s="45">
        <f t="shared" si="10"/>
        <v>6315000</v>
      </c>
      <c r="H40" s="45">
        <f t="shared" si="10"/>
        <v>0</v>
      </c>
      <c r="I40" s="45">
        <f t="shared" si="10"/>
        <v>6315000</v>
      </c>
      <c r="J40" s="45">
        <f>SUM(J41:J42)</f>
        <v>0</v>
      </c>
      <c r="K40" s="45">
        <f>SUM(K41:K42)</f>
        <v>6315000</v>
      </c>
    </row>
    <row r="41" spans="1:11" s="22" customFormat="1" ht="21.75" customHeight="1">
      <c r="A41" s="26" t="s">
        <v>162</v>
      </c>
      <c r="B41" s="27" t="s">
        <v>124</v>
      </c>
      <c r="C41" s="47">
        <v>315000</v>
      </c>
      <c r="D41" s="47">
        <v>0</v>
      </c>
      <c r="E41" s="47">
        <v>315000</v>
      </c>
      <c r="F41" s="47">
        <v>0</v>
      </c>
      <c r="G41" s="47">
        <v>315000</v>
      </c>
      <c r="H41" s="47">
        <v>0</v>
      </c>
      <c r="I41" s="47">
        <v>315000</v>
      </c>
      <c r="J41" s="47">
        <v>0</v>
      </c>
      <c r="K41" s="47">
        <v>315000</v>
      </c>
    </row>
    <row r="42" spans="1:11" s="22" customFormat="1" ht="24" customHeight="1">
      <c r="A42" s="26" t="s">
        <v>164</v>
      </c>
      <c r="B42" s="27" t="s">
        <v>125</v>
      </c>
      <c r="C42" s="47">
        <v>6000000</v>
      </c>
      <c r="D42" s="47">
        <v>0</v>
      </c>
      <c r="E42" s="47">
        <v>6000000</v>
      </c>
      <c r="F42" s="47">
        <v>0</v>
      </c>
      <c r="G42" s="47">
        <v>6000000</v>
      </c>
      <c r="H42" s="47">
        <v>0</v>
      </c>
      <c r="I42" s="47">
        <v>6000000</v>
      </c>
      <c r="J42" s="47">
        <v>0</v>
      </c>
      <c r="K42" s="47">
        <v>6000000</v>
      </c>
    </row>
    <row r="43" spans="1:11" s="22" customFormat="1" ht="21.75" customHeight="1">
      <c r="A43" s="28" t="s">
        <v>82</v>
      </c>
      <c r="B43" s="29" t="s">
        <v>126</v>
      </c>
      <c r="C43" s="50">
        <f aca="true" t="shared" si="11" ref="C43:H43">SUM(C44:C48)</f>
        <v>110559819</v>
      </c>
      <c r="D43" s="50">
        <f t="shared" si="11"/>
        <v>-500000</v>
      </c>
      <c r="E43" s="50">
        <f t="shared" si="11"/>
        <v>110059819</v>
      </c>
      <c r="F43" s="50">
        <f t="shared" si="11"/>
        <v>3717000</v>
      </c>
      <c r="G43" s="50">
        <f t="shared" si="11"/>
        <v>113776819</v>
      </c>
      <c r="H43" s="50">
        <f t="shared" si="11"/>
        <v>-17910301</v>
      </c>
      <c r="I43" s="50">
        <f>G43+H43</f>
        <v>95866518</v>
      </c>
      <c r="J43" s="50">
        <f>SUM(J44:J48)</f>
        <v>-778620</v>
      </c>
      <c r="K43" s="50">
        <f>I43+J43</f>
        <v>95087898</v>
      </c>
    </row>
    <row r="44" spans="1:11" s="22" customFormat="1" ht="26.25" customHeight="1">
      <c r="A44" s="26" t="s">
        <v>337</v>
      </c>
      <c r="B44" s="27" t="s">
        <v>338</v>
      </c>
      <c r="C44" s="47">
        <v>433401</v>
      </c>
      <c r="D44" s="47">
        <v>0</v>
      </c>
      <c r="E44" s="47">
        <v>433401</v>
      </c>
      <c r="F44" s="47">
        <v>0</v>
      </c>
      <c r="G44" s="47">
        <v>433401</v>
      </c>
      <c r="H44" s="47">
        <v>0</v>
      </c>
      <c r="I44" s="47">
        <v>433401</v>
      </c>
      <c r="J44" s="47">
        <v>0</v>
      </c>
      <c r="K44" s="47">
        <v>433401</v>
      </c>
    </row>
    <row r="45" spans="1:11" s="22" customFormat="1" ht="21.75" customHeight="1">
      <c r="A45" s="26" t="s">
        <v>165</v>
      </c>
      <c r="B45" s="27" t="s">
        <v>190</v>
      </c>
      <c r="C45" s="47">
        <v>47503395</v>
      </c>
      <c r="D45" s="47">
        <v>0</v>
      </c>
      <c r="E45" s="47">
        <v>47503395</v>
      </c>
      <c r="F45" s="47">
        <v>0</v>
      </c>
      <c r="G45" s="47">
        <v>47503395</v>
      </c>
      <c r="H45" s="47">
        <v>3200000</v>
      </c>
      <c r="I45" s="47">
        <f>G45+H45</f>
        <v>50703395</v>
      </c>
      <c r="J45" s="47">
        <v>0</v>
      </c>
      <c r="K45" s="47">
        <f>I45+J45</f>
        <v>50703395</v>
      </c>
    </row>
    <row r="46" spans="1:11" s="22" customFormat="1" ht="30.75" customHeight="1">
      <c r="A46" s="26" t="s">
        <v>166</v>
      </c>
      <c r="B46" s="27" t="s">
        <v>167</v>
      </c>
      <c r="C46" s="47">
        <v>50000</v>
      </c>
      <c r="D46" s="47">
        <v>0</v>
      </c>
      <c r="E46" s="47">
        <v>50000</v>
      </c>
      <c r="F46" s="47">
        <v>0</v>
      </c>
      <c r="G46" s="47">
        <v>50000</v>
      </c>
      <c r="H46" s="47">
        <v>0</v>
      </c>
      <c r="I46" s="47">
        <v>50000</v>
      </c>
      <c r="J46" s="47">
        <v>0</v>
      </c>
      <c r="K46" s="47">
        <v>50000</v>
      </c>
    </row>
    <row r="47" spans="1:11" s="22" customFormat="1" ht="21.75" customHeight="1">
      <c r="A47" s="26" t="s">
        <v>325</v>
      </c>
      <c r="B47" s="27" t="s">
        <v>168</v>
      </c>
      <c r="C47" s="47">
        <v>4693429</v>
      </c>
      <c r="D47" s="47">
        <v>0</v>
      </c>
      <c r="E47" s="47">
        <v>4693429</v>
      </c>
      <c r="F47" s="47">
        <v>3717000</v>
      </c>
      <c r="G47" s="47">
        <f>E47+F47</f>
        <v>8410429</v>
      </c>
      <c r="H47" s="47">
        <v>0</v>
      </c>
      <c r="I47" s="47">
        <f>G47+H47</f>
        <v>8410429</v>
      </c>
      <c r="J47" s="47">
        <v>0</v>
      </c>
      <c r="K47" s="47">
        <f>I47+J47</f>
        <v>8410429</v>
      </c>
    </row>
    <row r="48" spans="1:11" s="22" customFormat="1" ht="21.75" customHeight="1">
      <c r="A48" s="26" t="s">
        <v>235</v>
      </c>
      <c r="B48" s="27" t="s">
        <v>236</v>
      </c>
      <c r="C48" s="47">
        <v>57879594</v>
      </c>
      <c r="D48" s="47">
        <v>-500000</v>
      </c>
      <c r="E48" s="47">
        <f>C48+D48</f>
        <v>57379594</v>
      </c>
      <c r="F48" s="47">
        <v>0</v>
      </c>
      <c r="G48" s="47">
        <f>E48+F48</f>
        <v>57379594</v>
      </c>
      <c r="H48" s="47">
        <v>-21110301</v>
      </c>
      <c r="I48" s="47">
        <f>G48+H48</f>
        <v>36269293</v>
      </c>
      <c r="J48" s="47">
        <v>-778620</v>
      </c>
      <c r="K48" s="47">
        <f>I48+J48</f>
        <v>35490673</v>
      </c>
    </row>
    <row r="49" spans="1:11" s="22" customFormat="1" ht="21.75" customHeight="1">
      <c r="A49" s="28" t="s">
        <v>83</v>
      </c>
      <c r="B49" s="29" t="s">
        <v>84</v>
      </c>
      <c r="C49" s="224">
        <f>SUM(C50:C53)</f>
        <v>38100000</v>
      </c>
      <c r="D49" s="224">
        <f>SUM(D50:D54)-D54-D52</f>
        <v>4206875</v>
      </c>
      <c r="E49" s="224">
        <f>E50+E51+E53</f>
        <v>42306875</v>
      </c>
      <c r="F49" s="224">
        <f>SUM(F50:F54)-F54-F52</f>
        <v>0</v>
      </c>
      <c r="G49" s="224">
        <f>G50+G51+G53</f>
        <v>42306875</v>
      </c>
      <c r="H49" s="224">
        <f>SUM(H50:H54)-H54-H52</f>
        <v>-18850000</v>
      </c>
      <c r="I49" s="224">
        <f>I50+I51+I53</f>
        <v>23456875</v>
      </c>
      <c r="J49" s="224">
        <f>SUM(J50:J54)-J54-J52</f>
        <v>-2101369</v>
      </c>
      <c r="K49" s="224">
        <f>K50+K51+K53</f>
        <v>21355506</v>
      </c>
    </row>
    <row r="50" spans="1:11" s="22" customFormat="1" ht="21.75" customHeight="1" hidden="1">
      <c r="A50" s="26" t="s">
        <v>169</v>
      </c>
      <c r="B50" s="27" t="s">
        <v>172</v>
      </c>
      <c r="C50" s="47">
        <v>27559055</v>
      </c>
      <c r="D50" s="47">
        <v>0</v>
      </c>
      <c r="E50" s="47">
        <v>27559055</v>
      </c>
      <c r="F50" s="47">
        <v>0</v>
      </c>
      <c r="G50" s="47">
        <v>27559055</v>
      </c>
      <c r="H50" s="47">
        <v>-15118111</v>
      </c>
      <c r="I50" s="47">
        <f>G50+H50</f>
        <v>12440944</v>
      </c>
      <c r="J50" s="47">
        <v>-7496102</v>
      </c>
      <c r="K50" s="47">
        <f>I50+J50</f>
        <v>4944842</v>
      </c>
    </row>
    <row r="51" spans="1:11" s="21" customFormat="1" ht="21.75" customHeight="1" hidden="1">
      <c r="A51" s="26" t="s">
        <v>170</v>
      </c>
      <c r="B51" s="27" t="s">
        <v>501</v>
      </c>
      <c r="C51" s="53">
        <v>2441180</v>
      </c>
      <c r="D51" s="53">
        <v>3312500</v>
      </c>
      <c r="E51" s="53">
        <f>C51+D51</f>
        <v>5753680</v>
      </c>
      <c r="F51" s="53">
        <v>0</v>
      </c>
      <c r="G51" s="53">
        <f>E51+F51</f>
        <v>5753680</v>
      </c>
      <c r="H51" s="53">
        <v>275590</v>
      </c>
      <c r="I51" s="53">
        <f>G51+H51</f>
        <v>6029270</v>
      </c>
      <c r="J51" s="53">
        <v>5992071</v>
      </c>
      <c r="K51" s="53">
        <f>I51+J51</f>
        <v>12021341</v>
      </c>
    </row>
    <row r="52" spans="1:11" s="280" customFormat="1" ht="21.75" customHeight="1">
      <c r="A52" s="277"/>
      <c r="B52" s="278" t="s">
        <v>415</v>
      </c>
      <c r="C52" s="279">
        <v>0</v>
      </c>
      <c r="D52" s="279">
        <v>3312500</v>
      </c>
      <c r="E52" s="279">
        <f>D52</f>
        <v>3312500</v>
      </c>
      <c r="F52" s="279">
        <v>0</v>
      </c>
      <c r="G52" s="279">
        <v>3312500</v>
      </c>
      <c r="H52" s="279">
        <v>0</v>
      </c>
      <c r="I52" s="279">
        <f>G52</f>
        <v>3312500</v>
      </c>
      <c r="J52" s="279">
        <v>0</v>
      </c>
      <c r="K52" s="279">
        <f>I52</f>
        <v>3312500</v>
      </c>
    </row>
    <row r="53" spans="1:11" s="22" customFormat="1" ht="21.75" customHeight="1" hidden="1">
      <c r="A53" s="26" t="s">
        <v>171</v>
      </c>
      <c r="B53" s="27" t="s">
        <v>173</v>
      </c>
      <c r="C53" s="47">
        <v>8099765</v>
      </c>
      <c r="D53" s="47">
        <v>894375</v>
      </c>
      <c r="E53" s="47">
        <f>C53+D53</f>
        <v>8994140</v>
      </c>
      <c r="F53" s="47">
        <v>0</v>
      </c>
      <c r="G53" s="47">
        <f>E53+F53</f>
        <v>8994140</v>
      </c>
      <c r="H53" s="47">
        <v>-4007479</v>
      </c>
      <c r="I53" s="47">
        <f>G53+H53</f>
        <v>4986661</v>
      </c>
      <c r="J53" s="47">
        <v>-597338</v>
      </c>
      <c r="K53" s="47">
        <f>I53+J53</f>
        <v>4389323</v>
      </c>
    </row>
    <row r="54" spans="1:11" s="280" customFormat="1" ht="21.75" customHeight="1">
      <c r="A54" s="277"/>
      <c r="B54" s="278" t="s">
        <v>416</v>
      </c>
      <c r="C54" s="281">
        <v>0</v>
      </c>
      <c r="D54" s="281">
        <v>894375</v>
      </c>
      <c r="E54" s="281">
        <f>D54</f>
        <v>894375</v>
      </c>
      <c r="F54" s="281">
        <v>0</v>
      </c>
      <c r="G54" s="281">
        <v>894375</v>
      </c>
      <c r="H54" s="281">
        <v>0</v>
      </c>
      <c r="I54" s="281">
        <f>G54</f>
        <v>894375</v>
      </c>
      <c r="J54" s="281">
        <v>0</v>
      </c>
      <c r="K54" s="281">
        <f>I54</f>
        <v>894375</v>
      </c>
    </row>
    <row r="55" spans="1:11" s="22" customFormat="1" ht="21.75" customHeight="1">
      <c r="A55" s="28" t="s">
        <v>85</v>
      </c>
      <c r="B55" s="29" t="s">
        <v>86</v>
      </c>
      <c r="C55" s="50">
        <f aca="true" t="shared" si="12" ref="C55:I55">SUM(C56:C57)</f>
        <v>95154097</v>
      </c>
      <c r="D55" s="50">
        <f t="shared" si="12"/>
        <v>0</v>
      </c>
      <c r="E55" s="50">
        <f t="shared" si="12"/>
        <v>95154097</v>
      </c>
      <c r="F55" s="50">
        <f t="shared" si="12"/>
        <v>-3717000</v>
      </c>
      <c r="G55" s="50">
        <f t="shared" si="12"/>
        <v>91437097</v>
      </c>
      <c r="H55" s="50">
        <f t="shared" si="12"/>
        <v>-1410000</v>
      </c>
      <c r="I55" s="50">
        <f t="shared" si="12"/>
        <v>90027097</v>
      </c>
      <c r="J55" s="50">
        <f>SUM(J56:J57)</f>
        <v>-7551833</v>
      </c>
      <c r="K55" s="50">
        <f>SUM(K56:K57)</f>
        <v>82475264</v>
      </c>
    </row>
    <row r="56" spans="1:11" s="22" customFormat="1" ht="21.75" customHeight="1" hidden="1">
      <c r="A56" s="26" t="s">
        <v>174</v>
      </c>
      <c r="B56" s="27" t="s">
        <v>176</v>
      </c>
      <c r="C56" s="47">
        <v>74924194</v>
      </c>
      <c r="D56" s="47">
        <v>0</v>
      </c>
      <c r="E56" s="47">
        <v>74924194</v>
      </c>
      <c r="F56" s="47">
        <v>-2926772</v>
      </c>
      <c r="G56" s="47">
        <v>71997422</v>
      </c>
      <c r="H56" s="47">
        <v>-1110236</v>
      </c>
      <c r="I56" s="47">
        <f>G56+H56</f>
        <v>70887186</v>
      </c>
      <c r="J56" s="47">
        <v>-5946325</v>
      </c>
      <c r="K56" s="47">
        <f>I56+J56</f>
        <v>64940861</v>
      </c>
    </row>
    <row r="57" spans="1:11" s="22" customFormat="1" ht="21.75" customHeight="1" hidden="1">
      <c r="A57" s="26" t="s">
        <v>175</v>
      </c>
      <c r="B57" s="27" t="s">
        <v>177</v>
      </c>
      <c r="C57" s="47">
        <v>20229903</v>
      </c>
      <c r="D57" s="47">
        <v>0</v>
      </c>
      <c r="E57" s="47">
        <v>20229903</v>
      </c>
      <c r="F57" s="47">
        <v>-790228</v>
      </c>
      <c r="G57" s="47">
        <v>19439675</v>
      </c>
      <c r="H57" s="47">
        <v>-299764</v>
      </c>
      <c r="I57" s="47">
        <f>G57+H57</f>
        <v>19139911</v>
      </c>
      <c r="J57" s="47">
        <v>-1605508</v>
      </c>
      <c r="K57" s="47">
        <f>I57+J57</f>
        <v>17534403</v>
      </c>
    </row>
    <row r="58" spans="1:11" s="22" customFormat="1" ht="21.75" customHeight="1">
      <c r="A58" s="28" t="s">
        <v>87</v>
      </c>
      <c r="B58" s="29" t="s">
        <v>179</v>
      </c>
      <c r="C58" s="45">
        <f>SUM(C59:C60)</f>
        <v>550000</v>
      </c>
      <c r="D58" s="45">
        <f aca="true" t="shared" si="13" ref="D58:I58">SUM(D59:D60)</f>
        <v>0</v>
      </c>
      <c r="E58" s="45">
        <f t="shared" si="13"/>
        <v>1100000</v>
      </c>
      <c r="F58" s="45">
        <f t="shared" si="13"/>
        <v>0</v>
      </c>
      <c r="G58" s="45">
        <f t="shared" si="13"/>
        <v>550000</v>
      </c>
      <c r="H58" s="45">
        <f t="shared" si="13"/>
        <v>38170301</v>
      </c>
      <c r="I58" s="45">
        <f t="shared" si="13"/>
        <v>38720301</v>
      </c>
      <c r="J58" s="45">
        <f>SUM(J59:J60)</f>
        <v>411050</v>
      </c>
      <c r="K58" s="45">
        <f>SUM(K59:K60)</f>
        <v>39131351</v>
      </c>
    </row>
    <row r="59" spans="1:11" s="22" customFormat="1" ht="21.75" customHeight="1">
      <c r="A59" s="26" t="s">
        <v>480</v>
      </c>
      <c r="B59" s="27" t="s">
        <v>481</v>
      </c>
      <c r="C59" s="47">
        <v>0</v>
      </c>
      <c r="D59" s="47">
        <v>0</v>
      </c>
      <c r="E59" s="47">
        <v>550000</v>
      </c>
      <c r="F59" s="47">
        <v>0</v>
      </c>
      <c r="G59" s="47">
        <v>0</v>
      </c>
      <c r="H59" s="47">
        <v>37910301</v>
      </c>
      <c r="I59" s="47">
        <f>H59</f>
        <v>37910301</v>
      </c>
      <c r="J59" s="47">
        <v>411050</v>
      </c>
      <c r="K59" s="47">
        <f>I59+J59</f>
        <v>38321351</v>
      </c>
    </row>
    <row r="60" spans="1:11" s="22" customFormat="1" ht="21.75" customHeight="1">
      <c r="A60" s="26" t="s">
        <v>335</v>
      </c>
      <c r="B60" s="27" t="s">
        <v>336</v>
      </c>
      <c r="C60" s="47">
        <v>550000</v>
      </c>
      <c r="D60" s="47">
        <v>0</v>
      </c>
      <c r="E60" s="47">
        <v>550000</v>
      </c>
      <c r="F60" s="47">
        <v>0</v>
      </c>
      <c r="G60" s="47">
        <v>550000</v>
      </c>
      <c r="H60" s="47">
        <v>260000</v>
      </c>
      <c r="I60" s="47">
        <f>G60+H60</f>
        <v>810000</v>
      </c>
      <c r="J60" s="47">
        <v>0</v>
      </c>
      <c r="K60" s="47">
        <f>I60+J60</f>
        <v>810000</v>
      </c>
    </row>
    <row r="61" spans="1:11" s="23" customFormat="1" ht="36" customHeight="1">
      <c r="A61" s="252" t="s">
        <v>180</v>
      </c>
      <c r="B61" s="55" t="s">
        <v>88</v>
      </c>
      <c r="C61" s="103">
        <f aca="true" t="shared" si="14" ref="C61:I61">C8+C20+C21+C40+C43+C49+C55+C58</f>
        <v>352038690</v>
      </c>
      <c r="D61" s="103">
        <f t="shared" si="14"/>
        <v>3706875</v>
      </c>
      <c r="E61" s="103">
        <f t="shared" si="14"/>
        <v>356295565</v>
      </c>
      <c r="F61" s="103">
        <f t="shared" si="14"/>
        <v>0</v>
      </c>
      <c r="G61" s="103">
        <f t="shared" si="14"/>
        <v>355745565</v>
      </c>
      <c r="H61" s="103">
        <f>H8+H20+H21+H40+H43+H49+H55+H58</f>
        <v>0</v>
      </c>
      <c r="I61" s="103">
        <f t="shared" si="14"/>
        <v>355745565</v>
      </c>
      <c r="J61" s="103">
        <f>J8+J20+J21+J40+J43+J49+J55+J58</f>
        <v>-551833</v>
      </c>
      <c r="K61" s="103">
        <f>K8+K20+K21+K40+K43+K49+K55+K58</f>
        <v>355193732</v>
      </c>
    </row>
    <row r="62" spans="1:11" s="21" customFormat="1" ht="21.75" customHeight="1">
      <c r="A62" s="252" t="s">
        <v>89</v>
      </c>
      <c r="B62" s="55" t="s">
        <v>90</v>
      </c>
      <c r="C62" s="50">
        <f aca="true" t="shared" si="15" ref="C62:I62">SUM(C63:C64)</f>
        <v>77576158</v>
      </c>
      <c r="D62" s="50">
        <f t="shared" si="15"/>
        <v>0</v>
      </c>
      <c r="E62" s="50">
        <f t="shared" si="15"/>
        <v>77576158</v>
      </c>
      <c r="F62" s="50">
        <f t="shared" si="15"/>
        <v>0</v>
      </c>
      <c r="G62" s="50">
        <f t="shared" si="15"/>
        <v>77576158</v>
      </c>
      <c r="H62" s="50">
        <f t="shared" si="15"/>
        <v>0</v>
      </c>
      <c r="I62" s="50">
        <f t="shared" si="15"/>
        <v>77576158</v>
      </c>
      <c r="J62" s="50">
        <f>SUM(J63:J64)</f>
        <v>3046000</v>
      </c>
      <c r="K62" s="50">
        <f>SUM(K63:K64)</f>
        <v>80622158</v>
      </c>
    </row>
    <row r="63" spans="1:11" s="21" customFormat="1" ht="21.75" customHeight="1">
      <c r="A63" s="26" t="s">
        <v>191</v>
      </c>
      <c r="B63" s="27" t="s">
        <v>192</v>
      </c>
      <c r="C63" s="47">
        <v>4276181</v>
      </c>
      <c r="D63" s="47">
        <v>0</v>
      </c>
      <c r="E63" s="47">
        <v>4276181</v>
      </c>
      <c r="F63" s="47">
        <v>0</v>
      </c>
      <c r="G63" s="47">
        <v>4276181</v>
      </c>
      <c r="H63" s="47">
        <v>0</v>
      </c>
      <c r="I63" s="47">
        <v>4276181</v>
      </c>
      <c r="J63" s="47">
        <v>0</v>
      </c>
      <c r="K63" s="47">
        <v>4276181</v>
      </c>
    </row>
    <row r="64" spans="1:11" s="23" customFormat="1" ht="30.75" customHeight="1">
      <c r="A64" s="26" t="s">
        <v>178</v>
      </c>
      <c r="B64" s="27" t="s">
        <v>91</v>
      </c>
      <c r="C64" s="47">
        <v>73299977</v>
      </c>
      <c r="D64" s="47">
        <v>0</v>
      </c>
      <c r="E64" s="47">
        <v>73299977</v>
      </c>
      <c r="F64" s="47">
        <v>0</v>
      </c>
      <c r="G64" s="47">
        <v>73299977</v>
      </c>
      <c r="H64" s="47">
        <v>0</v>
      </c>
      <c r="I64" s="47">
        <v>73299977</v>
      </c>
      <c r="J64" s="47">
        <v>3046000</v>
      </c>
      <c r="K64" s="47">
        <f>I64+J64</f>
        <v>76345977</v>
      </c>
    </row>
    <row r="65" spans="1:11" ht="30" thickBot="1">
      <c r="A65" s="253" t="s">
        <v>182</v>
      </c>
      <c r="B65" s="254" t="s">
        <v>92</v>
      </c>
      <c r="C65" s="104">
        <f aca="true" t="shared" si="16" ref="C65:I65">C61+C62</f>
        <v>429614848</v>
      </c>
      <c r="D65" s="104">
        <f t="shared" si="16"/>
        <v>3706875</v>
      </c>
      <c r="E65" s="104">
        <f t="shared" si="16"/>
        <v>433871723</v>
      </c>
      <c r="F65" s="104">
        <f t="shared" si="16"/>
        <v>0</v>
      </c>
      <c r="G65" s="104">
        <f t="shared" si="16"/>
        <v>433321723</v>
      </c>
      <c r="H65" s="104">
        <f t="shared" si="16"/>
        <v>0</v>
      </c>
      <c r="I65" s="104">
        <f t="shared" si="16"/>
        <v>433321723</v>
      </c>
      <c r="J65" s="104">
        <f>J61+J62</f>
        <v>2494167</v>
      </c>
      <c r="K65" s="104">
        <f>K61+K62</f>
        <v>435815890</v>
      </c>
    </row>
    <row r="66" spans="1:2" ht="13.5" thickTop="1">
      <c r="A66" s="1"/>
      <c r="B66" s="1"/>
    </row>
  </sheetData>
  <sheetProtection/>
  <mergeCells count="4">
    <mergeCell ref="A4:B4"/>
    <mergeCell ref="A5:B5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3">
      <selection activeCell="G40" sqref="G40"/>
    </sheetView>
  </sheetViews>
  <sheetFormatPr defaultColWidth="9.140625" defaultRowHeight="12.75"/>
  <cols>
    <col min="1" max="1" width="11.421875" style="393" customWidth="1"/>
    <col min="2" max="2" width="42.7109375" style="393" customWidth="1"/>
    <col min="3" max="4" width="16.7109375" style="393" hidden="1" customWidth="1"/>
    <col min="5" max="5" width="16.7109375" style="393" customWidth="1"/>
    <col min="6" max="6" width="15.8515625" style="393" customWidth="1"/>
    <col min="7" max="7" width="16.7109375" style="393" customWidth="1"/>
    <col min="8" max="8" width="17.421875" style="393" customWidth="1"/>
    <col min="9" max="16384" width="11.421875" style="394" customWidth="1"/>
  </cols>
  <sheetData>
    <row r="1" spans="1:6" ht="12.75">
      <c r="A1" s="391"/>
      <c r="B1" s="392"/>
      <c r="C1" s="392"/>
      <c r="F1" s="392"/>
    </row>
    <row r="2" spans="1:8" s="397" customFormat="1" ht="20.25" customHeight="1">
      <c r="A2" s="544" t="s">
        <v>504</v>
      </c>
      <c r="B2" s="544"/>
      <c r="C2" s="544"/>
      <c r="D2" s="544"/>
      <c r="E2" s="544"/>
      <c r="F2" s="544"/>
      <c r="G2" s="544"/>
      <c r="H2" s="396"/>
    </row>
    <row r="3" spans="1:8" s="397" customFormat="1" ht="20.25" customHeight="1">
      <c r="A3" s="544"/>
      <c r="B3" s="544"/>
      <c r="C3" s="544"/>
      <c r="D3" s="544"/>
      <c r="E3" s="544"/>
      <c r="F3" s="544"/>
      <c r="G3" s="544"/>
      <c r="H3" s="396"/>
    </row>
    <row r="4" spans="1:8" s="397" customFormat="1" ht="20.25">
      <c r="A4" s="544" t="s">
        <v>333</v>
      </c>
      <c r="B4" s="544"/>
      <c r="C4" s="544"/>
      <c r="D4" s="544"/>
      <c r="E4" s="544"/>
      <c r="F4" s="544"/>
      <c r="G4" s="544"/>
      <c r="H4" s="396"/>
    </row>
    <row r="5" spans="1:8" s="397" customFormat="1" ht="20.25">
      <c r="A5" s="395"/>
      <c r="B5" s="395"/>
      <c r="C5" s="395"/>
      <c r="D5" s="395"/>
      <c r="E5" s="395"/>
      <c r="F5" s="395"/>
      <c r="G5" s="395"/>
      <c r="H5" s="396"/>
    </row>
    <row r="6" spans="1:7" ht="20.25">
      <c r="A6" s="541" t="s">
        <v>428</v>
      </c>
      <c r="B6" s="541"/>
      <c r="C6" s="398"/>
      <c r="D6" s="399"/>
      <c r="E6" s="400"/>
      <c r="F6" s="398"/>
      <c r="G6" s="399"/>
    </row>
    <row r="7" spans="1:8" ht="21" thickBot="1">
      <c r="A7" s="540" t="s">
        <v>505</v>
      </c>
      <c r="B7" s="540"/>
      <c r="C7" s="401"/>
      <c r="D7" s="545"/>
      <c r="E7" s="545"/>
      <c r="F7" s="401"/>
      <c r="G7" s="402" t="s">
        <v>320</v>
      </c>
      <c r="H7" s="403"/>
    </row>
    <row r="8" spans="1:8" ht="45" customHeight="1" thickBot="1" thickTop="1">
      <c r="A8" s="404" t="s">
        <v>0</v>
      </c>
      <c r="B8" s="405" t="s">
        <v>506</v>
      </c>
      <c r="C8" s="406" t="s">
        <v>507</v>
      </c>
      <c r="D8" s="405" t="s">
        <v>508</v>
      </c>
      <c r="E8" s="405" t="s">
        <v>509</v>
      </c>
      <c r="F8" s="407" t="s">
        <v>423</v>
      </c>
      <c r="G8" s="405" t="s">
        <v>424</v>
      </c>
      <c r="H8" s="394"/>
    </row>
    <row r="9" spans="1:8" ht="15" customHeight="1" thickTop="1">
      <c r="A9" s="408" t="s">
        <v>93</v>
      </c>
      <c r="B9" s="409" t="s">
        <v>94</v>
      </c>
      <c r="C9" s="409" t="s">
        <v>95</v>
      </c>
      <c r="D9" s="409" t="s">
        <v>96</v>
      </c>
      <c r="E9" s="410" t="s">
        <v>95</v>
      </c>
      <c r="F9" s="411" t="s">
        <v>96</v>
      </c>
      <c r="G9" s="409" t="s">
        <v>97</v>
      </c>
      <c r="H9" s="394"/>
    </row>
    <row r="10" spans="1:7" ht="15" customHeight="1">
      <c r="A10" s="412" t="s">
        <v>2</v>
      </c>
      <c r="B10" s="413" t="s">
        <v>510</v>
      </c>
      <c r="C10" s="414">
        <f>C11</f>
        <v>4420695</v>
      </c>
      <c r="D10" s="414">
        <f>D11</f>
        <v>6405455</v>
      </c>
      <c r="E10" s="415">
        <f>E11</f>
        <v>12066452</v>
      </c>
      <c r="F10" s="416">
        <f>F11</f>
        <v>3873194</v>
      </c>
      <c r="G10" s="414">
        <f>G11</f>
        <v>15939646</v>
      </c>
    </row>
    <row r="11" spans="1:7" ht="15" customHeight="1">
      <c r="A11" s="417" t="s">
        <v>10</v>
      </c>
      <c r="B11" s="418" t="s">
        <v>511</v>
      </c>
      <c r="C11" s="419">
        <v>4420695</v>
      </c>
      <c r="D11" s="419">
        <v>6405455</v>
      </c>
      <c r="E11" s="420">
        <v>12066452</v>
      </c>
      <c r="F11" s="421">
        <v>3873194</v>
      </c>
      <c r="G11" s="419">
        <f>E11+F11</f>
        <v>15939646</v>
      </c>
    </row>
    <row r="12" spans="1:7" ht="15" customHeight="1">
      <c r="A12" s="412" t="s">
        <v>25</v>
      </c>
      <c r="B12" s="413" t="s">
        <v>26</v>
      </c>
      <c r="C12" s="422">
        <f>SUM(C13:C17)</f>
        <v>17868500</v>
      </c>
      <c r="D12" s="422">
        <f>SUM(D13:D17)</f>
        <v>16155550</v>
      </c>
      <c r="E12" s="415">
        <f>SUM(E13:E17)</f>
        <v>16023000</v>
      </c>
      <c r="F12" s="423">
        <f>SUM(F13:F17)</f>
        <v>0</v>
      </c>
      <c r="G12" s="422">
        <f>SUM(G13:G17)</f>
        <v>16023000</v>
      </c>
    </row>
    <row r="13" spans="1:7" ht="15" customHeight="1">
      <c r="A13" s="424" t="s">
        <v>27</v>
      </c>
      <c r="B13" s="425" t="s">
        <v>127</v>
      </c>
      <c r="C13" s="426">
        <v>8300000</v>
      </c>
      <c r="D13" s="419">
        <v>7278483</v>
      </c>
      <c r="E13" s="420">
        <v>7100000</v>
      </c>
      <c r="F13" s="427">
        <v>0</v>
      </c>
      <c r="G13" s="419">
        <f>E13+F13</f>
        <v>7100000</v>
      </c>
    </row>
    <row r="14" spans="1:7" ht="15" customHeight="1">
      <c r="A14" s="424" t="s">
        <v>512</v>
      </c>
      <c r="B14" s="425" t="s">
        <v>239</v>
      </c>
      <c r="C14" s="426">
        <v>20000</v>
      </c>
      <c r="D14" s="419">
        <v>96985</v>
      </c>
      <c r="E14" s="420">
        <v>20000</v>
      </c>
      <c r="F14" s="427">
        <v>0</v>
      </c>
      <c r="G14" s="419">
        <f>E14+F14</f>
        <v>20000</v>
      </c>
    </row>
    <row r="15" spans="1:7" ht="15" customHeight="1">
      <c r="A15" s="424" t="s">
        <v>30</v>
      </c>
      <c r="B15" s="425" t="s">
        <v>513</v>
      </c>
      <c r="C15" s="426">
        <v>5750000</v>
      </c>
      <c r="D15" s="419">
        <v>5402896</v>
      </c>
      <c r="E15" s="420">
        <v>5500000</v>
      </c>
      <c r="F15" s="427">
        <v>0</v>
      </c>
      <c r="G15" s="419">
        <f>E15+F15</f>
        <v>5500000</v>
      </c>
    </row>
    <row r="16" spans="1:7" ht="15" customHeight="1">
      <c r="A16" s="424" t="s">
        <v>32</v>
      </c>
      <c r="B16" s="425" t="s">
        <v>514</v>
      </c>
      <c r="C16" s="426">
        <v>3793500</v>
      </c>
      <c r="D16" s="419">
        <v>3377015</v>
      </c>
      <c r="E16" s="420">
        <v>3402000</v>
      </c>
      <c r="F16" s="427">
        <v>0</v>
      </c>
      <c r="G16" s="419">
        <f>E16+F16</f>
        <v>3402000</v>
      </c>
    </row>
    <row r="17" spans="1:7" ht="15" customHeight="1">
      <c r="A17" s="424" t="s">
        <v>34</v>
      </c>
      <c r="B17" s="425" t="s">
        <v>35</v>
      </c>
      <c r="C17" s="419">
        <v>5000</v>
      </c>
      <c r="D17" s="419">
        <v>171</v>
      </c>
      <c r="E17" s="420">
        <v>1000</v>
      </c>
      <c r="F17" s="421">
        <v>0</v>
      </c>
      <c r="G17" s="419">
        <f>E17+F17</f>
        <v>1000</v>
      </c>
    </row>
    <row r="18" spans="1:7" ht="15" customHeight="1">
      <c r="A18" s="412" t="s">
        <v>38</v>
      </c>
      <c r="B18" s="413" t="s">
        <v>39</v>
      </c>
      <c r="C18" s="414">
        <f>C19</f>
        <v>15000</v>
      </c>
      <c r="D18" s="414">
        <f>D19</f>
        <v>11000</v>
      </c>
      <c r="E18" s="415">
        <f>E19</f>
        <v>15000</v>
      </c>
      <c r="F18" s="416">
        <f>F19</f>
        <v>0</v>
      </c>
      <c r="G18" s="414">
        <f>G19</f>
        <v>15000</v>
      </c>
    </row>
    <row r="19" spans="1:7" ht="15" customHeight="1">
      <c r="A19" s="417" t="s">
        <v>515</v>
      </c>
      <c r="B19" s="418" t="s">
        <v>516</v>
      </c>
      <c r="C19" s="419">
        <v>15000</v>
      </c>
      <c r="D19" s="419">
        <v>11000</v>
      </c>
      <c r="E19" s="420">
        <v>15000</v>
      </c>
      <c r="F19" s="421">
        <v>0</v>
      </c>
      <c r="G19" s="419">
        <f>E19</f>
        <v>15000</v>
      </c>
    </row>
    <row r="20" spans="1:7" ht="15" customHeight="1">
      <c r="A20" s="428" t="s">
        <v>517</v>
      </c>
      <c r="B20" s="429" t="s">
        <v>44</v>
      </c>
      <c r="C20" s="430">
        <f>C10+C12+C18</f>
        <v>22304195</v>
      </c>
      <c r="D20" s="430">
        <f>D10+D12+D18</f>
        <v>22572005</v>
      </c>
      <c r="E20" s="431">
        <f>E10+E12+E18</f>
        <v>28104452</v>
      </c>
      <c r="F20" s="432">
        <f>F10+F12+F18</f>
        <v>3873194</v>
      </c>
      <c r="G20" s="430">
        <f>G10+G12+G18</f>
        <v>31977646</v>
      </c>
    </row>
    <row r="21" spans="1:7" ht="15" customHeight="1">
      <c r="A21" s="428"/>
      <c r="B21" s="429"/>
      <c r="C21" s="430"/>
      <c r="D21" s="433"/>
      <c r="E21" s="434"/>
      <c r="F21" s="432"/>
      <c r="G21" s="433"/>
    </row>
    <row r="22" spans="1:7" ht="15" customHeight="1">
      <c r="A22" s="412" t="s">
        <v>45</v>
      </c>
      <c r="B22" s="413" t="s">
        <v>46</v>
      </c>
      <c r="C22" s="422">
        <f>SUM(C23:C24)</f>
        <v>68410329</v>
      </c>
      <c r="D22" s="435">
        <f>SUM(D23:D24)</f>
        <v>68414754</v>
      </c>
      <c r="E22" s="436">
        <f>SUM(E23:E24)</f>
        <v>75461456</v>
      </c>
      <c r="F22" s="423">
        <f>SUM(F23:F24)</f>
        <v>0</v>
      </c>
      <c r="G22" s="435">
        <f>SUM(G23:G24)</f>
        <v>75461456</v>
      </c>
    </row>
    <row r="23" spans="1:7" ht="15" customHeight="1">
      <c r="A23" s="424" t="s">
        <v>47</v>
      </c>
      <c r="B23" s="425" t="s">
        <v>48</v>
      </c>
      <c r="C23" s="426">
        <v>1495685</v>
      </c>
      <c r="D23" s="419">
        <v>1495685</v>
      </c>
      <c r="E23" s="420">
        <v>2161479</v>
      </c>
      <c r="F23" s="427">
        <v>0</v>
      </c>
      <c r="G23" s="419">
        <f>E23+F23</f>
        <v>2161479</v>
      </c>
    </row>
    <row r="24" spans="1:7" ht="15" customHeight="1">
      <c r="A24" s="417" t="s">
        <v>518</v>
      </c>
      <c r="B24" s="418" t="s">
        <v>427</v>
      </c>
      <c r="C24" s="437">
        <v>66914644</v>
      </c>
      <c r="D24" s="419">
        <v>66919069</v>
      </c>
      <c r="E24" s="420">
        <v>73299977</v>
      </c>
      <c r="F24" s="438">
        <v>0</v>
      </c>
      <c r="G24" s="419">
        <f>E24+F24</f>
        <v>73299977</v>
      </c>
    </row>
    <row r="25" spans="1:7" ht="15" customHeight="1">
      <c r="A25" s="417"/>
      <c r="B25" s="418"/>
      <c r="C25" s="437"/>
      <c r="D25" s="419"/>
      <c r="E25" s="420"/>
      <c r="F25" s="438"/>
      <c r="G25" s="419"/>
    </row>
    <row r="26" spans="1:7" ht="15" customHeight="1" thickBot="1">
      <c r="A26" s="439" t="s">
        <v>519</v>
      </c>
      <c r="B26" s="440" t="s">
        <v>49</v>
      </c>
      <c r="C26" s="441">
        <f>C22+C20</f>
        <v>90714524</v>
      </c>
      <c r="D26" s="442">
        <f>D20+D22</f>
        <v>90986759</v>
      </c>
      <c r="E26" s="442">
        <f>E20+E22</f>
        <v>103565908</v>
      </c>
      <c r="F26" s="443">
        <f>F22+F20</f>
        <v>3873194</v>
      </c>
      <c r="G26" s="442">
        <f>G20+G22</f>
        <v>107439102</v>
      </c>
    </row>
    <row r="27" spans="1:8" ht="15" customHeight="1" thickTop="1">
      <c r="A27" s="444"/>
      <c r="B27" s="444"/>
      <c r="C27" s="445"/>
      <c r="D27" s="446"/>
      <c r="E27" s="446"/>
      <c r="F27" s="445"/>
      <c r="G27" s="446"/>
      <c r="H27" s="394"/>
    </row>
    <row r="28" spans="1:8" ht="15" customHeight="1" thickBot="1">
      <c r="A28" s="447"/>
      <c r="B28" s="448"/>
      <c r="C28" s="449"/>
      <c r="D28" s="450"/>
      <c r="E28" s="450"/>
      <c r="F28" s="449"/>
      <c r="G28" s="450"/>
      <c r="H28" s="394"/>
    </row>
    <row r="29" spans="1:8" ht="45.75" customHeight="1" thickBot="1" thickTop="1">
      <c r="A29" s="404" t="s">
        <v>0</v>
      </c>
      <c r="B29" s="405" t="s">
        <v>520</v>
      </c>
      <c r="C29" s="406" t="s">
        <v>507</v>
      </c>
      <c r="D29" s="405" t="s">
        <v>508</v>
      </c>
      <c r="E29" s="405" t="s">
        <v>509</v>
      </c>
      <c r="F29" s="407" t="s">
        <v>423</v>
      </c>
      <c r="G29" s="405" t="s">
        <v>424</v>
      </c>
      <c r="H29" s="394"/>
    </row>
    <row r="30" spans="1:7" ht="15" customHeight="1" thickTop="1">
      <c r="A30" s="408" t="s">
        <v>93</v>
      </c>
      <c r="B30" s="409" t="s">
        <v>94</v>
      </c>
      <c r="C30" s="451" t="s">
        <v>95</v>
      </c>
      <c r="D30" s="451" t="s">
        <v>96</v>
      </c>
      <c r="E30" s="451" t="s">
        <v>95</v>
      </c>
      <c r="F30" s="452" t="s">
        <v>96</v>
      </c>
      <c r="G30" s="451" t="s">
        <v>97</v>
      </c>
    </row>
    <row r="31" spans="1:7" ht="15" customHeight="1">
      <c r="A31" s="412" t="s">
        <v>50</v>
      </c>
      <c r="B31" s="413" t="s">
        <v>51</v>
      </c>
      <c r="C31" s="453">
        <f>SUM(C32:C33)</f>
        <v>46610245</v>
      </c>
      <c r="D31" s="453">
        <f>SUM(D32:D33)</f>
        <v>47746274</v>
      </c>
      <c r="E31" s="454">
        <f>SUM(E32:E33)</f>
        <v>56933600</v>
      </c>
      <c r="F31" s="455">
        <f>SUM(F32:F33)</f>
        <v>2803646</v>
      </c>
      <c r="G31" s="453">
        <f>SUM(G32:G33)</f>
        <v>59737246</v>
      </c>
    </row>
    <row r="32" spans="1:7" ht="15" customHeight="1">
      <c r="A32" s="424" t="s">
        <v>52</v>
      </c>
      <c r="B32" s="425" t="s">
        <v>53</v>
      </c>
      <c r="C32" s="456">
        <v>46560245</v>
      </c>
      <c r="D32" s="457">
        <v>47741858</v>
      </c>
      <c r="E32" s="458">
        <v>56883600</v>
      </c>
      <c r="F32" s="459">
        <v>980000</v>
      </c>
      <c r="G32" s="457">
        <f>E32+F32</f>
        <v>57863600</v>
      </c>
    </row>
    <row r="33" spans="1:7" ht="15" customHeight="1">
      <c r="A33" s="424" t="s">
        <v>59</v>
      </c>
      <c r="B33" s="425" t="s">
        <v>60</v>
      </c>
      <c r="C33" s="456">
        <v>50000</v>
      </c>
      <c r="D33" s="457">
        <v>4416</v>
      </c>
      <c r="E33" s="457">
        <v>50000</v>
      </c>
      <c r="F33" s="459">
        <v>1823646</v>
      </c>
      <c r="G33" s="457">
        <f>E33+F33</f>
        <v>1873646</v>
      </c>
    </row>
    <row r="34" spans="1:7" ht="30.75" customHeight="1">
      <c r="A34" s="412" t="s">
        <v>64</v>
      </c>
      <c r="B34" s="460" t="s">
        <v>161</v>
      </c>
      <c r="C34" s="461">
        <v>10838079</v>
      </c>
      <c r="D34" s="462">
        <v>10716052</v>
      </c>
      <c r="E34" s="462">
        <v>11858308</v>
      </c>
      <c r="F34" s="463">
        <v>566196</v>
      </c>
      <c r="G34" s="462">
        <f>E34+F34</f>
        <v>12424504</v>
      </c>
    </row>
    <row r="35" spans="1:7" ht="15" customHeight="1">
      <c r="A35" s="412" t="s">
        <v>65</v>
      </c>
      <c r="B35" s="413" t="s">
        <v>66</v>
      </c>
      <c r="C35" s="453">
        <f>SUM(C36:C40)</f>
        <v>31920000</v>
      </c>
      <c r="D35" s="462">
        <f>SUM(D36:D40)</f>
        <v>29393152</v>
      </c>
      <c r="E35" s="462">
        <f>SUM(E36:E40)</f>
        <v>34520000</v>
      </c>
      <c r="F35" s="455">
        <f>SUM(F36:F40)</f>
        <v>428286</v>
      </c>
      <c r="G35" s="462">
        <f>SUM(G36:G40)</f>
        <v>34948286</v>
      </c>
    </row>
    <row r="36" spans="1:7" ht="15" customHeight="1">
      <c r="A36" s="424" t="s">
        <v>67</v>
      </c>
      <c r="B36" s="425" t="s">
        <v>68</v>
      </c>
      <c r="C36" s="456">
        <v>18790000</v>
      </c>
      <c r="D36" s="458">
        <v>18211785</v>
      </c>
      <c r="E36" s="458">
        <v>19480000</v>
      </c>
      <c r="F36" s="459">
        <v>304522</v>
      </c>
      <c r="G36" s="458">
        <f>E36+F36</f>
        <v>19784522</v>
      </c>
    </row>
    <row r="37" spans="1:7" ht="15" customHeight="1">
      <c r="A37" s="424" t="s">
        <v>69</v>
      </c>
      <c r="B37" s="425" t="s">
        <v>70</v>
      </c>
      <c r="C37" s="456">
        <v>1360000</v>
      </c>
      <c r="D37" s="458">
        <v>1167083</v>
      </c>
      <c r="E37" s="458">
        <v>1250000</v>
      </c>
      <c r="F37" s="459">
        <v>0</v>
      </c>
      <c r="G37" s="458">
        <f>E37+F37</f>
        <v>1250000</v>
      </c>
    </row>
    <row r="38" spans="1:7" ht="15" customHeight="1">
      <c r="A38" s="424" t="s">
        <v>71</v>
      </c>
      <c r="B38" s="425" t="s">
        <v>72</v>
      </c>
      <c r="C38" s="456">
        <v>5390000</v>
      </c>
      <c r="D38" s="458">
        <v>5302314</v>
      </c>
      <c r="E38" s="458">
        <v>6290000</v>
      </c>
      <c r="F38" s="459">
        <v>23659</v>
      </c>
      <c r="G38" s="458">
        <f>E38+F38</f>
        <v>6313659</v>
      </c>
    </row>
    <row r="39" spans="1:7" ht="15" customHeight="1">
      <c r="A39" s="424" t="s">
        <v>75</v>
      </c>
      <c r="B39" s="425" t="s">
        <v>76</v>
      </c>
      <c r="C39" s="456">
        <v>600000</v>
      </c>
      <c r="D39" s="458">
        <v>547444</v>
      </c>
      <c r="E39" s="458">
        <v>600000</v>
      </c>
      <c r="F39" s="459">
        <v>0</v>
      </c>
      <c r="G39" s="458">
        <f>E39+F39</f>
        <v>600000</v>
      </c>
    </row>
    <row r="40" spans="1:7" ht="15" customHeight="1">
      <c r="A40" s="424" t="s">
        <v>77</v>
      </c>
      <c r="B40" s="425" t="s">
        <v>78</v>
      </c>
      <c r="C40" s="456">
        <v>5780000</v>
      </c>
      <c r="D40" s="458">
        <v>4164526</v>
      </c>
      <c r="E40" s="458">
        <v>6900000</v>
      </c>
      <c r="F40" s="459">
        <v>100105</v>
      </c>
      <c r="G40" s="458">
        <f>E40+F40</f>
        <v>7000105</v>
      </c>
    </row>
    <row r="41" spans="1:7" ht="15" customHeight="1">
      <c r="A41" s="464" t="s">
        <v>82</v>
      </c>
      <c r="B41" s="465" t="s">
        <v>126</v>
      </c>
      <c r="C41" s="466">
        <f>SUM(C42:C43)</f>
        <v>1346200</v>
      </c>
      <c r="D41" s="466">
        <f>SUM(D42:D43)</f>
        <v>969802</v>
      </c>
      <c r="E41" s="466">
        <f>E42</f>
        <v>0</v>
      </c>
      <c r="F41" s="466">
        <f>F42</f>
        <v>75066</v>
      </c>
      <c r="G41" s="466">
        <f>G42</f>
        <v>75066</v>
      </c>
    </row>
    <row r="42" spans="1:7" ht="15" customHeight="1">
      <c r="A42" s="424" t="s">
        <v>325</v>
      </c>
      <c r="B42" s="425" t="s">
        <v>521</v>
      </c>
      <c r="C42" s="456">
        <v>860000</v>
      </c>
      <c r="D42" s="458">
        <v>207500</v>
      </c>
      <c r="E42" s="458">
        <v>0</v>
      </c>
      <c r="F42" s="459">
        <v>75066</v>
      </c>
      <c r="G42" s="458">
        <f>F42</f>
        <v>75066</v>
      </c>
    </row>
    <row r="43" spans="1:7" ht="15" customHeight="1">
      <c r="A43" s="464" t="s">
        <v>522</v>
      </c>
      <c r="B43" s="465" t="s">
        <v>84</v>
      </c>
      <c r="C43" s="466">
        <f>SUM(C44:C45)</f>
        <v>486200</v>
      </c>
      <c r="D43" s="466">
        <f>SUM(D44:D45)</f>
        <v>762302</v>
      </c>
      <c r="E43" s="466">
        <f>SUM(E44:E45)</f>
        <v>254000</v>
      </c>
      <c r="F43" s="467">
        <f>SUM(F44:F45)</f>
        <v>0</v>
      </c>
      <c r="G43" s="466">
        <f>SUM(G44:G45)</f>
        <v>254000</v>
      </c>
    </row>
    <row r="44" spans="1:7" ht="15" customHeight="1">
      <c r="A44" s="424" t="s">
        <v>170</v>
      </c>
      <c r="B44" s="425" t="s">
        <v>523</v>
      </c>
      <c r="C44" s="456">
        <v>200000</v>
      </c>
      <c r="D44" s="458">
        <v>572951</v>
      </c>
      <c r="E44" s="458">
        <v>200000</v>
      </c>
      <c r="F44" s="459">
        <v>0</v>
      </c>
      <c r="G44" s="458">
        <f>E44+F44</f>
        <v>200000</v>
      </c>
    </row>
    <row r="45" spans="1:7" ht="15" customHeight="1">
      <c r="A45" s="424" t="s">
        <v>171</v>
      </c>
      <c r="B45" s="425" t="s">
        <v>524</v>
      </c>
      <c r="C45" s="456">
        <v>286200</v>
      </c>
      <c r="D45" s="458">
        <v>189351</v>
      </c>
      <c r="E45" s="458">
        <v>54000</v>
      </c>
      <c r="F45" s="459">
        <v>0</v>
      </c>
      <c r="G45" s="458">
        <f>E45+F45</f>
        <v>54000</v>
      </c>
    </row>
    <row r="46" spans="1:7" ht="15" customHeight="1" thickBot="1">
      <c r="A46" s="439" t="s">
        <v>525</v>
      </c>
      <c r="B46" s="440" t="s">
        <v>92</v>
      </c>
      <c r="C46" s="468">
        <f>C31+C34+C35+C43</f>
        <v>89854524</v>
      </c>
      <c r="D46" s="469">
        <f>D31++D43+D34+D35</f>
        <v>88617780</v>
      </c>
      <c r="E46" s="469">
        <f>E31+E34+E35+E43+E41</f>
        <v>103565908</v>
      </c>
      <c r="F46" s="469">
        <f>F31+F34+F35+F43+F41</f>
        <v>3873194</v>
      </c>
      <c r="G46" s="469">
        <f>G31+G34+G35+G43+G41</f>
        <v>107439102</v>
      </c>
    </row>
    <row r="47" spans="1:8" ht="16.5" thickTop="1">
      <c r="A47" s="444"/>
      <c r="B47" s="444"/>
      <c r="C47" s="444"/>
      <c r="D47" s="470"/>
      <c r="E47" s="470"/>
      <c r="F47" s="444"/>
      <c r="G47" s="470"/>
      <c r="H47" s="471"/>
    </row>
    <row r="48" spans="1:8" ht="16.5" thickBot="1">
      <c r="A48" s="396"/>
      <c r="B48" s="472"/>
      <c r="C48" s="472"/>
      <c r="D48" s="472"/>
      <c r="F48" s="471"/>
      <c r="G48" s="394"/>
      <c r="H48" s="394"/>
    </row>
    <row r="49" spans="1:8" ht="15" thickBot="1">
      <c r="A49" s="473" t="s">
        <v>526</v>
      </c>
      <c r="B49" s="474"/>
      <c r="C49" s="475"/>
      <c r="D49" s="475"/>
      <c r="E49" s="476">
        <v>18</v>
      </c>
      <c r="G49" s="394"/>
      <c r="H49" s="394"/>
    </row>
    <row r="50" spans="1:5" s="393" customFormat="1" ht="15" thickBot="1">
      <c r="A50" s="473" t="s">
        <v>527</v>
      </c>
      <c r="B50" s="474"/>
      <c r="C50" s="475"/>
      <c r="D50" s="475"/>
      <c r="E50" s="476">
        <v>0</v>
      </c>
    </row>
  </sheetData>
  <sheetProtection/>
  <mergeCells count="5">
    <mergeCell ref="A2:G3"/>
    <mergeCell ref="A4:G4"/>
    <mergeCell ref="A6:B6"/>
    <mergeCell ref="A7:B7"/>
    <mergeCell ref="D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36"/>
  <sheetViews>
    <sheetView zoomScalePageLayoutView="0" workbookViewId="0" topLeftCell="C1">
      <selection activeCell="C6" sqref="C6:D6"/>
    </sheetView>
  </sheetViews>
  <sheetFormatPr defaultColWidth="8.00390625" defaultRowHeight="12.75"/>
  <cols>
    <col min="1" max="1" width="9.8515625" style="3" hidden="1" customWidth="1"/>
    <col min="2" max="2" width="3.28125" style="3" hidden="1" customWidth="1"/>
    <col min="3" max="3" width="52.7109375" style="3" customWidth="1"/>
    <col min="4" max="4" width="13.421875" style="3" customWidth="1"/>
    <col min="5" max="9" width="13.421875" style="3" hidden="1" customWidth="1"/>
    <col min="10" max="12" width="13.421875" style="3" customWidth="1"/>
    <col min="13" max="13" width="45.421875" style="3" customWidth="1"/>
    <col min="14" max="14" width="12.7109375" style="3" customWidth="1"/>
    <col min="15" max="19" width="13.421875" style="3" hidden="1" customWidth="1"/>
    <col min="20" max="22" width="13.421875" style="3" customWidth="1"/>
    <col min="23" max="23" width="8.7109375" style="3" bestFit="1" customWidth="1"/>
    <col min="24" max="24" width="8.00390625" style="3" customWidth="1"/>
    <col min="25" max="25" width="9.421875" style="3" bestFit="1" customWidth="1"/>
    <col min="26" max="16384" width="8.00390625" style="3" customWidth="1"/>
  </cols>
  <sheetData>
    <row r="1" spans="3:22" ht="30" customHeight="1">
      <c r="C1" s="546" t="s">
        <v>183</v>
      </c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</row>
    <row r="2" spans="3:22" ht="30" customHeight="1">
      <c r="C2" s="546" t="s">
        <v>387</v>
      </c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</row>
    <row r="3" spans="3:22" ht="17.25" customHeight="1">
      <c r="C3" s="546" t="s">
        <v>333</v>
      </c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</row>
    <row r="4" spans="3:22" ht="17.25" customHeight="1"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3:22" ht="17.25" customHeight="1">
      <c r="C5" s="541" t="s">
        <v>575</v>
      </c>
      <c r="D5" s="541"/>
      <c r="E5" s="39"/>
      <c r="F5" s="39"/>
      <c r="G5" s="39"/>
      <c r="H5" s="39"/>
      <c r="I5" s="39"/>
      <c r="J5" s="39"/>
      <c r="K5" s="39"/>
      <c r="L5" s="39"/>
      <c r="M5" s="39"/>
      <c r="N5" s="207"/>
      <c r="O5" s="39"/>
      <c r="P5" s="207"/>
      <c r="Q5" s="39"/>
      <c r="R5" s="207"/>
      <c r="S5" s="39"/>
      <c r="T5" s="207"/>
      <c r="U5" s="39"/>
      <c r="V5" s="207"/>
    </row>
    <row r="6" spans="3:22" ht="19.5" customHeight="1" thickBot="1">
      <c r="C6" s="540" t="s">
        <v>467</v>
      </c>
      <c r="D6" s="540"/>
      <c r="M6" s="4"/>
      <c r="N6" s="40"/>
      <c r="P6" s="40"/>
      <c r="R6" s="40"/>
      <c r="T6" s="40"/>
      <c r="V6" s="40" t="s">
        <v>326</v>
      </c>
    </row>
    <row r="7" spans="1:22" ht="42" customHeight="1">
      <c r="A7" s="5" t="s">
        <v>100</v>
      </c>
      <c r="B7" s="6" t="s">
        <v>101</v>
      </c>
      <c r="C7" s="6" t="s">
        <v>331</v>
      </c>
      <c r="D7" s="6" t="s">
        <v>354</v>
      </c>
      <c r="E7" s="6" t="s">
        <v>412</v>
      </c>
      <c r="F7" s="6" t="s">
        <v>413</v>
      </c>
      <c r="G7" s="6" t="s">
        <v>423</v>
      </c>
      <c r="H7" s="6" t="s">
        <v>424</v>
      </c>
      <c r="I7" s="6" t="s">
        <v>483</v>
      </c>
      <c r="J7" s="6" t="s">
        <v>478</v>
      </c>
      <c r="K7" s="6" t="s">
        <v>531</v>
      </c>
      <c r="L7" s="6" t="s">
        <v>529</v>
      </c>
      <c r="M7" s="220" t="s">
        <v>330</v>
      </c>
      <c r="N7" s="6" t="s">
        <v>354</v>
      </c>
      <c r="O7" s="6" t="s">
        <v>412</v>
      </c>
      <c r="P7" s="6" t="s">
        <v>413</v>
      </c>
      <c r="Q7" s="6" t="s">
        <v>423</v>
      </c>
      <c r="R7" s="6" t="s">
        <v>424</v>
      </c>
      <c r="S7" s="6" t="s">
        <v>483</v>
      </c>
      <c r="T7" s="6" t="s">
        <v>478</v>
      </c>
      <c r="U7" s="6" t="s">
        <v>531</v>
      </c>
      <c r="V7" s="6" t="s">
        <v>529</v>
      </c>
    </row>
    <row r="8" spans="1:22" s="64" customFormat="1" ht="10.5">
      <c r="A8" s="61">
        <v>1</v>
      </c>
      <c r="B8" s="62">
        <v>2</v>
      </c>
      <c r="C8" s="62" t="s">
        <v>93</v>
      </c>
      <c r="D8" s="62" t="s">
        <v>94</v>
      </c>
      <c r="E8" s="62" t="s">
        <v>95</v>
      </c>
      <c r="F8" s="62" t="s">
        <v>96</v>
      </c>
      <c r="G8" s="62" t="s">
        <v>95</v>
      </c>
      <c r="H8" s="62" t="s">
        <v>95</v>
      </c>
      <c r="I8" s="62" t="s">
        <v>96</v>
      </c>
      <c r="J8" s="62" t="s">
        <v>95</v>
      </c>
      <c r="K8" s="62" t="s">
        <v>96</v>
      </c>
      <c r="L8" s="62" t="s">
        <v>97</v>
      </c>
      <c r="M8" s="63" t="s">
        <v>305</v>
      </c>
      <c r="N8" s="62" t="s">
        <v>309</v>
      </c>
      <c r="O8" s="62" t="s">
        <v>309</v>
      </c>
      <c r="P8" s="62" t="s">
        <v>419</v>
      </c>
      <c r="Q8" s="62" t="s">
        <v>309</v>
      </c>
      <c r="R8" s="62" t="s">
        <v>419</v>
      </c>
      <c r="S8" s="62" t="s">
        <v>470</v>
      </c>
      <c r="T8" s="62" t="s">
        <v>419</v>
      </c>
      <c r="U8" s="62" t="s">
        <v>470</v>
      </c>
      <c r="V8" s="62" t="s">
        <v>474</v>
      </c>
    </row>
    <row r="9" spans="1:22" ht="14.25" customHeight="1">
      <c r="A9" s="7" t="s">
        <v>102</v>
      </c>
      <c r="B9" s="8" t="s">
        <v>103</v>
      </c>
      <c r="C9" s="9" t="s">
        <v>328</v>
      </c>
      <c r="D9" s="259">
        <v>2000000</v>
      </c>
      <c r="E9" s="259">
        <v>0</v>
      </c>
      <c r="F9" s="259">
        <v>2000000</v>
      </c>
      <c r="G9" s="259">
        <v>0</v>
      </c>
      <c r="H9" s="259">
        <f>F9+G9</f>
        <v>2000000</v>
      </c>
      <c r="I9" s="259">
        <v>0</v>
      </c>
      <c r="J9" s="259">
        <f>H9+I9</f>
        <v>2000000</v>
      </c>
      <c r="K9" s="259">
        <v>0</v>
      </c>
      <c r="L9" s="259">
        <f>J9+K9</f>
        <v>2000000</v>
      </c>
      <c r="M9" s="9" t="s">
        <v>389</v>
      </c>
      <c r="N9" s="41">
        <v>88071346</v>
      </c>
      <c r="O9" s="259">
        <v>0</v>
      </c>
      <c r="P9" s="259">
        <f>N9+O9</f>
        <v>88071346</v>
      </c>
      <c r="Q9" s="259">
        <v>0</v>
      </c>
      <c r="R9" s="259">
        <f>N9+Q9</f>
        <v>88071346</v>
      </c>
      <c r="S9" s="259">
        <v>0</v>
      </c>
      <c r="T9" s="259">
        <f>P9+S9</f>
        <v>88071346</v>
      </c>
      <c r="U9" s="259">
        <v>0</v>
      </c>
      <c r="V9" s="259">
        <f>T9+U9</f>
        <v>88071346</v>
      </c>
    </row>
    <row r="10" spans="1:22" ht="15" customHeight="1">
      <c r="A10" s="7" t="s">
        <v>102</v>
      </c>
      <c r="B10" s="8" t="s">
        <v>103</v>
      </c>
      <c r="C10" s="9" t="s">
        <v>378</v>
      </c>
      <c r="D10" s="259">
        <v>55000000</v>
      </c>
      <c r="E10" s="259">
        <v>0</v>
      </c>
      <c r="F10" s="259">
        <v>55000000</v>
      </c>
      <c r="G10" s="259">
        <v>0</v>
      </c>
      <c r="H10" s="259">
        <f aca="true" t="shared" si="0" ref="H10:H28">F10+G10</f>
        <v>55000000</v>
      </c>
      <c r="I10" s="259">
        <v>0</v>
      </c>
      <c r="J10" s="259">
        <f aca="true" t="shared" si="1" ref="J10:J30">H10+I10</f>
        <v>55000000</v>
      </c>
      <c r="K10" s="259">
        <v>0</v>
      </c>
      <c r="L10" s="259">
        <f aca="true" t="shared" si="2" ref="L10:L32">J10+K10</f>
        <v>55000000</v>
      </c>
      <c r="M10" s="9" t="s">
        <v>388</v>
      </c>
      <c r="N10" s="44">
        <v>3810000</v>
      </c>
      <c r="O10" s="260">
        <v>0</v>
      </c>
      <c r="P10" s="259">
        <f aca="true" t="shared" si="3" ref="P10:P15">N10+O10</f>
        <v>3810000</v>
      </c>
      <c r="Q10" s="260">
        <v>0</v>
      </c>
      <c r="R10" s="259">
        <f aca="true" t="shared" si="4" ref="R10:R15">N10+Q10</f>
        <v>3810000</v>
      </c>
      <c r="S10" s="260">
        <v>0</v>
      </c>
      <c r="T10" s="259">
        <f aca="true" t="shared" si="5" ref="T10:T15">P10+S10</f>
        <v>3810000</v>
      </c>
      <c r="U10" s="260">
        <v>0</v>
      </c>
      <c r="V10" s="259">
        <f aca="true" t="shared" si="6" ref="V10:V15">T10+U10</f>
        <v>3810000</v>
      </c>
    </row>
    <row r="11" spans="1:22" ht="12.75">
      <c r="A11" s="7" t="s">
        <v>104</v>
      </c>
      <c r="B11" s="8" t="s">
        <v>105</v>
      </c>
      <c r="C11" s="9" t="s">
        <v>379</v>
      </c>
      <c r="D11" s="259">
        <v>15000000</v>
      </c>
      <c r="E11" s="259">
        <v>0</v>
      </c>
      <c r="F11" s="259">
        <v>15000000</v>
      </c>
      <c r="G11" s="259">
        <v>-3717000</v>
      </c>
      <c r="H11" s="259">
        <f t="shared" si="0"/>
        <v>11283000</v>
      </c>
      <c r="I11" s="259">
        <v>-1710000</v>
      </c>
      <c r="J11" s="259">
        <f t="shared" si="1"/>
        <v>9573000</v>
      </c>
      <c r="K11" s="259">
        <f>-551833-7000000</f>
        <v>-7551833</v>
      </c>
      <c r="L11" s="259">
        <f t="shared" si="2"/>
        <v>2021167</v>
      </c>
      <c r="M11" s="9" t="s">
        <v>390</v>
      </c>
      <c r="N11" s="44">
        <v>49000000</v>
      </c>
      <c r="O11" s="44">
        <v>0</v>
      </c>
      <c r="P11" s="259">
        <f t="shared" si="3"/>
        <v>49000000</v>
      </c>
      <c r="Q11" s="44">
        <v>0</v>
      </c>
      <c r="R11" s="259">
        <f t="shared" si="4"/>
        <v>49000000</v>
      </c>
      <c r="S11" s="44">
        <v>0</v>
      </c>
      <c r="T11" s="259">
        <f t="shared" si="5"/>
        <v>49000000</v>
      </c>
      <c r="U11" s="44">
        <v>0</v>
      </c>
      <c r="V11" s="259">
        <f t="shared" si="6"/>
        <v>49000000</v>
      </c>
    </row>
    <row r="12" spans="1:22" ht="15" customHeight="1">
      <c r="A12" s="7" t="s">
        <v>107</v>
      </c>
      <c r="B12" s="8" t="s">
        <v>108</v>
      </c>
      <c r="C12" s="9" t="s">
        <v>375</v>
      </c>
      <c r="D12" s="259">
        <v>800000</v>
      </c>
      <c r="E12" s="259">
        <v>0</v>
      </c>
      <c r="F12" s="259">
        <v>800000</v>
      </c>
      <c r="G12" s="259">
        <v>0</v>
      </c>
      <c r="H12" s="259">
        <f t="shared" si="0"/>
        <v>800000</v>
      </c>
      <c r="I12" s="259">
        <v>0</v>
      </c>
      <c r="J12" s="259">
        <f t="shared" si="1"/>
        <v>800000</v>
      </c>
      <c r="K12" s="259">
        <v>0</v>
      </c>
      <c r="L12" s="259">
        <f t="shared" si="2"/>
        <v>800000</v>
      </c>
      <c r="M12" s="9" t="s">
        <v>391</v>
      </c>
      <c r="N12" s="44">
        <v>15381682</v>
      </c>
      <c r="O12" s="44">
        <v>0</v>
      </c>
      <c r="P12" s="259">
        <f t="shared" si="3"/>
        <v>15381682</v>
      </c>
      <c r="Q12" s="44">
        <v>0</v>
      </c>
      <c r="R12" s="259">
        <f t="shared" si="4"/>
        <v>15381682</v>
      </c>
      <c r="S12" s="44">
        <v>0</v>
      </c>
      <c r="T12" s="259">
        <f t="shared" si="5"/>
        <v>15381682</v>
      </c>
      <c r="U12" s="44">
        <v>0</v>
      </c>
      <c r="V12" s="259">
        <f t="shared" si="6"/>
        <v>15381682</v>
      </c>
    </row>
    <row r="13" spans="1:22" ht="12.75" customHeight="1">
      <c r="A13" s="7"/>
      <c r="B13" s="8"/>
      <c r="C13" s="9" t="s">
        <v>380</v>
      </c>
      <c r="D13" s="259">
        <v>200000</v>
      </c>
      <c r="E13" s="259">
        <v>0</v>
      </c>
      <c r="F13" s="259">
        <v>200000</v>
      </c>
      <c r="G13" s="259">
        <v>0</v>
      </c>
      <c r="H13" s="259">
        <f t="shared" si="0"/>
        <v>200000</v>
      </c>
      <c r="I13" s="259">
        <v>300000</v>
      </c>
      <c r="J13" s="259">
        <f t="shared" si="1"/>
        <v>500000</v>
      </c>
      <c r="K13" s="259">
        <v>0</v>
      </c>
      <c r="L13" s="259">
        <f t="shared" si="2"/>
        <v>500000</v>
      </c>
      <c r="M13" s="9" t="s">
        <v>392</v>
      </c>
      <c r="N13" s="44">
        <v>11287503</v>
      </c>
      <c r="O13" s="44">
        <v>0</v>
      </c>
      <c r="P13" s="259">
        <f t="shared" si="3"/>
        <v>11287503</v>
      </c>
      <c r="Q13" s="44">
        <v>0</v>
      </c>
      <c r="R13" s="259">
        <f t="shared" si="4"/>
        <v>11287503</v>
      </c>
      <c r="S13" s="44">
        <v>0</v>
      </c>
      <c r="T13" s="259">
        <f t="shared" si="5"/>
        <v>11287503</v>
      </c>
      <c r="U13" s="44">
        <v>0</v>
      </c>
      <c r="V13" s="259">
        <f t="shared" si="6"/>
        <v>11287503</v>
      </c>
    </row>
    <row r="14" spans="1:22" ht="15" customHeight="1">
      <c r="A14" s="7" t="s">
        <v>102</v>
      </c>
      <c r="B14" s="8" t="s">
        <v>106</v>
      </c>
      <c r="C14" s="9" t="s">
        <v>486</v>
      </c>
      <c r="D14" s="259">
        <v>15000000</v>
      </c>
      <c r="E14" s="259">
        <v>0</v>
      </c>
      <c r="F14" s="259">
        <v>15000000</v>
      </c>
      <c r="G14" s="259">
        <v>0</v>
      </c>
      <c r="H14" s="259">
        <f t="shared" si="0"/>
        <v>15000000</v>
      </c>
      <c r="I14" s="259">
        <v>0</v>
      </c>
      <c r="J14" s="259">
        <f t="shared" si="1"/>
        <v>15000000</v>
      </c>
      <c r="K14" s="259">
        <f>5400000-9211049-4500000</f>
        <v>-8311049</v>
      </c>
      <c r="L14" s="259">
        <f t="shared" si="2"/>
        <v>6688951</v>
      </c>
      <c r="M14" s="9" t="s">
        <v>393</v>
      </c>
      <c r="N14" s="44">
        <v>10516770</v>
      </c>
      <c r="O14" s="44">
        <v>0</v>
      </c>
      <c r="P14" s="259">
        <f t="shared" si="3"/>
        <v>10516770</v>
      </c>
      <c r="Q14" s="44">
        <v>0</v>
      </c>
      <c r="R14" s="259">
        <f t="shared" si="4"/>
        <v>10516770</v>
      </c>
      <c r="S14" s="44">
        <v>0</v>
      </c>
      <c r="T14" s="259">
        <f t="shared" si="5"/>
        <v>10516770</v>
      </c>
      <c r="U14" s="44">
        <v>0</v>
      </c>
      <c r="V14" s="259">
        <f t="shared" si="6"/>
        <v>10516770</v>
      </c>
    </row>
    <row r="15" spans="1:22" ht="12.75">
      <c r="A15" s="7" t="s">
        <v>107</v>
      </c>
      <c r="B15" s="8" t="s">
        <v>108</v>
      </c>
      <c r="C15" s="9" t="s">
        <v>485</v>
      </c>
      <c r="D15" s="259">
        <v>20000000</v>
      </c>
      <c r="E15" s="259">
        <v>0</v>
      </c>
      <c r="F15" s="259">
        <v>20000000</v>
      </c>
      <c r="G15" s="259">
        <v>0</v>
      </c>
      <c r="H15" s="259">
        <f t="shared" si="0"/>
        <v>20000000</v>
      </c>
      <c r="I15" s="259">
        <v>-19200000</v>
      </c>
      <c r="J15" s="259">
        <f t="shared" si="1"/>
        <v>800000</v>
      </c>
      <c r="K15" s="259">
        <v>0</v>
      </c>
      <c r="L15" s="259">
        <f t="shared" si="2"/>
        <v>800000</v>
      </c>
      <c r="M15" s="9" t="s">
        <v>421</v>
      </c>
      <c r="N15" s="44">
        <v>0</v>
      </c>
      <c r="O15" s="41">
        <v>3706875</v>
      </c>
      <c r="P15" s="259">
        <f t="shared" si="3"/>
        <v>3706875</v>
      </c>
      <c r="Q15" s="41">
        <v>0</v>
      </c>
      <c r="R15" s="259">
        <f t="shared" si="4"/>
        <v>0</v>
      </c>
      <c r="S15" s="41">
        <v>0</v>
      </c>
      <c r="T15" s="259">
        <f t="shared" si="5"/>
        <v>3706875</v>
      </c>
      <c r="U15" s="41">
        <v>0</v>
      </c>
      <c r="V15" s="259">
        <f t="shared" si="6"/>
        <v>3706875</v>
      </c>
    </row>
    <row r="16" spans="1:23" ht="12.75">
      <c r="A16" s="7" t="s">
        <v>110</v>
      </c>
      <c r="B16" s="8" t="s">
        <v>111</v>
      </c>
      <c r="C16" s="9" t="s">
        <v>329</v>
      </c>
      <c r="D16" s="259">
        <v>3810000</v>
      </c>
      <c r="E16" s="259">
        <v>0</v>
      </c>
      <c r="F16" s="259">
        <v>3810000</v>
      </c>
      <c r="G16" s="259">
        <v>0</v>
      </c>
      <c r="H16" s="259">
        <f t="shared" si="0"/>
        <v>3810000</v>
      </c>
      <c r="I16" s="259">
        <v>0</v>
      </c>
      <c r="J16" s="259">
        <f t="shared" si="1"/>
        <v>3810000</v>
      </c>
      <c r="K16" s="259">
        <v>0</v>
      </c>
      <c r="L16" s="259">
        <f t="shared" si="2"/>
        <v>3810000</v>
      </c>
      <c r="M16" s="9"/>
      <c r="N16" s="41"/>
      <c r="O16" s="41"/>
      <c r="P16" s="259"/>
      <c r="Q16" s="41"/>
      <c r="R16" s="259"/>
      <c r="S16" s="41"/>
      <c r="T16" s="259"/>
      <c r="U16" s="41"/>
      <c r="V16" s="259"/>
      <c r="W16" s="258"/>
    </row>
    <row r="17" spans="1:25" ht="12.75">
      <c r="A17" s="7" t="s">
        <v>112</v>
      </c>
      <c r="B17" s="8" t="s">
        <v>113</v>
      </c>
      <c r="C17" s="9" t="s">
        <v>381</v>
      </c>
      <c r="D17" s="259">
        <v>500000</v>
      </c>
      <c r="E17" s="259">
        <v>0</v>
      </c>
      <c r="F17" s="259">
        <v>500000</v>
      </c>
      <c r="G17" s="259">
        <v>0</v>
      </c>
      <c r="H17" s="259">
        <f t="shared" si="0"/>
        <v>500000</v>
      </c>
      <c r="I17" s="259">
        <v>0</v>
      </c>
      <c r="J17" s="259">
        <f t="shared" si="1"/>
        <v>500000</v>
      </c>
      <c r="K17" s="259">
        <v>0</v>
      </c>
      <c r="L17" s="259">
        <f t="shared" si="2"/>
        <v>500000</v>
      </c>
      <c r="M17" s="10"/>
      <c r="N17" s="41"/>
      <c r="O17" s="41"/>
      <c r="P17" s="41"/>
      <c r="Q17" s="41"/>
      <c r="R17" s="41"/>
      <c r="S17" s="41"/>
      <c r="T17" s="41"/>
      <c r="U17" s="41"/>
      <c r="V17" s="41"/>
      <c r="Y17" s="258"/>
    </row>
    <row r="18" spans="1:25" ht="15" customHeight="1">
      <c r="A18" s="7" t="s">
        <v>102</v>
      </c>
      <c r="B18" s="8" t="s">
        <v>109</v>
      </c>
      <c r="C18" s="9" t="s">
        <v>376</v>
      </c>
      <c r="D18" s="259">
        <v>200000</v>
      </c>
      <c r="E18" s="259">
        <v>0</v>
      </c>
      <c r="F18" s="259">
        <v>200000</v>
      </c>
      <c r="G18" s="259">
        <v>0</v>
      </c>
      <c r="H18" s="259">
        <f t="shared" si="0"/>
        <v>200000</v>
      </c>
      <c r="I18" s="259">
        <v>0</v>
      </c>
      <c r="J18" s="259">
        <f t="shared" si="1"/>
        <v>200000</v>
      </c>
      <c r="K18" s="259">
        <v>0</v>
      </c>
      <c r="L18" s="259">
        <f t="shared" si="2"/>
        <v>200000</v>
      </c>
      <c r="M18" s="11"/>
      <c r="N18" s="41"/>
      <c r="O18" s="44"/>
      <c r="P18" s="44"/>
      <c r="Q18" s="44"/>
      <c r="R18" s="44"/>
      <c r="S18" s="44"/>
      <c r="T18" s="44"/>
      <c r="U18" s="44"/>
      <c r="V18" s="44"/>
      <c r="Y18" s="258"/>
    </row>
    <row r="19" spans="1:22" ht="15" customHeight="1">
      <c r="A19" s="217"/>
      <c r="B19" s="218"/>
      <c r="C19" s="9" t="s">
        <v>411</v>
      </c>
      <c r="D19" s="259">
        <v>3400000</v>
      </c>
      <c r="E19" s="259">
        <v>0</v>
      </c>
      <c r="F19" s="259">
        <v>3400000</v>
      </c>
      <c r="G19" s="259">
        <v>0</v>
      </c>
      <c r="H19" s="259">
        <f t="shared" si="0"/>
        <v>3400000</v>
      </c>
      <c r="I19" s="259">
        <v>0</v>
      </c>
      <c r="J19" s="259">
        <f t="shared" si="1"/>
        <v>3400000</v>
      </c>
      <c r="K19" s="259">
        <v>0</v>
      </c>
      <c r="L19" s="259">
        <f t="shared" si="2"/>
        <v>3400000</v>
      </c>
      <c r="M19" s="11"/>
      <c r="N19" s="42"/>
      <c r="O19" s="219"/>
      <c r="P19" s="219"/>
      <c r="Q19" s="219"/>
      <c r="R19" s="219"/>
      <c r="S19" s="219"/>
      <c r="T19" s="219"/>
      <c r="U19" s="219"/>
      <c r="V19" s="219"/>
    </row>
    <row r="20" spans="1:22" ht="15" customHeight="1">
      <c r="A20" s="217"/>
      <c r="B20" s="218"/>
      <c r="C20" s="9" t="s">
        <v>382</v>
      </c>
      <c r="D20" s="259">
        <v>17344097</v>
      </c>
      <c r="E20" s="259">
        <v>0</v>
      </c>
      <c r="F20" s="259">
        <v>17344097</v>
      </c>
      <c r="G20" s="259">
        <v>0</v>
      </c>
      <c r="H20" s="259">
        <f t="shared" si="0"/>
        <v>17344097</v>
      </c>
      <c r="I20" s="259">
        <v>0</v>
      </c>
      <c r="J20" s="259">
        <f t="shared" si="1"/>
        <v>17344097</v>
      </c>
      <c r="K20" s="259">
        <v>0</v>
      </c>
      <c r="L20" s="259">
        <f t="shared" si="2"/>
        <v>17344097</v>
      </c>
      <c r="M20" s="11"/>
      <c r="N20" s="42"/>
      <c r="O20" s="219"/>
      <c r="P20" s="219"/>
      <c r="Q20" s="219"/>
      <c r="R20" s="219"/>
      <c r="S20" s="219"/>
      <c r="T20" s="219"/>
      <c r="U20" s="219"/>
      <c r="V20" s="219"/>
    </row>
    <row r="21" spans="1:22" ht="15" customHeight="1">
      <c r="A21" s="217"/>
      <c r="B21" s="218"/>
      <c r="C21" s="9" t="s">
        <v>383</v>
      </c>
      <c r="D21" s="259">
        <v>11287503</v>
      </c>
      <c r="E21" s="259">
        <v>0</v>
      </c>
      <c r="F21" s="259">
        <v>11287503</v>
      </c>
      <c r="G21" s="259">
        <v>0</v>
      </c>
      <c r="H21" s="259">
        <f t="shared" si="0"/>
        <v>11287503</v>
      </c>
      <c r="I21" s="259">
        <v>0</v>
      </c>
      <c r="J21" s="259">
        <f t="shared" si="1"/>
        <v>11287503</v>
      </c>
      <c r="K21" s="259">
        <v>0</v>
      </c>
      <c r="L21" s="259">
        <f t="shared" si="2"/>
        <v>11287503</v>
      </c>
      <c r="M21" s="11"/>
      <c r="N21" s="42"/>
      <c r="O21" s="219"/>
      <c r="P21" s="219"/>
      <c r="Q21" s="219"/>
      <c r="R21" s="219"/>
      <c r="S21" s="219"/>
      <c r="T21" s="219"/>
      <c r="U21" s="219"/>
      <c r="V21" s="219"/>
    </row>
    <row r="22" spans="1:22" ht="15" customHeight="1">
      <c r="A22" s="217"/>
      <c r="B22" s="218"/>
      <c r="C22" s="9" t="s">
        <v>384</v>
      </c>
      <c r="D22" s="259">
        <v>10516770</v>
      </c>
      <c r="E22" s="259">
        <v>0</v>
      </c>
      <c r="F22" s="259">
        <v>10516770</v>
      </c>
      <c r="G22" s="259">
        <v>0</v>
      </c>
      <c r="H22" s="259">
        <f t="shared" si="0"/>
        <v>10516770</v>
      </c>
      <c r="I22" s="259">
        <v>0</v>
      </c>
      <c r="J22" s="259">
        <f t="shared" si="1"/>
        <v>10516770</v>
      </c>
      <c r="K22" s="259">
        <v>-778620</v>
      </c>
      <c r="L22" s="259">
        <f t="shared" si="2"/>
        <v>9738150</v>
      </c>
      <c r="M22" s="11"/>
      <c r="N22" s="42"/>
      <c r="O22" s="219"/>
      <c r="P22" s="219"/>
      <c r="Q22" s="219"/>
      <c r="R22" s="219"/>
      <c r="S22" s="219"/>
      <c r="T22" s="219"/>
      <c r="U22" s="219"/>
      <c r="V22" s="219"/>
    </row>
    <row r="23" spans="1:22" ht="15" customHeight="1">
      <c r="A23" s="217"/>
      <c r="B23" s="218"/>
      <c r="C23" s="9" t="s">
        <v>560</v>
      </c>
      <c r="D23" s="259">
        <v>0</v>
      </c>
      <c r="E23" s="259"/>
      <c r="F23" s="259"/>
      <c r="G23" s="259"/>
      <c r="H23" s="259"/>
      <c r="I23" s="259"/>
      <c r="J23" s="259">
        <v>0</v>
      </c>
      <c r="K23" s="259">
        <v>209680</v>
      </c>
      <c r="L23" s="259">
        <f t="shared" si="2"/>
        <v>209680</v>
      </c>
      <c r="M23" s="11"/>
      <c r="N23" s="42"/>
      <c r="O23" s="219"/>
      <c r="P23" s="219"/>
      <c r="Q23" s="219"/>
      <c r="R23" s="219"/>
      <c r="S23" s="219"/>
      <c r="T23" s="219"/>
      <c r="U23" s="219"/>
      <c r="V23" s="219"/>
    </row>
    <row r="24" spans="1:22" ht="15" customHeight="1">
      <c r="A24" s="217"/>
      <c r="B24" s="218"/>
      <c r="C24" s="9" t="s">
        <v>385</v>
      </c>
      <c r="D24" s="259">
        <v>9965020</v>
      </c>
      <c r="E24" s="259">
        <v>0</v>
      </c>
      <c r="F24" s="259">
        <v>9965020</v>
      </c>
      <c r="G24" s="259">
        <v>0</v>
      </c>
      <c r="H24" s="259">
        <f t="shared" si="0"/>
        <v>9965020</v>
      </c>
      <c r="I24" s="259">
        <v>0</v>
      </c>
      <c r="J24" s="259">
        <f t="shared" si="1"/>
        <v>9965020</v>
      </c>
      <c r="K24" s="259">
        <v>0</v>
      </c>
      <c r="L24" s="259">
        <f t="shared" si="2"/>
        <v>9965020</v>
      </c>
      <c r="M24" s="11"/>
      <c r="N24" s="42"/>
      <c r="O24" s="219"/>
      <c r="P24" s="219"/>
      <c r="Q24" s="219"/>
      <c r="R24" s="219"/>
      <c r="S24" s="219"/>
      <c r="T24" s="219"/>
      <c r="U24" s="219"/>
      <c r="V24" s="219"/>
    </row>
    <row r="25" spans="1:22" ht="15" customHeight="1">
      <c r="A25" s="217"/>
      <c r="B25" s="218"/>
      <c r="C25" s="9" t="s">
        <v>386</v>
      </c>
      <c r="D25" s="259">
        <v>21110301</v>
      </c>
      <c r="E25" s="259">
        <v>0</v>
      </c>
      <c r="F25" s="259">
        <v>21110301</v>
      </c>
      <c r="G25" s="259">
        <v>0</v>
      </c>
      <c r="H25" s="259">
        <f t="shared" si="0"/>
        <v>21110301</v>
      </c>
      <c r="I25" s="259">
        <v>-21110301</v>
      </c>
      <c r="J25" s="259">
        <f t="shared" si="1"/>
        <v>0</v>
      </c>
      <c r="K25" s="259">
        <v>0</v>
      </c>
      <c r="L25" s="259">
        <f t="shared" si="2"/>
        <v>0</v>
      </c>
      <c r="M25" s="11"/>
      <c r="N25" s="42"/>
      <c r="O25" s="219"/>
      <c r="P25" s="219"/>
      <c r="Q25" s="219"/>
      <c r="R25" s="219"/>
      <c r="S25" s="219"/>
      <c r="T25" s="219"/>
      <c r="U25" s="219"/>
      <c r="V25" s="219"/>
    </row>
    <row r="26" spans="1:22" ht="15" customHeight="1">
      <c r="A26" s="217"/>
      <c r="B26" s="218"/>
      <c r="C26" s="9" t="s">
        <v>410</v>
      </c>
      <c r="D26" s="259">
        <v>5000000</v>
      </c>
      <c r="E26" s="259">
        <v>-500000</v>
      </c>
      <c r="F26" s="259">
        <v>4500000</v>
      </c>
      <c r="G26" s="259">
        <v>0</v>
      </c>
      <c r="H26" s="259">
        <f t="shared" si="0"/>
        <v>4500000</v>
      </c>
      <c r="I26" s="259">
        <v>0</v>
      </c>
      <c r="J26" s="259">
        <f t="shared" si="1"/>
        <v>4500000</v>
      </c>
      <c r="K26" s="259">
        <v>0</v>
      </c>
      <c r="L26" s="259">
        <f t="shared" si="2"/>
        <v>4500000</v>
      </c>
      <c r="M26" s="11"/>
      <c r="N26" s="42"/>
      <c r="O26" s="219"/>
      <c r="P26" s="219"/>
      <c r="Q26" s="219"/>
      <c r="R26" s="219"/>
      <c r="S26" s="219"/>
      <c r="T26" s="219"/>
      <c r="U26" s="219"/>
      <c r="V26" s="219"/>
    </row>
    <row r="27" spans="1:22" ht="21.75" customHeight="1">
      <c r="A27" s="217"/>
      <c r="B27" s="218"/>
      <c r="C27" s="9" t="s">
        <v>377</v>
      </c>
      <c r="D27" s="259">
        <v>550000</v>
      </c>
      <c r="E27" s="259">
        <v>0</v>
      </c>
      <c r="F27" s="259">
        <v>550000</v>
      </c>
      <c r="G27" s="259">
        <v>0</v>
      </c>
      <c r="H27" s="259">
        <f t="shared" si="0"/>
        <v>550000</v>
      </c>
      <c r="I27" s="259">
        <v>260000</v>
      </c>
      <c r="J27" s="259">
        <f t="shared" si="1"/>
        <v>810000</v>
      </c>
      <c r="K27" s="259">
        <v>0</v>
      </c>
      <c r="L27" s="259">
        <f t="shared" si="2"/>
        <v>810000</v>
      </c>
      <c r="M27" s="11"/>
      <c r="N27" s="42"/>
      <c r="O27" s="219"/>
      <c r="P27" s="219"/>
      <c r="Q27" s="219"/>
      <c r="R27" s="219"/>
      <c r="S27" s="219"/>
      <c r="T27" s="219"/>
      <c r="U27" s="219"/>
      <c r="V27" s="219"/>
    </row>
    <row r="28" spans="1:22" ht="27" customHeight="1">
      <c r="A28" s="217"/>
      <c r="B28" s="218"/>
      <c r="C28" s="9" t="s">
        <v>420</v>
      </c>
      <c r="D28" s="259">
        <v>0</v>
      </c>
      <c r="E28" s="259">
        <v>4206875</v>
      </c>
      <c r="F28" s="259">
        <f>E28</f>
        <v>4206875</v>
      </c>
      <c r="G28" s="259">
        <v>0</v>
      </c>
      <c r="H28" s="259">
        <f t="shared" si="0"/>
        <v>4206875</v>
      </c>
      <c r="I28" s="259">
        <v>0</v>
      </c>
      <c r="J28" s="259">
        <f t="shared" si="1"/>
        <v>4206875</v>
      </c>
      <c r="K28" s="259">
        <v>0</v>
      </c>
      <c r="L28" s="259">
        <f t="shared" si="2"/>
        <v>4206875</v>
      </c>
      <c r="M28" s="11"/>
      <c r="N28" s="42"/>
      <c r="O28" s="219"/>
      <c r="P28" s="219"/>
      <c r="Q28" s="219"/>
      <c r="R28" s="219"/>
      <c r="S28" s="219"/>
      <c r="T28" s="219"/>
      <c r="U28" s="219"/>
      <c r="V28" s="219"/>
    </row>
    <row r="29" spans="1:22" ht="27" customHeight="1">
      <c r="A29" s="217"/>
      <c r="B29" s="218"/>
      <c r="C29" s="9" t="s">
        <v>484</v>
      </c>
      <c r="D29" s="259">
        <v>0</v>
      </c>
      <c r="E29" s="259"/>
      <c r="F29" s="259"/>
      <c r="G29" s="259"/>
      <c r="H29" s="259">
        <v>0</v>
      </c>
      <c r="I29" s="259">
        <v>37910301</v>
      </c>
      <c r="J29" s="259">
        <f t="shared" si="1"/>
        <v>37910301</v>
      </c>
      <c r="K29" s="259">
        <v>0</v>
      </c>
      <c r="L29" s="259">
        <f t="shared" si="2"/>
        <v>37910301</v>
      </c>
      <c r="M29" s="11"/>
      <c r="N29" s="42"/>
      <c r="O29" s="219"/>
      <c r="P29" s="219"/>
      <c r="Q29" s="219"/>
      <c r="R29" s="219"/>
      <c r="S29" s="219"/>
      <c r="T29" s="219"/>
      <c r="U29" s="219"/>
      <c r="V29" s="219"/>
    </row>
    <row r="30" spans="1:22" ht="16.5" customHeight="1">
      <c r="A30" s="217"/>
      <c r="B30" s="218"/>
      <c r="C30" s="9" t="s">
        <v>502</v>
      </c>
      <c r="D30" s="260">
        <v>0</v>
      </c>
      <c r="E30" s="260"/>
      <c r="F30" s="260"/>
      <c r="G30" s="260"/>
      <c r="H30" s="260">
        <v>0</v>
      </c>
      <c r="I30" s="260">
        <v>350000</v>
      </c>
      <c r="J30" s="260">
        <f t="shared" si="1"/>
        <v>350000</v>
      </c>
      <c r="K30" s="260">
        <v>0</v>
      </c>
      <c r="L30" s="259">
        <f t="shared" si="2"/>
        <v>350000</v>
      </c>
      <c r="M30" s="11"/>
      <c r="N30" s="42"/>
      <c r="O30" s="219"/>
      <c r="P30" s="219"/>
      <c r="Q30" s="219"/>
      <c r="R30" s="219"/>
      <c r="S30" s="219"/>
      <c r="T30" s="219"/>
      <c r="U30" s="219"/>
      <c r="V30" s="219"/>
    </row>
    <row r="31" spans="1:22" ht="15" customHeight="1">
      <c r="A31" s="217"/>
      <c r="B31" s="218"/>
      <c r="C31" s="9" t="s">
        <v>537</v>
      </c>
      <c r="D31" s="219"/>
      <c r="E31" s="219"/>
      <c r="F31" s="219"/>
      <c r="G31" s="219"/>
      <c r="H31" s="219"/>
      <c r="I31" s="219"/>
      <c r="J31" s="219">
        <v>0</v>
      </c>
      <c r="K31" s="219">
        <v>411050</v>
      </c>
      <c r="L31" s="259">
        <f t="shared" si="2"/>
        <v>411050</v>
      </c>
      <c r="M31" s="11"/>
      <c r="N31" s="42"/>
      <c r="O31" s="219"/>
      <c r="P31" s="219"/>
      <c r="Q31" s="219"/>
      <c r="R31" s="219"/>
      <c r="S31" s="219"/>
      <c r="T31" s="219"/>
      <c r="U31" s="219"/>
      <c r="V31" s="219"/>
    </row>
    <row r="32" spans="1:22" ht="15" customHeight="1">
      <c r="A32" s="217"/>
      <c r="B32" s="218"/>
      <c r="C32" s="484" t="s">
        <v>538</v>
      </c>
      <c r="D32" s="219">
        <v>0</v>
      </c>
      <c r="E32" s="219"/>
      <c r="F32" s="219"/>
      <c r="G32" s="219"/>
      <c r="H32" s="219"/>
      <c r="I32" s="219"/>
      <c r="J32" s="219">
        <v>0</v>
      </c>
      <c r="K32" s="219">
        <f>6000000</f>
        <v>6000000</v>
      </c>
      <c r="L32" s="259">
        <f t="shared" si="2"/>
        <v>6000000</v>
      </c>
      <c r="M32" s="11"/>
      <c r="N32" s="42"/>
      <c r="O32" s="219"/>
      <c r="P32" s="219"/>
      <c r="Q32" s="219"/>
      <c r="R32" s="219"/>
      <c r="S32" s="219"/>
      <c r="T32" s="219"/>
      <c r="U32" s="219"/>
      <c r="V32" s="219"/>
    </row>
    <row r="33" spans="1:22" ht="13.5" thickBot="1">
      <c r="A33" s="12"/>
      <c r="B33" s="13"/>
      <c r="C33" s="15"/>
      <c r="D33" s="43">
        <f>SUM(D9:D32)</f>
        <v>191683691</v>
      </c>
      <c r="E33" s="43">
        <f aca="true" t="shared" si="7" ref="E33:L33">SUM(E9:E32)</f>
        <v>3706875</v>
      </c>
      <c r="F33" s="43">
        <f t="shared" si="7"/>
        <v>195390566</v>
      </c>
      <c r="G33" s="43">
        <f t="shared" si="7"/>
        <v>-3717000</v>
      </c>
      <c r="H33" s="43">
        <f t="shared" si="7"/>
        <v>191673566</v>
      </c>
      <c r="I33" s="43">
        <f t="shared" si="7"/>
        <v>-3200000</v>
      </c>
      <c r="J33" s="43">
        <f t="shared" si="7"/>
        <v>188473566</v>
      </c>
      <c r="K33" s="43">
        <f t="shared" si="7"/>
        <v>-10020772</v>
      </c>
      <c r="L33" s="43">
        <f t="shared" si="7"/>
        <v>178452794</v>
      </c>
      <c r="M33" s="16"/>
      <c r="N33" s="43">
        <f>SUM(N9:N18)</f>
        <v>178067301</v>
      </c>
      <c r="O33" s="43">
        <f aca="true" t="shared" si="8" ref="O33:V33">SUM(O9:O27)</f>
        <v>3706875</v>
      </c>
      <c r="P33" s="43">
        <f t="shared" si="8"/>
        <v>181774176</v>
      </c>
      <c r="Q33" s="43">
        <f t="shared" si="8"/>
        <v>0</v>
      </c>
      <c r="R33" s="43">
        <f t="shared" si="8"/>
        <v>178067301</v>
      </c>
      <c r="S33" s="43">
        <f t="shared" si="8"/>
        <v>0</v>
      </c>
      <c r="T33" s="43">
        <f t="shared" si="8"/>
        <v>181774176</v>
      </c>
      <c r="U33" s="43">
        <f t="shared" si="8"/>
        <v>0</v>
      </c>
      <c r="V33" s="43">
        <f t="shared" si="8"/>
        <v>181774176</v>
      </c>
    </row>
    <row r="34" spans="1:2" ht="12.75">
      <c r="A34" s="12"/>
      <c r="B34" s="13"/>
    </row>
    <row r="35" spans="1:2" ht="12.75">
      <c r="A35" s="12"/>
      <c r="B35" s="13"/>
    </row>
    <row r="36" spans="1:2" ht="13.5" thickBot="1">
      <c r="A36" s="14" t="s">
        <v>114</v>
      </c>
      <c r="B36" s="15"/>
    </row>
  </sheetData>
  <sheetProtection/>
  <mergeCells count="5">
    <mergeCell ref="C5:D5"/>
    <mergeCell ref="C6:D6"/>
    <mergeCell ref="C1:V1"/>
    <mergeCell ref="C2:V2"/>
    <mergeCell ref="C3:V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8"/>
  <headerFooter alignWithMargins="0">
    <oddHeader>&amp;C&amp;"Times New Roman CE,Félkövér"&amp;12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31"/>
  <sheetViews>
    <sheetView zoomScale="110" zoomScaleNormal="110" zoomScaleSheetLayoutView="100" zoomScalePageLayoutView="0" workbookViewId="0" topLeftCell="A1">
      <selection activeCell="A3" sqref="A3:B3"/>
    </sheetView>
  </sheetViews>
  <sheetFormatPr defaultColWidth="8.00390625" defaultRowHeight="12.75"/>
  <cols>
    <col min="1" max="1" width="5.8515625" style="65" customWidth="1"/>
    <col min="2" max="2" width="47.28125" style="68" customWidth="1"/>
    <col min="3" max="3" width="14.00390625" style="65" customWidth="1"/>
    <col min="4" max="6" width="13.28125" style="65" hidden="1" customWidth="1"/>
    <col min="7" max="9" width="13.28125" style="65" customWidth="1"/>
    <col min="10" max="10" width="47.28125" style="65" customWidth="1"/>
    <col min="11" max="11" width="14.00390625" style="65" customWidth="1"/>
    <col min="12" max="12" width="12.7109375" style="65" hidden="1" customWidth="1"/>
    <col min="13" max="13" width="13.7109375" style="65" hidden="1" customWidth="1"/>
    <col min="14" max="14" width="12.7109375" style="65" hidden="1" customWidth="1"/>
    <col min="15" max="15" width="13.7109375" style="65" customWidth="1"/>
    <col min="16" max="16" width="12.7109375" style="65" customWidth="1"/>
    <col min="17" max="17" width="13.7109375" style="65" customWidth="1"/>
    <col min="18" max="18" width="4.140625" style="65" customWidth="1"/>
    <col min="19" max="16384" width="8.00390625" style="65" customWidth="1"/>
  </cols>
  <sheetData>
    <row r="1" spans="2:18" ht="39.75" customHeight="1">
      <c r="B1" s="66" t="s">
        <v>433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547"/>
    </row>
    <row r="2" spans="1:18" ht="19.5" customHeight="1">
      <c r="A2" s="541" t="s">
        <v>576</v>
      </c>
      <c r="B2" s="541"/>
      <c r="C2" s="67"/>
      <c r="D2" s="67"/>
      <c r="E2" s="67"/>
      <c r="F2" s="67"/>
      <c r="G2" s="67"/>
      <c r="H2" s="67"/>
      <c r="I2" s="67"/>
      <c r="J2" s="67"/>
      <c r="K2" s="208"/>
      <c r="L2" s="67"/>
      <c r="M2" s="67"/>
      <c r="N2" s="67"/>
      <c r="O2" s="67"/>
      <c r="P2" s="67"/>
      <c r="Q2" s="67"/>
      <c r="R2" s="547"/>
    </row>
    <row r="3" spans="1:18" ht="15.75" thickBot="1">
      <c r="A3" s="540" t="s">
        <v>469</v>
      </c>
      <c r="B3" s="540"/>
      <c r="K3" s="209"/>
      <c r="M3" s="209" t="s">
        <v>320</v>
      </c>
      <c r="O3" s="209"/>
      <c r="Q3" s="209" t="s">
        <v>320</v>
      </c>
      <c r="R3" s="547"/>
    </row>
    <row r="4" spans="1:18" ht="18" customHeight="1" thickBot="1">
      <c r="A4" s="548" t="s">
        <v>193</v>
      </c>
      <c r="B4" s="69" t="s">
        <v>98</v>
      </c>
      <c r="C4" s="70"/>
      <c r="D4" s="70"/>
      <c r="E4" s="345"/>
      <c r="F4" s="70"/>
      <c r="G4" s="345"/>
      <c r="H4" s="70"/>
      <c r="I4" s="345"/>
      <c r="J4" s="69" t="s">
        <v>99</v>
      </c>
      <c r="K4" s="71"/>
      <c r="L4" s="70"/>
      <c r="M4" s="345"/>
      <c r="N4" s="70"/>
      <c r="O4" s="345"/>
      <c r="P4" s="70"/>
      <c r="Q4" s="345"/>
      <c r="R4" s="547"/>
    </row>
    <row r="5" spans="1:18" s="74" customFormat="1" ht="35.25" customHeight="1" thickBot="1">
      <c r="A5" s="549"/>
      <c r="B5" s="313" t="s">
        <v>194</v>
      </c>
      <c r="C5" s="313" t="s">
        <v>362</v>
      </c>
      <c r="D5" s="313" t="s">
        <v>423</v>
      </c>
      <c r="E5" s="72" t="s">
        <v>424</v>
      </c>
      <c r="F5" s="348" t="s">
        <v>483</v>
      </c>
      <c r="G5" s="313" t="s">
        <v>478</v>
      </c>
      <c r="H5" s="348" t="s">
        <v>531</v>
      </c>
      <c r="I5" s="313" t="s">
        <v>529</v>
      </c>
      <c r="J5" s="313" t="s">
        <v>194</v>
      </c>
      <c r="K5" s="348" t="str">
        <f>+C5</f>
        <v>2018. évi előirányzat</v>
      </c>
      <c r="L5" s="73" t="s">
        <v>423</v>
      </c>
      <c r="M5" s="348" t="s">
        <v>424</v>
      </c>
      <c r="N5" s="73" t="s">
        <v>483</v>
      </c>
      <c r="O5" s="348" t="s">
        <v>478</v>
      </c>
      <c r="P5" s="348" t="s">
        <v>531</v>
      </c>
      <c r="Q5" s="313" t="s">
        <v>529</v>
      </c>
      <c r="R5" s="547"/>
    </row>
    <row r="6" spans="1:18" s="335" customFormat="1" ht="12" customHeight="1" thickBot="1">
      <c r="A6" s="75" t="s">
        <v>93</v>
      </c>
      <c r="B6" s="351" t="s">
        <v>94</v>
      </c>
      <c r="C6" s="352" t="s">
        <v>95</v>
      </c>
      <c r="D6" s="352" t="s">
        <v>96</v>
      </c>
      <c r="E6" s="352" t="s">
        <v>96</v>
      </c>
      <c r="F6" s="357" t="s">
        <v>97</v>
      </c>
      <c r="G6" s="353" t="s">
        <v>96</v>
      </c>
      <c r="H6" s="357" t="s">
        <v>97</v>
      </c>
      <c r="I6" s="353" t="s">
        <v>305</v>
      </c>
      <c r="J6" s="76" t="s">
        <v>309</v>
      </c>
      <c r="K6" s="334" t="s">
        <v>419</v>
      </c>
      <c r="L6" s="77" t="s">
        <v>470</v>
      </c>
      <c r="M6" s="349" t="s">
        <v>470</v>
      </c>
      <c r="N6" s="77" t="s">
        <v>474</v>
      </c>
      <c r="O6" s="349" t="s">
        <v>470</v>
      </c>
      <c r="P6" s="77" t="s">
        <v>474</v>
      </c>
      <c r="Q6" s="349" t="s">
        <v>475</v>
      </c>
      <c r="R6" s="547"/>
    </row>
    <row r="7" spans="1:18" ht="12.75" customHeight="1">
      <c r="A7" s="78" t="s">
        <v>115</v>
      </c>
      <c r="B7" s="79" t="s">
        <v>434</v>
      </c>
      <c r="C7" s="80">
        <v>123425683</v>
      </c>
      <c r="D7" s="80"/>
      <c r="E7" s="80">
        <f aca="true" t="shared" si="0" ref="E7:E12">C7</f>
        <v>123425683</v>
      </c>
      <c r="F7" s="358"/>
      <c r="G7" s="336">
        <f aca="true" t="shared" si="1" ref="G7:G12">E7</f>
        <v>123425683</v>
      </c>
      <c r="H7" s="358">
        <v>2494167</v>
      </c>
      <c r="I7" s="336">
        <f>G7+H7</f>
        <v>125919850</v>
      </c>
      <c r="J7" s="79" t="s">
        <v>51</v>
      </c>
      <c r="K7" s="80">
        <v>47206036</v>
      </c>
      <c r="L7" s="80">
        <v>47206036</v>
      </c>
      <c r="M7" s="80">
        <f>K7+L7</f>
        <v>94412072</v>
      </c>
      <c r="N7" s="80">
        <v>810990</v>
      </c>
      <c r="O7" s="80">
        <f>L7+N7</f>
        <v>48017026</v>
      </c>
      <c r="P7" s="80">
        <v>0</v>
      </c>
      <c r="Q7" s="80">
        <f>O7+P7</f>
        <v>48017026</v>
      </c>
      <c r="R7" s="547"/>
    </row>
    <row r="8" spans="1:18" ht="12.75" customHeight="1">
      <c r="A8" s="81" t="s">
        <v>116</v>
      </c>
      <c r="B8" s="82" t="s">
        <v>435</v>
      </c>
      <c r="C8" s="83">
        <v>37548864</v>
      </c>
      <c r="D8" s="83"/>
      <c r="E8" s="83">
        <f t="shared" si="0"/>
        <v>37548864</v>
      </c>
      <c r="F8" s="346"/>
      <c r="G8" s="84">
        <f t="shared" si="1"/>
        <v>37548864</v>
      </c>
      <c r="H8" s="346"/>
      <c r="I8" s="84">
        <f>G8</f>
        <v>37548864</v>
      </c>
      <c r="J8" s="82" t="s">
        <v>436</v>
      </c>
      <c r="K8" s="83">
        <v>11598180</v>
      </c>
      <c r="L8" s="83">
        <v>11598180</v>
      </c>
      <c r="M8" s="83">
        <f>K8+L8</f>
        <v>23196360</v>
      </c>
      <c r="N8" s="83">
        <v>142329</v>
      </c>
      <c r="O8" s="80">
        <f>L8+N8</f>
        <v>11740509</v>
      </c>
      <c r="P8" s="83">
        <v>0</v>
      </c>
      <c r="Q8" s="80">
        <f>O8+P8</f>
        <v>11740509</v>
      </c>
      <c r="R8" s="547"/>
    </row>
    <row r="9" spans="1:18" ht="12.75" customHeight="1">
      <c r="A9" s="81" t="s">
        <v>117</v>
      </c>
      <c r="B9" s="82" t="s">
        <v>437</v>
      </c>
      <c r="C9" s="83">
        <v>0</v>
      </c>
      <c r="D9" s="83"/>
      <c r="E9" s="83">
        <f t="shared" si="0"/>
        <v>0</v>
      </c>
      <c r="F9" s="346"/>
      <c r="G9" s="84">
        <f t="shared" si="1"/>
        <v>0</v>
      </c>
      <c r="H9" s="346"/>
      <c r="I9" s="84">
        <f>G9</f>
        <v>0</v>
      </c>
      <c r="J9" s="82" t="s">
        <v>438</v>
      </c>
      <c r="K9" s="83">
        <v>42555558</v>
      </c>
      <c r="L9" s="83">
        <v>42555558</v>
      </c>
      <c r="M9" s="83">
        <f>K9+L9</f>
        <v>85111116</v>
      </c>
      <c r="N9" s="83">
        <v>-953319</v>
      </c>
      <c r="O9" s="80">
        <f>L9+N9</f>
        <v>41602239</v>
      </c>
      <c r="P9" s="83">
        <v>9468939</v>
      </c>
      <c r="Q9" s="80">
        <f>O9+P9</f>
        <v>51071178</v>
      </c>
      <c r="R9" s="547"/>
    </row>
    <row r="10" spans="1:18" ht="12.75" customHeight="1">
      <c r="A10" s="81" t="s">
        <v>118</v>
      </c>
      <c r="B10" s="82" t="s">
        <v>15</v>
      </c>
      <c r="C10" s="83">
        <v>82450000</v>
      </c>
      <c r="D10" s="83"/>
      <c r="E10" s="83">
        <f t="shared" si="0"/>
        <v>82450000</v>
      </c>
      <c r="F10" s="346"/>
      <c r="G10" s="84">
        <f t="shared" si="1"/>
        <v>82450000</v>
      </c>
      <c r="H10" s="346"/>
      <c r="I10" s="84">
        <f>G10</f>
        <v>82450000</v>
      </c>
      <c r="J10" s="82" t="s">
        <v>81</v>
      </c>
      <c r="K10" s="83">
        <v>6315000</v>
      </c>
      <c r="L10" s="83">
        <v>6315000</v>
      </c>
      <c r="M10" s="83">
        <f>K10+L10</f>
        <v>12630000</v>
      </c>
      <c r="N10" s="83"/>
      <c r="O10" s="80">
        <f>L10+N10</f>
        <v>6315000</v>
      </c>
      <c r="P10" s="83"/>
      <c r="Q10" s="80">
        <f>O10+P10</f>
        <v>6315000</v>
      </c>
      <c r="R10" s="547"/>
    </row>
    <row r="11" spans="1:18" ht="12.75" customHeight="1">
      <c r="A11" s="81" t="s">
        <v>119</v>
      </c>
      <c r="B11" s="85" t="s">
        <v>26</v>
      </c>
      <c r="C11" s="83">
        <v>11883000</v>
      </c>
      <c r="D11" s="83"/>
      <c r="E11" s="83">
        <f t="shared" si="0"/>
        <v>11883000</v>
      </c>
      <c r="F11" s="346"/>
      <c r="G11" s="84">
        <f t="shared" si="1"/>
        <v>11883000</v>
      </c>
      <c r="H11" s="346"/>
      <c r="I11" s="84">
        <f>G11</f>
        <v>11883000</v>
      </c>
      <c r="J11" s="82" t="s">
        <v>126</v>
      </c>
      <c r="K11" s="83">
        <v>52680225</v>
      </c>
      <c r="L11" s="83">
        <v>56397225</v>
      </c>
      <c r="M11" s="83">
        <f>K11+L11</f>
        <v>109077450</v>
      </c>
      <c r="N11" s="83">
        <v>3200000</v>
      </c>
      <c r="O11" s="80">
        <f>L11+N11</f>
        <v>59597225</v>
      </c>
      <c r="P11" s="83"/>
      <c r="Q11" s="80">
        <f>O11+P11</f>
        <v>59597225</v>
      </c>
      <c r="R11" s="547"/>
    </row>
    <row r="12" spans="1:18" ht="12.75" customHeight="1">
      <c r="A12" s="81" t="s">
        <v>120</v>
      </c>
      <c r="B12" s="82" t="s">
        <v>41</v>
      </c>
      <c r="C12" s="83">
        <v>50000</v>
      </c>
      <c r="D12" s="83"/>
      <c r="E12" s="83">
        <f t="shared" si="0"/>
        <v>50000</v>
      </c>
      <c r="F12" s="346"/>
      <c r="G12" s="84">
        <f t="shared" si="1"/>
        <v>50000</v>
      </c>
      <c r="H12" s="346"/>
      <c r="I12" s="84">
        <f>G12</f>
        <v>50000</v>
      </c>
      <c r="J12" s="82"/>
      <c r="K12" s="83"/>
      <c r="L12" s="83"/>
      <c r="M12" s="83"/>
      <c r="N12" s="83"/>
      <c r="O12" s="83"/>
      <c r="P12" s="83"/>
      <c r="Q12" s="83"/>
      <c r="R12" s="547"/>
    </row>
    <row r="13" spans="1:18" ht="12.75" customHeight="1">
      <c r="A13" s="81" t="s">
        <v>121</v>
      </c>
      <c r="B13" s="82" t="s">
        <v>439</v>
      </c>
      <c r="C13" s="83"/>
      <c r="D13" s="83"/>
      <c r="E13" s="83"/>
      <c r="F13" s="346"/>
      <c r="G13" s="84"/>
      <c r="H13" s="346"/>
      <c r="I13" s="84"/>
      <c r="J13" s="87"/>
      <c r="K13" s="83"/>
      <c r="L13" s="83"/>
      <c r="M13" s="83"/>
      <c r="N13" s="83"/>
      <c r="O13" s="83"/>
      <c r="P13" s="83"/>
      <c r="Q13" s="83"/>
      <c r="R13" s="547"/>
    </row>
    <row r="14" spans="1:18" ht="12.75" customHeight="1" thickBot="1">
      <c r="A14" s="81" t="s">
        <v>122</v>
      </c>
      <c r="B14" s="87"/>
      <c r="C14" s="83"/>
      <c r="D14" s="83"/>
      <c r="E14" s="83"/>
      <c r="F14" s="346"/>
      <c r="G14" s="346"/>
      <c r="H14" s="346"/>
      <c r="I14" s="346"/>
      <c r="J14" s="87"/>
      <c r="K14" s="322"/>
      <c r="L14" s="322"/>
      <c r="M14" s="322"/>
      <c r="N14" s="322"/>
      <c r="O14" s="322"/>
      <c r="P14" s="322"/>
      <c r="Q14" s="322"/>
      <c r="R14" s="547"/>
    </row>
    <row r="15" spans="1:18" ht="15.75" customHeight="1" thickBot="1">
      <c r="A15" s="337" t="s">
        <v>123</v>
      </c>
      <c r="B15" s="89" t="s">
        <v>440</v>
      </c>
      <c r="C15" s="90">
        <f aca="true" t="shared" si="2" ref="C15:I15">SUM(C7:C14)</f>
        <v>255357547</v>
      </c>
      <c r="D15" s="90">
        <f t="shared" si="2"/>
        <v>0</v>
      </c>
      <c r="E15" s="90">
        <f t="shared" si="2"/>
        <v>255357547</v>
      </c>
      <c r="F15" s="355">
        <f t="shared" si="2"/>
        <v>0</v>
      </c>
      <c r="G15" s="90">
        <f t="shared" si="2"/>
        <v>255357547</v>
      </c>
      <c r="H15" s="355">
        <f t="shared" si="2"/>
        <v>2494167</v>
      </c>
      <c r="I15" s="90">
        <f t="shared" si="2"/>
        <v>257851714</v>
      </c>
      <c r="J15" s="89" t="s">
        <v>441</v>
      </c>
      <c r="K15" s="338">
        <f>SUM(K7:K14)</f>
        <v>160354999</v>
      </c>
      <c r="L15" s="338">
        <v>164071999</v>
      </c>
      <c r="M15" s="338">
        <f>SUM(M7:M14)</f>
        <v>324426998</v>
      </c>
      <c r="N15" s="338">
        <f>SUM(N7:N14)</f>
        <v>3200000</v>
      </c>
      <c r="O15" s="338">
        <f>SUM(O7:O14)</f>
        <v>167271999</v>
      </c>
      <c r="P15" s="338">
        <f>SUM(P7:P14)</f>
        <v>9468939</v>
      </c>
      <c r="Q15" s="338">
        <f>SUM(Q7:Q14)</f>
        <v>176740938</v>
      </c>
      <c r="R15" s="547"/>
    </row>
    <row r="16" spans="1:18" ht="12.75" customHeight="1">
      <c r="A16" s="81" t="s">
        <v>196</v>
      </c>
      <c r="B16" s="339" t="s">
        <v>442</v>
      </c>
      <c r="C16" s="325">
        <f>+C17+C18+C19+C20</f>
        <v>0</v>
      </c>
      <c r="D16" s="325">
        <f>+D17+D18+D19+D20</f>
        <v>0</v>
      </c>
      <c r="E16" s="325"/>
      <c r="F16" s="359">
        <f>+F17+F18+F19+F20</f>
        <v>0</v>
      </c>
      <c r="G16" s="326"/>
      <c r="H16" s="359">
        <f>+H17+H18+H19+H20</f>
        <v>0</v>
      </c>
      <c r="I16" s="326"/>
      <c r="J16" s="340" t="s">
        <v>201</v>
      </c>
      <c r="K16" s="347"/>
      <c r="L16" s="325"/>
      <c r="M16" s="326"/>
      <c r="N16" s="325">
        <f>+N17+N18+N19+N20</f>
        <v>0</v>
      </c>
      <c r="O16" s="326"/>
      <c r="P16" s="325">
        <f>+P17+P18+P19+P20</f>
        <v>0</v>
      </c>
      <c r="Q16" s="326"/>
      <c r="R16" s="547"/>
    </row>
    <row r="17" spans="1:18" ht="12.75" customHeight="1">
      <c r="A17" s="81" t="s">
        <v>197</v>
      </c>
      <c r="B17" s="340" t="s">
        <v>443</v>
      </c>
      <c r="C17" s="91">
        <v>0</v>
      </c>
      <c r="D17" s="91">
        <v>0</v>
      </c>
      <c r="E17" s="91"/>
      <c r="F17" s="360">
        <v>0</v>
      </c>
      <c r="G17" s="92"/>
      <c r="H17" s="360">
        <v>0</v>
      </c>
      <c r="I17" s="92"/>
      <c r="J17" s="340" t="s">
        <v>444</v>
      </c>
      <c r="K17" s="91"/>
      <c r="L17" s="91"/>
      <c r="M17" s="92"/>
      <c r="N17" s="91">
        <v>0</v>
      </c>
      <c r="O17" s="92"/>
      <c r="P17" s="91">
        <v>0</v>
      </c>
      <c r="Q17" s="92"/>
      <c r="R17" s="547"/>
    </row>
    <row r="18" spans="1:18" ht="12.75" customHeight="1">
      <c r="A18" s="81" t="s">
        <v>198</v>
      </c>
      <c r="B18" s="340" t="s">
        <v>445</v>
      </c>
      <c r="C18" s="91"/>
      <c r="D18" s="91"/>
      <c r="E18" s="91"/>
      <c r="F18" s="360"/>
      <c r="G18" s="92"/>
      <c r="H18" s="360"/>
      <c r="I18" s="92"/>
      <c r="J18" s="340" t="s">
        <v>204</v>
      </c>
      <c r="K18" s="91"/>
      <c r="L18" s="91"/>
      <c r="M18" s="92"/>
      <c r="N18" s="91"/>
      <c r="O18" s="92"/>
      <c r="P18" s="91"/>
      <c r="Q18" s="92"/>
      <c r="R18" s="547"/>
    </row>
    <row r="19" spans="1:18" ht="12.75" customHeight="1">
      <c r="A19" s="81" t="s">
        <v>199</v>
      </c>
      <c r="B19" s="340" t="s">
        <v>446</v>
      </c>
      <c r="C19" s="91"/>
      <c r="D19" s="91"/>
      <c r="E19" s="91"/>
      <c r="F19" s="360"/>
      <c r="G19" s="92"/>
      <c r="H19" s="360"/>
      <c r="I19" s="92"/>
      <c r="J19" s="340" t="s">
        <v>206</v>
      </c>
      <c r="K19" s="91"/>
      <c r="L19" s="91"/>
      <c r="M19" s="92"/>
      <c r="N19" s="91"/>
      <c r="O19" s="92"/>
      <c r="P19" s="91"/>
      <c r="Q19" s="92"/>
      <c r="R19" s="547"/>
    </row>
    <row r="20" spans="1:18" ht="12.75" customHeight="1">
      <c r="A20" s="81" t="s">
        <v>200</v>
      </c>
      <c r="B20" s="340" t="s">
        <v>447</v>
      </c>
      <c r="C20" s="91"/>
      <c r="D20" s="91"/>
      <c r="E20" s="91"/>
      <c r="F20" s="360"/>
      <c r="G20" s="92"/>
      <c r="H20" s="360"/>
      <c r="I20" s="92"/>
      <c r="J20" s="339" t="s">
        <v>208</v>
      </c>
      <c r="K20" s="91"/>
      <c r="L20" s="91"/>
      <c r="M20" s="92"/>
      <c r="N20" s="91"/>
      <c r="O20" s="92"/>
      <c r="P20" s="91"/>
      <c r="Q20" s="92"/>
      <c r="R20" s="547"/>
    </row>
    <row r="21" spans="1:18" ht="12.75" customHeight="1">
      <c r="A21" s="81" t="s">
        <v>202</v>
      </c>
      <c r="B21" s="340" t="s">
        <v>448</v>
      </c>
      <c r="C21" s="93">
        <f>+C22+C23</f>
        <v>0</v>
      </c>
      <c r="D21" s="93">
        <f>+D22+D23</f>
        <v>0</v>
      </c>
      <c r="E21" s="93"/>
      <c r="F21" s="361">
        <f>+F22+F23</f>
        <v>0</v>
      </c>
      <c r="G21" s="298"/>
      <c r="H21" s="361">
        <f>+H22+H23</f>
        <v>0</v>
      </c>
      <c r="I21" s="298"/>
      <c r="J21" s="340" t="s">
        <v>449</v>
      </c>
      <c r="K21" s="91"/>
      <c r="L21" s="93"/>
      <c r="M21" s="298"/>
      <c r="N21" s="93">
        <f>+N22+N23</f>
        <v>0</v>
      </c>
      <c r="O21" s="298"/>
      <c r="P21" s="93">
        <f>+P22+P23</f>
        <v>0</v>
      </c>
      <c r="Q21" s="298"/>
      <c r="R21" s="547"/>
    </row>
    <row r="22" spans="1:18" ht="12.75" customHeight="1">
      <c r="A22" s="81" t="s">
        <v>203</v>
      </c>
      <c r="B22" s="341" t="s">
        <v>450</v>
      </c>
      <c r="C22" s="91"/>
      <c r="D22" s="91"/>
      <c r="E22" s="91"/>
      <c r="F22" s="360"/>
      <c r="G22" s="92"/>
      <c r="H22" s="360"/>
      <c r="I22" s="92"/>
      <c r="J22" s="79" t="s">
        <v>451</v>
      </c>
      <c r="K22" s="91"/>
      <c r="L22" s="91"/>
      <c r="M22" s="92"/>
      <c r="N22" s="91"/>
      <c r="O22" s="92"/>
      <c r="P22" s="91"/>
      <c r="Q22" s="92"/>
      <c r="R22" s="547"/>
    </row>
    <row r="23" spans="1:18" ht="12.75" customHeight="1">
      <c r="A23" s="81" t="s">
        <v>205</v>
      </c>
      <c r="B23" s="342" t="s">
        <v>452</v>
      </c>
      <c r="C23" s="91"/>
      <c r="D23" s="91"/>
      <c r="E23" s="91"/>
      <c r="F23" s="360"/>
      <c r="G23" s="92"/>
      <c r="H23" s="360"/>
      <c r="I23" s="92"/>
      <c r="J23" s="82" t="s">
        <v>453</v>
      </c>
      <c r="K23" s="91"/>
      <c r="L23" s="91"/>
      <c r="M23" s="92"/>
      <c r="N23" s="91"/>
      <c r="O23" s="92"/>
      <c r="P23" s="91"/>
      <c r="Q23" s="92"/>
      <c r="R23" s="547"/>
    </row>
    <row r="24" spans="1:18" ht="12.75" customHeight="1">
      <c r="A24" s="81" t="s">
        <v>207</v>
      </c>
      <c r="B24" s="342" t="s">
        <v>454</v>
      </c>
      <c r="C24" s="91"/>
      <c r="D24" s="91"/>
      <c r="E24" s="91"/>
      <c r="F24" s="360"/>
      <c r="G24" s="92"/>
      <c r="H24" s="360"/>
      <c r="I24" s="92"/>
      <c r="J24" s="82" t="s">
        <v>455</v>
      </c>
      <c r="K24" s="91"/>
      <c r="L24" s="91"/>
      <c r="M24" s="92"/>
      <c r="N24" s="91"/>
      <c r="O24" s="92"/>
      <c r="P24" s="91"/>
      <c r="Q24" s="92"/>
      <c r="R24" s="547"/>
    </row>
    <row r="25" spans="1:18" ht="12.75" customHeight="1">
      <c r="A25" s="81" t="s">
        <v>209</v>
      </c>
      <c r="B25" s="342" t="s">
        <v>456</v>
      </c>
      <c r="C25" s="91"/>
      <c r="D25" s="91"/>
      <c r="E25" s="91"/>
      <c r="F25" s="360"/>
      <c r="G25" s="92"/>
      <c r="H25" s="360"/>
      <c r="I25" s="92"/>
      <c r="J25" s="82" t="s">
        <v>245</v>
      </c>
      <c r="K25" s="91">
        <v>4276181</v>
      </c>
      <c r="L25" s="91">
        <v>4276181</v>
      </c>
      <c r="M25" s="92">
        <f>K25+L25</f>
        <v>8552362</v>
      </c>
      <c r="N25" s="91"/>
      <c r="O25" s="92">
        <f>L25</f>
        <v>4276181</v>
      </c>
      <c r="P25" s="91"/>
      <c r="Q25" s="92">
        <f>O25+P25</f>
        <v>4276181</v>
      </c>
      <c r="R25" s="547"/>
    </row>
    <row r="26" spans="1:18" ht="12.75" customHeight="1" thickBot="1">
      <c r="A26" s="81" t="s">
        <v>210</v>
      </c>
      <c r="B26" s="342" t="s">
        <v>456</v>
      </c>
      <c r="C26" s="350"/>
      <c r="D26" s="350"/>
      <c r="E26" s="350"/>
      <c r="F26" s="363"/>
      <c r="G26" s="364"/>
      <c r="H26" s="363"/>
      <c r="I26" s="364"/>
      <c r="J26" s="343" t="s">
        <v>427</v>
      </c>
      <c r="K26" s="350">
        <v>73299977</v>
      </c>
      <c r="L26" s="350">
        <v>73299977</v>
      </c>
      <c r="M26" s="92">
        <f>K26+L26</f>
        <v>146599954</v>
      </c>
      <c r="N26" s="350"/>
      <c r="O26" s="92">
        <f>L26</f>
        <v>73299977</v>
      </c>
      <c r="P26" s="350">
        <v>3046000</v>
      </c>
      <c r="Q26" s="92">
        <f>O26+P26</f>
        <v>76345977</v>
      </c>
      <c r="R26" s="547"/>
    </row>
    <row r="27" spans="1:18" ht="22.5" customHeight="1" thickBot="1">
      <c r="A27" s="81" t="s">
        <v>211</v>
      </c>
      <c r="B27" s="344" t="s">
        <v>457</v>
      </c>
      <c r="C27" s="338">
        <f>+C16+C21+C24+C26</f>
        <v>0</v>
      </c>
      <c r="D27" s="314">
        <f>+D16+D21+D24+D26</f>
        <v>0</v>
      </c>
      <c r="E27" s="314"/>
      <c r="F27" s="314">
        <f>+F16+F21+F24+F26</f>
        <v>0</v>
      </c>
      <c r="G27" s="314"/>
      <c r="H27" s="314">
        <f>+H16+H21+H24+H26</f>
        <v>0</v>
      </c>
      <c r="I27" s="314"/>
      <c r="J27" s="89" t="s">
        <v>458</v>
      </c>
      <c r="K27" s="338">
        <f>SUM(K16:K26)</f>
        <v>77576158</v>
      </c>
      <c r="L27" s="338">
        <v>77576158</v>
      </c>
      <c r="M27" s="338">
        <f>SUM(M16:M26)</f>
        <v>155152316</v>
      </c>
      <c r="N27" s="338">
        <f>SUM(N16:N26)</f>
        <v>0</v>
      </c>
      <c r="O27" s="338">
        <f>SUM(O16:O26)</f>
        <v>77576158</v>
      </c>
      <c r="P27" s="338">
        <f>SUM(P16:P26)</f>
        <v>3046000</v>
      </c>
      <c r="Q27" s="338">
        <f>SUM(Q16:Q26)</f>
        <v>80622158</v>
      </c>
      <c r="R27" s="547"/>
    </row>
    <row r="28" spans="1:18" ht="13.5" thickBot="1">
      <c r="A28" s="337" t="s">
        <v>212</v>
      </c>
      <c r="B28" s="94" t="s">
        <v>459</v>
      </c>
      <c r="C28" s="95">
        <f>+C15+C27</f>
        <v>255357547</v>
      </c>
      <c r="D28" s="95">
        <f>+D15+D27</f>
        <v>0</v>
      </c>
      <c r="E28" s="362">
        <f>+E15+E27</f>
        <v>255357547</v>
      </c>
      <c r="F28" s="95">
        <v>0</v>
      </c>
      <c r="G28" s="95">
        <f>+G15+G27</f>
        <v>255357547</v>
      </c>
      <c r="H28" s="95">
        <f>+H15+H27</f>
        <v>2494167</v>
      </c>
      <c r="I28" s="95">
        <f>+I15+I27</f>
        <v>257851714</v>
      </c>
      <c r="J28" s="94" t="s">
        <v>460</v>
      </c>
      <c r="K28" s="95">
        <f>+K15+K27</f>
        <v>237931157</v>
      </c>
      <c r="L28" s="95">
        <f>L15+L27</f>
        <v>241648157</v>
      </c>
      <c r="M28" s="95">
        <f>M15+M27</f>
        <v>479579314</v>
      </c>
      <c r="N28" s="95">
        <f>N15+N27</f>
        <v>3200000</v>
      </c>
      <c r="O28" s="95">
        <f>+O15+O27</f>
        <v>244848157</v>
      </c>
      <c r="P28" s="95">
        <f>+P15+P27</f>
        <v>12514939</v>
      </c>
      <c r="Q28" s="95">
        <f>+Q15+Q27</f>
        <v>257363096</v>
      </c>
      <c r="R28" s="547"/>
    </row>
    <row r="29" spans="1:18" ht="13.5" thickBot="1">
      <c r="A29" s="337" t="s">
        <v>461</v>
      </c>
      <c r="B29" s="94" t="s">
        <v>462</v>
      </c>
      <c r="C29" s="95" t="s">
        <v>473</v>
      </c>
      <c r="D29" s="95"/>
      <c r="E29" s="362" t="s">
        <v>473</v>
      </c>
      <c r="F29" s="95">
        <f>N15-F15</f>
        <v>3200000</v>
      </c>
      <c r="G29" s="95" t="s">
        <v>473</v>
      </c>
      <c r="H29" s="95" t="s">
        <v>473</v>
      </c>
      <c r="I29" s="95" t="s">
        <v>473</v>
      </c>
      <c r="J29" s="94" t="s">
        <v>463</v>
      </c>
      <c r="K29" s="95">
        <f>IF(C15-K15&gt;0,C15-K15,"-")</f>
        <v>95002548</v>
      </c>
      <c r="L29" s="95">
        <f>E15-L15</f>
        <v>91285548</v>
      </c>
      <c r="M29" s="95" t="str">
        <f>IF(E15-M15&gt;0,E15-M15,"-")</f>
        <v>-</v>
      </c>
      <c r="N29" s="95" t="str">
        <f>IF(F15-N15&gt;0,F15-N15,"-")</f>
        <v>-</v>
      </c>
      <c r="O29" s="95">
        <f>IF(G15-O15&gt;0,G15-O15,"-")</f>
        <v>88085548</v>
      </c>
      <c r="P29" s="95" t="str">
        <f>IF(H15-P15&gt;0,H15-P15,"-")</f>
        <v>-</v>
      </c>
      <c r="Q29" s="95">
        <f>IF(I15-Q15&gt;0,I15-Q15,"-")</f>
        <v>81110776</v>
      </c>
      <c r="R29" s="547"/>
    </row>
    <row r="30" spans="1:18" ht="13.5" thickBot="1">
      <c r="A30" s="337" t="s">
        <v>464</v>
      </c>
      <c r="B30" s="94" t="s">
        <v>465</v>
      </c>
      <c r="C30" s="95" t="s">
        <v>473</v>
      </c>
      <c r="D30" s="95"/>
      <c r="E30" s="362" t="s">
        <v>473</v>
      </c>
      <c r="F30" s="95">
        <f>N28-F28</f>
        <v>3200000</v>
      </c>
      <c r="G30" s="95" t="s">
        <v>473</v>
      </c>
      <c r="H30" s="95" t="s">
        <v>473</v>
      </c>
      <c r="I30" s="95" t="s">
        <v>473</v>
      </c>
      <c r="J30" s="94" t="s">
        <v>466</v>
      </c>
      <c r="K30" s="95">
        <f>IF(C15+C27-K28&gt;0,C15+C27-K28,"-")</f>
        <v>17426390</v>
      </c>
      <c r="L30" s="95">
        <f>E28-L28</f>
        <v>13709390</v>
      </c>
      <c r="M30" s="95" t="str">
        <f>IF(E15+E27-M28&gt;0,E15+E27-M28,"-")</f>
        <v>-</v>
      </c>
      <c r="N30" s="95" t="str">
        <f>IF(F15+F27-N28&gt;0,F15+F27-N28,"-")</f>
        <v>-</v>
      </c>
      <c r="O30" s="95">
        <f>IF(G15+G27-O28&gt;0,G15+G27-O28,"-")</f>
        <v>10509390</v>
      </c>
      <c r="P30" s="95" t="str">
        <f>IF(H15+H27-P28&gt;0,H15+H27-P28,"-")</f>
        <v>-</v>
      </c>
      <c r="Q30" s="95">
        <f>IF(I15+I27-Q28&gt;0,I15+I27-Q28,"-")</f>
        <v>488618</v>
      </c>
      <c r="R30" s="547"/>
    </row>
    <row r="31" spans="2:10" ht="18.75">
      <c r="B31" s="550"/>
      <c r="C31" s="550"/>
      <c r="D31" s="550"/>
      <c r="E31" s="550"/>
      <c r="F31" s="550"/>
      <c r="G31" s="550"/>
      <c r="H31" s="550"/>
      <c r="I31" s="550"/>
      <c r="J31" s="550"/>
    </row>
  </sheetData>
  <sheetProtection/>
  <mergeCells count="5">
    <mergeCell ref="R1:R30"/>
    <mergeCell ref="A4:A5"/>
    <mergeCell ref="B31:J31"/>
    <mergeCell ref="A2:B2"/>
    <mergeCell ref="A3:B3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68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30"/>
  <sheetViews>
    <sheetView zoomScale="110" zoomScaleNormal="110" zoomScaleSheetLayoutView="115" zoomScalePageLayoutView="0" workbookViewId="0" topLeftCell="A1">
      <selection activeCell="A3" sqref="A3:B3"/>
    </sheetView>
  </sheetViews>
  <sheetFormatPr defaultColWidth="8.00390625" defaultRowHeight="12.75"/>
  <cols>
    <col min="1" max="1" width="5.8515625" style="65" customWidth="1"/>
    <col min="2" max="2" width="40.7109375" style="68" customWidth="1"/>
    <col min="3" max="3" width="13.140625" style="65" customWidth="1"/>
    <col min="4" max="4" width="12.421875" style="65" hidden="1" customWidth="1"/>
    <col min="5" max="5" width="13.28125" style="65" hidden="1" customWidth="1"/>
    <col min="6" max="6" width="12.421875" style="65" hidden="1" customWidth="1"/>
    <col min="7" max="7" width="13.28125" style="65" hidden="1" customWidth="1"/>
    <col min="8" max="8" width="12.421875" style="65" hidden="1" customWidth="1"/>
    <col min="9" max="9" width="14.28125" style="65" customWidth="1"/>
    <col min="10" max="10" width="12.421875" style="65" customWidth="1"/>
    <col min="11" max="11" width="14.28125" style="65" customWidth="1"/>
    <col min="12" max="12" width="40.421875" style="65" customWidth="1"/>
    <col min="13" max="13" width="14.421875" style="65" customWidth="1"/>
    <col min="14" max="14" width="12.7109375" style="65" hidden="1" customWidth="1"/>
    <col min="15" max="15" width="13.421875" style="65" hidden="1" customWidth="1"/>
    <col min="16" max="16" width="12.7109375" style="65" hidden="1" customWidth="1"/>
    <col min="17" max="17" width="13.7109375" style="65" hidden="1" customWidth="1"/>
    <col min="18" max="18" width="12.7109375" style="65" hidden="1" customWidth="1"/>
    <col min="19" max="19" width="13.7109375" style="65" customWidth="1"/>
    <col min="20" max="20" width="12.7109375" style="65" customWidth="1"/>
    <col min="21" max="21" width="13.7109375" style="65" customWidth="1"/>
    <col min="22" max="22" width="4.140625" style="65" customWidth="1"/>
    <col min="23" max="16384" width="8.00390625" style="65" customWidth="1"/>
  </cols>
  <sheetData>
    <row r="1" spans="1:22" ht="38.25" customHeight="1">
      <c r="A1" s="553" t="s">
        <v>213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273"/>
    </row>
    <row r="2" spans="1:22" ht="19.5" customHeight="1">
      <c r="A2" s="541" t="s">
        <v>577</v>
      </c>
      <c r="B2" s="541"/>
      <c r="C2" s="67"/>
      <c r="D2" s="67"/>
      <c r="E2" s="67"/>
      <c r="F2" s="67"/>
      <c r="G2" s="67"/>
      <c r="H2" s="67"/>
      <c r="I2" s="67"/>
      <c r="J2" s="67"/>
      <c r="K2" s="67"/>
      <c r="L2" s="67"/>
      <c r="M2" s="354"/>
      <c r="N2" s="330"/>
      <c r="O2" s="330"/>
      <c r="P2" s="330"/>
      <c r="Q2" s="330"/>
      <c r="R2" s="330"/>
      <c r="S2" s="330"/>
      <c r="T2" s="330"/>
      <c r="U2" s="330"/>
      <c r="V2" s="273"/>
    </row>
    <row r="3" spans="1:22" ht="15.75" thickBot="1">
      <c r="A3" s="540" t="s">
        <v>471</v>
      </c>
      <c r="B3" s="540"/>
      <c r="M3" s="209"/>
      <c r="O3" s="209"/>
      <c r="Q3" s="209"/>
      <c r="S3" s="209"/>
      <c r="U3" s="209" t="s">
        <v>320</v>
      </c>
      <c r="V3" s="273"/>
    </row>
    <row r="4" spans="1:22" ht="13.5" thickBot="1">
      <c r="A4" s="551" t="s">
        <v>193</v>
      </c>
      <c r="B4" s="69" t="s">
        <v>98</v>
      </c>
      <c r="C4" s="70"/>
      <c r="D4" s="70"/>
      <c r="E4" s="70"/>
      <c r="F4" s="70"/>
      <c r="G4" s="70"/>
      <c r="H4" s="70"/>
      <c r="I4" s="70"/>
      <c r="J4" s="70"/>
      <c r="K4" s="70"/>
      <c r="L4" s="69" t="s">
        <v>99</v>
      </c>
      <c r="M4" s="333"/>
      <c r="N4" s="73"/>
      <c r="O4" s="333"/>
      <c r="P4" s="73"/>
      <c r="Q4" s="333"/>
      <c r="R4" s="73"/>
      <c r="S4" s="333"/>
      <c r="T4" s="73"/>
      <c r="U4" s="333"/>
      <c r="V4" s="273"/>
    </row>
    <row r="5" spans="1:22" s="74" customFormat="1" ht="36.75" thickBot="1">
      <c r="A5" s="552"/>
      <c r="B5" s="72" t="s">
        <v>194</v>
      </c>
      <c r="C5" s="73" t="s">
        <v>362</v>
      </c>
      <c r="D5" s="73" t="s">
        <v>417</v>
      </c>
      <c r="E5" s="73" t="s">
        <v>413</v>
      </c>
      <c r="F5" s="73" t="s">
        <v>429</v>
      </c>
      <c r="G5" s="73" t="s">
        <v>468</v>
      </c>
      <c r="H5" s="73" t="s">
        <v>482</v>
      </c>
      <c r="I5" s="73" t="s">
        <v>478</v>
      </c>
      <c r="J5" s="73" t="s">
        <v>539</v>
      </c>
      <c r="K5" s="73" t="s">
        <v>529</v>
      </c>
      <c r="L5" s="299" t="s">
        <v>194</v>
      </c>
      <c r="M5" s="313" t="s">
        <v>362</v>
      </c>
      <c r="N5" s="313" t="s">
        <v>417</v>
      </c>
      <c r="O5" s="313" t="s">
        <v>413</v>
      </c>
      <c r="P5" s="313" t="s">
        <v>472</v>
      </c>
      <c r="Q5" s="313" t="s">
        <v>424</v>
      </c>
      <c r="R5" s="313" t="s">
        <v>482</v>
      </c>
      <c r="S5" s="313" t="s">
        <v>478</v>
      </c>
      <c r="T5" s="73" t="s">
        <v>539</v>
      </c>
      <c r="U5" s="73" t="s">
        <v>529</v>
      </c>
      <c r="V5" s="273"/>
    </row>
    <row r="6" spans="1:22" s="74" customFormat="1" ht="13.5" thickBot="1">
      <c r="A6" s="75" t="s">
        <v>93</v>
      </c>
      <c r="B6" s="76" t="s">
        <v>94</v>
      </c>
      <c r="C6" s="77" t="s">
        <v>95</v>
      </c>
      <c r="D6" s="77" t="s">
        <v>95</v>
      </c>
      <c r="E6" s="77" t="s">
        <v>96</v>
      </c>
      <c r="F6" s="77" t="s">
        <v>97</v>
      </c>
      <c r="G6" s="77" t="s">
        <v>96</v>
      </c>
      <c r="H6" s="77" t="s">
        <v>97</v>
      </c>
      <c r="I6" s="77" t="s">
        <v>96</v>
      </c>
      <c r="J6" s="77" t="s">
        <v>97</v>
      </c>
      <c r="K6" s="77" t="s">
        <v>305</v>
      </c>
      <c r="L6" s="300" t="s">
        <v>309</v>
      </c>
      <c r="M6" s="75" t="s">
        <v>419</v>
      </c>
      <c r="N6" s="75" t="s">
        <v>95</v>
      </c>
      <c r="O6" s="75" t="s">
        <v>470</v>
      </c>
      <c r="P6" s="75" t="s">
        <v>474</v>
      </c>
      <c r="Q6" s="75" t="s">
        <v>470</v>
      </c>
      <c r="R6" s="75" t="s">
        <v>474</v>
      </c>
      <c r="S6" s="356" t="s">
        <v>470</v>
      </c>
      <c r="T6" s="75" t="s">
        <v>474</v>
      </c>
      <c r="U6" s="356" t="s">
        <v>475</v>
      </c>
      <c r="V6" s="273"/>
    </row>
    <row r="7" spans="1:22" ht="12.75" customHeight="1">
      <c r="A7" s="78" t="s">
        <v>115</v>
      </c>
      <c r="B7" s="79" t="s">
        <v>214</v>
      </c>
      <c r="C7" s="80">
        <v>86185955</v>
      </c>
      <c r="D7" s="80">
        <v>3706875</v>
      </c>
      <c r="E7" s="80">
        <f>C7+D7</f>
        <v>89892830</v>
      </c>
      <c r="F7" s="80">
        <v>0</v>
      </c>
      <c r="G7" s="80">
        <f>E7+F7</f>
        <v>89892830</v>
      </c>
      <c r="H7" s="80">
        <v>0</v>
      </c>
      <c r="I7" s="80">
        <f>G7+H7</f>
        <v>89892830</v>
      </c>
      <c r="J7" s="80">
        <v>0</v>
      </c>
      <c r="K7" s="80">
        <f>I7+J7</f>
        <v>89892830</v>
      </c>
      <c r="L7" s="301" t="s">
        <v>84</v>
      </c>
      <c r="M7" s="316">
        <v>38100000</v>
      </c>
      <c r="N7" s="317">
        <v>4206875</v>
      </c>
      <c r="O7" s="318">
        <f>M7+N7</f>
        <v>42306875</v>
      </c>
      <c r="P7" s="317">
        <v>0</v>
      </c>
      <c r="Q7" s="318">
        <f>O7+P7</f>
        <v>42306875</v>
      </c>
      <c r="R7" s="317">
        <v>-18850000</v>
      </c>
      <c r="S7" s="84">
        <f aca="true" t="shared" si="0" ref="S7:S12">Q7+R7</f>
        <v>23456875</v>
      </c>
      <c r="T7" s="317">
        <v>-2101369</v>
      </c>
      <c r="U7" s="84">
        <f aca="true" t="shared" si="1" ref="U7:U12">S7+T7</f>
        <v>21355506</v>
      </c>
      <c r="V7" s="273"/>
    </row>
    <row r="8" spans="1:22" ht="12.75">
      <c r="A8" s="81" t="s">
        <v>116</v>
      </c>
      <c r="B8" s="82" t="s">
        <v>215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302" t="s">
        <v>216</v>
      </c>
      <c r="M8" s="319">
        <v>35000000</v>
      </c>
      <c r="N8" s="83">
        <v>0</v>
      </c>
      <c r="O8" s="84">
        <v>0</v>
      </c>
      <c r="P8" s="83">
        <v>0</v>
      </c>
      <c r="Q8" s="84">
        <v>0</v>
      </c>
      <c r="R8" s="83">
        <v>0</v>
      </c>
      <c r="S8" s="84">
        <f t="shared" si="0"/>
        <v>0</v>
      </c>
      <c r="T8" s="83">
        <v>0</v>
      </c>
      <c r="U8" s="84">
        <f t="shared" si="1"/>
        <v>0</v>
      </c>
      <c r="V8" s="273"/>
    </row>
    <row r="9" spans="1:22" ht="12.75" customHeight="1">
      <c r="A9" s="81" t="s">
        <v>117</v>
      </c>
      <c r="B9" s="82" t="s">
        <v>39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303" t="s">
        <v>86</v>
      </c>
      <c r="M9" s="320">
        <v>95154097</v>
      </c>
      <c r="N9" s="83">
        <v>0</v>
      </c>
      <c r="O9" s="84">
        <f>M9</f>
        <v>95154097</v>
      </c>
      <c r="P9" s="83">
        <v>-3717000</v>
      </c>
      <c r="Q9" s="84">
        <f>O9+P9</f>
        <v>91437097</v>
      </c>
      <c r="R9" s="83">
        <v>-1410000</v>
      </c>
      <c r="S9" s="84">
        <f t="shared" si="0"/>
        <v>90027097</v>
      </c>
      <c r="T9" s="83">
        <v>-7551833</v>
      </c>
      <c r="U9" s="84">
        <f t="shared" si="1"/>
        <v>82475264</v>
      </c>
      <c r="V9" s="273"/>
    </row>
    <row r="10" spans="1:22" ht="12.75" customHeight="1">
      <c r="A10" s="81" t="s">
        <v>118</v>
      </c>
      <c r="B10" s="82" t="s">
        <v>217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302" t="s">
        <v>218</v>
      </c>
      <c r="M10" s="319">
        <v>72344097</v>
      </c>
      <c r="N10" s="83">
        <v>0</v>
      </c>
      <c r="O10" s="84">
        <v>0</v>
      </c>
      <c r="P10" s="83">
        <v>0</v>
      </c>
      <c r="Q10" s="84">
        <v>0</v>
      </c>
      <c r="R10" s="83">
        <v>0</v>
      </c>
      <c r="S10" s="84">
        <f t="shared" si="0"/>
        <v>0</v>
      </c>
      <c r="T10" s="83">
        <v>0</v>
      </c>
      <c r="U10" s="84">
        <f t="shared" si="1"/>
        <v>0</v>
      </c>
      <c r="V10" s="273"/>
    </row>
    <row r="11" spans="1:22" ht="12.75" customHeight="1">
      <c r="A11" s="81" t="s">
        <v>119</v>
      </c>
      <c r="B11" s="82" t="s">
        <v>219</v>
      </c>
      <c r="C11" s="83"/>
      <c r="D11" s="83"/>
      <c r="E11" s="83"/>
      <c r="F11" s="83"/>
      <c r="G11" s="83"/>
      <c r="H11" s="83"/>
      <c r="I11" s="83"/>
      <c r="J11" s="83"/>
      <c r="K11" s="83"/>
      <c r="L11" s="303" t="s">
        <v>220</v>
      </c>
      <c r="M11" s="320">
        <v>550000</v>
      </c>
      <c r="N11" s="83"/>
      <c r="O11" s="84">
        <f>M11</f>
        <v>550000</v>
      </c>
      <c r="P11" s="83"/>
      <c r="Q11" s="84">
        <f>O11</f>
        <v>550000</v>
      </c>
      <c r="R11" s="83">
        <v>38170301</v>
      </c>
      <c r="S11" s="84">
        <f t="shared" si="0"/>
        <v>38720301</v>
      </c>
      <c r="T11" s="83">
        <v>411050</v>
      </c>
      <c r="U11" s="84">
        <f t="shared" si="1"/>
        <v>39131351</v>
      </c>
      <c r="V11" s="273"/>
    </row>
    <row r="12" spans="1:22" ht="12.75" customHeight="1">
      <c r="A12" s="81" t="s">
        <v>120</v>
      </c>
      <c r="B12" s="82" t="s">
        <v>221</v>
      </c>
      <c r="C12" s="86"/>
      <c r="D12" s="86"/>
      <c r="E12" s="86"/>
      <c r="F12" s="86"/>
      <c r="G12" s="86"/>
      <c r="H12" s="86"/>
      <c r="I12" s="86"/>
      <c r="J12" s="86"/>
      <c r="K12" s="86"/>
      <c r="L12" s="85" t="s">
        <v>195</v>
      </c>
      <c r="M12" s="320">
        <v>57879594</v>
      </c>
      <c r="N12" s="83">
        <v>-500000</v>
      </c>
      <c r="O12" s="84">
        <v>57379594</v>
      </c>
      <c r="P12" s="83">
        <v>0</v>
      </c>
      <c r="Q12" s="84">
        <f>O12</f>
        <v>57379594</v>
      </c>
      <c r="R12" s="83">
        <v>-21110301</v>
      </c>
      <c r="S12" s="84">
        <f t="shared" si="0"/>
        <v>36269293</v>
      </c>
      <c r="T12" s="83">
        <v>-778620</v>
      </c>
      <c r="U12" s="84">
        <f t="shared" si="1"/>
        <v>35490673</v>
      </c>
      <c r="V12" s="273"/>
    </row>
    <row r="13" spans="1:22" ht="13.5" thickBot="1">
      <c r="A13" s="81" t="s">
        <v>121</v>
      </c>
      <c r="B13" s="87"/>
      <c r="C13" s="86"/>
      <c r="D13" s="86"/>
      <c r="E13" s="86"/>
      <c r="F13" s="86"/>
      <c r="G13" s="86"/>
      <c r="H13" s="86"/>
      <c r="I13" s="86"/>
      <c r="J13" s="86"/>
      <c r="K13" s="86"/>
      <c r="L13" s="304"/>
      <c r="M13" s="321"/>
      <c r="N13" s="322"/>
      <c r="O13" s="323"/>
      <c r="P13" s="322"/>
      <c r="Q13" s="323"/>
      <c r="R13" s="322"/>
      <c r="S13" s="323"/>
      <c r="T13" s="322"/>
      <c r="U13" s="323"/>
      <c r="V13" s="273"/>
    </row>
    <row r="14" spans="1:22" ht="15.75" customHeight="1" thickBot="1">
      <c r="A14" s="88" t="s">
        <v>122</v>
      </c>
      <c r="B14" s="89" t="s">
        <v>364</v>
      </c>
      <c r="C14" s="90">
        <f aca="true" t="shared" si="2" ref="C14:I14">+C7+C9+C10+C12+C13</f>
        <v>86185955</v>
      </c>
      <c r="D14" s="90">
        <f t="shared" si="2"/>
        <v>3706875</v>
      </c>
      <c r="E14" s="90">
        <f t="shared" si="2"/>
        <v>89892830</v>
      </c>
      <c r="F14" s="90">
        <f t="shared" si="2"/>
        <v>0</v>
      </c>
      <c r="G14" s="90">
        <f t="shared" si="2"/>
        <v>89892830</v>
      </c>
      <c r="H14" s="90">
        <f t="shared" si="2"/>
        <v>0</v>
      </c>
      <c r="I14" s="90">
        <f t="shared" si="2"/>
        <v>89892830</v>
      </c>
      <c r="J14" s="90">
        <f>+J7+J9+J10+J12+J13</f>
        <v>0</v>
      </c>
      <c r="K14" s="90">
        <f>+K7+K9+K10+K12+K13</f>
        <v>89892830</v>
      </c>
      <c r="L14" s="305" t="s">
        <v>369</v>
      </c>
      <c r="M14" s="314">
        <f>+M7+M9+M11+M12+M13</f>
        <v>191683691</v>
      </c>
      <c r="N14" s="314">
        <f>+N7+N9+N10+N12+N13</f>
        <v>3706875</v>
      </c>
      <c r="O14" s="314">
        <f aca="true" t="shared" si="3" ref="O14:U14">+O7+O9+O10+O12+O13+O11</f>
        <v>195390566</v>
      </c>
      <c r="P14" s="314">
        <f t="shared" si="3"/>
        <v>-3717000</v>
      </c>
      <c r="Q14" s="314">
        <f t="shared" si="3"/>
        <v>191673566</v>
      </c>
      <c r="R14" s="314">
        <f t="shared" si="3"/>
        <v>-3200000</v>
      </c>
      <c r="S14" s="314">
        <f t="shared" si="3"/>
        <v>188473566</v>
      </c>
      <c r="T14" s="314">
        <f t="shared" si="3"/>
        <v>-10020772</v>
      </c>
      <c r="U14" s="314">
        <f t="shared" si="3"/>
        <v>178452794</v>
      </c>
      <c r="V14" s="273"/>
    </row>
    <row r="15" spans="1:22" ht="12.75" customHeight="1">
      <c r="A15" s="78" t="s">
        <v>123</v>
      </c>
      <c r="B15" s="96" t="s">
        <v>365</v>
      </c>
      <c r="C15" s="97">
        <f aca="true" t="shared" si="4" ref="C15:I15">+C16+C17+C18+C19+C20</f>
        <v>88071346</v>
      </c>
      <c r="D15" s="97">
        <f t="shared" si="4"/>
        <v>0</v>
      </c>
      <c r="E15" s="97">
        <f t="shared" si="4"/>
        <v>88071346</v>
      </c>
      <c r="F15" s="97">
        <f t="shared" si="4"/>
        <v>0</v>
      </c>
      <c r="G15" s="97">
        <f t="shared" si="4"/>
        <v>88071346</v>
      </c>
      <c r="H15" s="97">
        <f t="shared" si="4"/>
        <v>0</v>
      </c>
      <c r="I15" s="97">
        <f t="shared" si="4"/>
        <v>88071346</v>
      </c>
      <c r="J15" s="97">
        <f>+J16+J17+J18+J19+J20</f>
        <v>0</v>
      </c>
      <c r="K15" s="97">
        <f>+K16+K17+K18+K19+K20</f>
        <v>88071346</v>
      </c>
      <c r="L15" s="306" t="s">
        <v>201</v>
      </c>
      <c r="M15" s="324"/>
      <c r="N15" s="325">
        <f aca="true" t="shared" si="5" ref="N15:S15">+N16+N17+N18+N19+N20</f>
        <v>0</v>
      </c>
      <c r="O15" s="326">
        <f t="shared" si="5"/>
        <v>0</v>
      </c>
      <c r="P15" s="325">
        <f t="shared" si="5"/>
        <v>0</v>
      </c>
      <c r="Q15" s="326">
        <f t="shared" si="5"/>
        <v>0</v>
      </c>
      <c r="R15" s="325">
        <f t="shared" si="5"/>
        <v>0</v>
      </c>
      <c r="S15" s="326">
        <f t="shared" si="5"/>
        <v>0</v>
      </c>
      <c r="T15" s="325">
        <f>+T16+T17+T18+T19+T20</f>
        <v>0</v>
      </c>
      <c r="U15" s="326">
        <f>+U16+U17+U18+U19+U20</f>
        <v>0</v>
      </c>
      <c r="V15" s="273"/>
    </row>
    <row r="16" spans="1:22" ht="12.75" customHeight="1">
      <c r="A16" s="81" t="s">
        <v>196</v>
      </c>
      <c r="B16" s="98" t="s">
        <v>222</v>
      </c>
      <c r="C16" s="91">
        <v>88071346</v>
      </c>
      <c r="D16" s="91">
        <v>0</v>
      </c>
      <c r="E16" s="91">
        <v>88071346</v>
      </c>
      <c r="F16" s="91">
        <v>0</v>
      </c>
      <c r="G16" s="91">
        <v>88071346</v>
      </c>
      <c r="H16" s="91">
        <v>0</v>
      </c>
      <c r="I16" s="91">
        <v>88071346</v>
      </c>
      <c r="J16" s="91">
        <v>0</v>
      </c>
      <c r="K16" s="91">
        <v>88071346</v>
      </c>
      <c r="L16" s="306" t="s">
        <v>223</v>
      </c>
      <c r="M16" s="327"/>
      <c r="N16" s="91">
        <v>0</v>
      </c>
      <c r="O16" s="92">
        <v>0</v>
      </c>
      <c r="P16" s="91">
        <v>0</v>
      </c>
      <c r="Q16" s="92">
        <v>0</v>
      </c>
      <c r="R16" s="91">
        <v>0</v>
      </c>
      <c r="S16" s="92">
        <v>0</v>
      </c>
      <c r="T16" s="91">
        <v>0</v>
      </c>
      <c r="U16" s="92">
        <v>0</v>
      </c>
      <c r="V16" s="273"/>
    </row>
    <row r="17" spans="1:22" ht="12.75" customHeight="1">
      <c r="A17" s="78" t="s">
        <v>197</v>
      </c>
      <c r="B17" s="98" t="s">
        <v>224</v>
      </c>
      <c r="C17" s="91"/>
      <c r="D17" s="91"/>
      <c r="E17" s="91"/>
      <c r="F17" s="91"/>
      <c r="G17" s="91"/>
      <c r="H17" s="91"/>
      <c r="I17" s="91"/>
      <c r="J17" s="91"/>
      <c r="K17" s="91"/>
      <c r="L17" s="306" t="s">
        <v>204</v>
      </c>
      <c r="M17" s="327"/>
      <c r="N17" s="91"/>
      <c r="O17" s="92"/>
      <c r="P17" s="91"/>
      <c r="Q17" s="92"/>
      <c r="R17" s="91"/>
      <c r="S17" s="92"/>
      <c r="T17" s="91"/>
      <c r="U17" s="92"/>
      <c r="V17" s="273"/>
    </row>
    <row r="18" spans="1:22" ht="12.75" customHeight="1">
      <c r="A18" s="81" t="s">
        <v>198</v>
      </c>
      <c r="B18" s="98" t="s">
        <v>225</v>
      </c>
      <c r="C18" s="91"/>
      <c r="D18" s="91"/>
      <c r="E18" s="91"/>
      <c r="F18" s="91"/>
      <c r="G18" s="91"/>
      <c r="H18" s="91"/>
      <c r="I18" s="91"/>
      <c r="J18" s="91"/>
      <c r="K18" s="91"/>
      <c r="L18" s="306" t="s">
        <v>206</v>
      </c>
      <c r="M18" s="327"/>
      <c r="N18" s="91"/>
      <c r="O18" s="92"/>
      <c r="P18" s="91"/>
      <c r="Q18" s="92"/>
      <c r="R18" s="91"/>
      <c r="S18" s="92"/>
      <c r="T18" s="91"/>
      <c r="U18" s="92"/>
      <c r="V18" s="273"/>
    </row>
    <row r="19" spans="1:22" ht="12.75" customHeight="1">
      <c r="A19" s="78" t="s">
        <v>199</v>
      </c>
      <c r="B19" s="98" t="s">
        <v>226</v>
      </c>
      <c r="C19" s="91"/>
      <c r="D19" s="91"/>
      <c r="E19" s="91"/>
      <c r="F19" s="91"/>
      <c r="G19" s="91"/>
      <c r="H19" s="91"/>
      <c r="I19" s="91"/>
      <c r="J19" s="91"/>
      <c r="K19" s="91"/>
      <c r="L19" s="307" t="s">
        <v>208</v>
      </c>
      <c r="M19" s="327"/>
      <c r="N19" s="91"/>
      <c r="O19" s="92"/>
      <c r="P19" s="91"/>
      <c r="Q19" s="92"/>
      <c r="R19" s="91"/>
      <c r="S19" s="92"/>
      <c r="T19" s="91"/>
      <c r="U19" s="92"/>
      <c r="V19" s="273"/>
    </row>
    <row r="20" spans="1:22" ht="12.75" customHeight="1">
      <c r="A20" s="81" t="s">
        <v>200</v>
      </c>
      <c r="B20" s="99" t="s">
        <v>227</v>
      </c>
      <c r="C20" s="91"/>
      <c r="D20" s="91"/>
      <c r="E20" s="91"/>
      <c r="F20" s="91"/>
      <c r="G20" s="91"/>
      <c r="H20" s="91"/>
      <c r="I20" s="91"/>
      <c r="J20" s="91"/>
      <c r="K20" s="91"/>
      <c r="L20" s="306" t="s">
        <v>228</v>
      </c>
      <c r="M20" s="327"/>
      <c r="N20" s="91"/>
      <c r="O20" s="92"/>
      <c r="P20" s="91"/>
      <c r="Q20" s="92"/>
      <c r="R20" s="91"/>
      <c r="S20" s="92"/>
      <c r="T20" s="91"/>
      <c r="U20" s="92"/>
      <c r="V20" s="273"/>
    </row>
    <row r="21" spans="1:22" ht="12.75" customHeight="1">
      <c r="A21" s="78" t="s">
        <v>202</v>
      </c>
      <c r="B21" s="100" t="s">
        <v>366</v>
      </c>
      <c r="C21" s="93">
        <f aca="true" t="shared" si="6" ref="C21:I21">+C22+C23+C24+C25+C26</f>
        <v>0</v>
      </c>
      <c r="D21" s="93">
        <f t="shared" si="6"/>
        <v>0</v>
      </c>
      <c r="E21" s="93">
        <f t="shared" si="6"/>
        <v>0</v>
      </c>
      <c r="F21" s="93">
        <f t="shared" si="6"/>
        <v>0</v>
      </c>
      <c r="G21" s="93">
        <f t="shared" si="6"/>
        <v>0</v>
      </c>
      <c r="H21" s="93">
        <f t="shared" si="6"/>
        <v>0</v>
      </c>
      <c r="I21" s="93">
        <f t="shared" si="6"/>
        <v>0</v>
      </c>
      <c r="J21" s="93">
        <f>+J22+J23+J24+J25+J26</f>
        <v>0</v>
      </c>
      <c r="K21" s="93">
        <f>+K22+K23+K24+K25+K26</f>
        <v>0</v>
      </c>
      <c r="L21" s="308" t="s">
        <v>229</v>
      </c>
      <c r="M21" s="327"/>
      <c r="N21" s="93">
        <f aca="true" t="shared" si="7" ref="N21:S21">+N22+N23+N24+N25+N26</f>
        <v>0</v>
      </c>
      <c r="O21" s="298">
        <f t="shared" si="7"/>
        <v>0</v>
      </c>
      <c r="P21" s="93">
        <f t="shared" si="7"/>
        <v>0</v>
      </c>
      <c r="Q21" s="298">
        <f t="shared" si="7"/>
        <v>0</v>
      </c>
      <c r="R21" s="93">
        <f t="shared" si="7"/>
        <v>0</v>
      </c>
      <c r="S21" s="298">
        <f t="shared" si="7"/>
        <v>0</v>
      </c>
      <c r="T21" s="93">
        <f>+T22+T23+T24+T25+T26</f>
        <v>0</v>
      </c>
      <c r="U21" s="298">
        <f>+U22+U23+U24+U25+U26</f>
        <v>0</v>
      </c>
      <c r="V21" s="273"/>
    </row>
    <row r="22" spans="1:22" ht="12.75" customHeight="1">
      <c r="A22" s="81" t="s">
        <v>203</v>
      </c>
      <c r="B22" s="99" t="s">
        <v>230</v>
      </c>
      <c r="C22" s="91"/>
      <c r="D22" s="91"/>
      <c r="E22" s="91"/>
      <c r="F22" s="91"/>
      <c r="G22" s="91"/>
      <c r="H22" s="91"/>
      <c r="I22" s="91"/>
      <c r="J22" s="91"/>
      <c r="K22" s="91"/>
      <c r="L22" s="308" t="s">
        <v>231</v>
      </c>
      <c r="M22" s="327"/>
      <c r="N22" s="91"/>
      <c r="O22" s="92"/>
      <c r="P22" s="91"/>
      <c r="Q22" s="92"/>
      <c r="R22" s="91"/>
      <c r="S22" s="92"/>
      <c r="T22" s="91"/>
      <c r="U22" s="92"/>
      <c r="V22" s="273"/>
    </row>
    <row r="23" spans="1:22" ht="12.75" customHeight="1">
      <c r="A23" s="78" t="s">
        <v>205</v>
      </c>
      <c r="B23" s="99" t="s">
        <v>232</v>
      </c>
      <c r="C23" s="91"/>
      <c r="D23" s="91"/>
      <c r="E23" s="91"/>
      <c r="F23" s="91"/>
      <c r="G23" s="91"/>
      <c r="H23" s="91"/>
      <c r="I23" s="91"/>
      <c r="J23" s="91"/>
      <c r="K23" s="91"/>
      <c r="L23" s="309"/>
      <c r="M23" s="327"/>
      <c r="N23" s="91"/>
      <c r="O23" s="92"/>
      <c r="P23" s="91"/>
      <c r="Q23" s="92"/>
      <c r="R23" s="91"/>
      <c r="S23" s="92"/>
      <c r="T23" s="91"/>
      <c r="U23" s="92"/>
      <c r="V23" s="273"/>
    </row>
    <row r="24" spans="1:22" ht="12.75" customHeight="1">
      <c r="A24" s="81" t="s">
        <v>207</v>
      </c>
      <c r="B24" s="98" t="s">
        <v>187</v>
      </c>
      <c r="C24" s="91"/>
      <c r="D24" s="91"/>
      <c r="E24" s="91"/>
      <c r="F24" s="91"/>
      <c r="G24" s="91"/>
      <c r="H24" s="91"/>
      <c r="I24" s="91"/>
      <c r="J24" s="91"/>
      <c r="K24" s="91"/>
      <c r="L24" s="310"/>
      <c r="M24" s="327"/>
      <c r="N24" s="91"/>
      <c r="O24" s="92"/>
      <c r="P24" s="91"/>
      <c r="Q24" s="92"/>
      <c r="R24" s="91"/>
      <c r="S24" s="92"/>
      <c r="T24" s="91"/>
      <c r="U24" s="92"/>
      <c r="V24" s="273"/>
    </row>
    <row r="25" spans="1:22" ht="12.75" customHeight="1">
      <c r="A25" s="78" t="s">
        <v>209</v>
      </c>
      <c r="B25" s="101" t="s">
        <v>233</v>
      </c>
      <c r="C25" s="91"/>
      <c r="D25" s="91"/>
      <c r="E25" s="91"/>
      <c r="F25" s="91"/>
      <c r="G25" s="91"/>
      <c r="H25" s="91"/>
      <c r="I25" s="91"/>
      <c r="J25" s="91"/>
      <c r="K25" s="91"/>
      <c r="L25" s="311"/>
      <c r="M25" s="327"/>
      <c r="N25" s="91"/>
      <c r="O25" s="92"/>
      <c r="P25" s="91"/>
      <c r="Q25" s="92"/>
      <c r="R25" s="91"/>
      <c r="S25" s="92"/>
      <c r="T25" s="91"/>
      <c r="U25" s="92"/>
      <c r="V25" s="273"/>
    </row>
    <row r="26" spans="1:22" ht="12.75" customHeight="1" thickBot="1">
      <c r="A26" s="81" t="s">
        <v>210</v>
      </c>
      <c r="B26" s="102" t="s">
        <v>234</v>
      </c>
      <c r="C26" s="91"/>
      <c r="D26" s="91"/>
      <c r="E26" s="91"/>
      <c r="F26" s="91"/>
      <c r="G26" s="91"/>
      <c r="H26" s="91"/>
      <c r="I26" s="91"/>
      <c r="J26" s="91"/>
      <c r="K26" s="91"/>
      <c r="L26" s="310"/>
      <c r="M26" s="328"/>
      <c r="N26" s="329"/>
      <c r="O26" s="105"/>
      <c r="P26" s="329"/>
      <c r="Q26" s="105"/>
      <c r="R26" s="329"/>
      <c r="S26" s="105"/>
      <c r="T26" s="329"/>
      <c r="U26" s="105"/>
      <c r="V26" s="273"/>
    </row>
    <row r="27" spans="1:22" ht="21.75" customHeight="1" thickBot="1">
      <c r="A27" s="88" t="s">
        <v>211</v>
      </c>
      <c r="B27" s="89" t="s">
        <v>367</v>
      </c>
      <c r="C27" s="90">
        <f aca="true" t="shared" si="8" ref="C27:I27">+C15+C21</f>
        <v>88071346</v>
      </c>
      <c r="D27" s="90">
        <f t="shared" si="8"/>
        <v>0</v>
      </c>
      <c r="E27" s="90">
        <f t="shared" si="8"/>
        <v>88071346</v>
      </c>
      <c r="F27" s="90">
        <f t="shared" si="8"/>
        <v>0</v>
      </c>
      <c r="G27" s="90">
        <f t="shared" si="8"/>
        <v>88071346</v>
      </c>
      <c r="H27" s="90">
        <f t="shared" si="8"/>
        <v>0</v>
      </c>
      <c r="I27" s="90">
        <f t="shared" si="8"/>
        <v>88071346</v>
      </c>
      <c r="J27" s="90">
        <f>+J15+J21</f>
        <v>0</v>
      </c>
      <c r="K27" s="90">
        <f>+K15+K21</f>
        <v>88071346</v>
      </c>
      <c r="L27" s="305" t="s">
        <v>370</v>
      </c>
      <c r="M27" s="314">
        <f>SUM(M15:M26)</f>
        <v>0</v>
      </c>
      <c r="N27" s="314">
        <f aca="true" t="shared" si="9" ref="N27:S27">+N15+N21</f>
        <v>0</v>
      </c>
      <c r="O27" s="314">
        <f t="shared" si="9"/>
        <v>0</v>
      </c>
      <c r="P27" s="314">
        <f t="shared" si="9"/>
        <v>0</v>
      </c>
      <c r="Q27" s="314">
        <f t="shared" si="9"/>
        <v>0</v>
      </c>
      <c r="R27" s="314">
        <f t="shared" si="9"/>
        <v>0</v>
      </c>
      <c r="S27" s="314">
        <f t="shared" si="9"/>
        <v>0</v>
      </c>
      <c r="T27" s="314">
        <f>+T15+T21</f>
        <v>0</v>
      </c>
      <c r="U27" s="314">
        <f>+U15+U21</f>
        <v>0</v>
      </c>
      <c r="V27" s="273"/>
    </row>
    <row r="28" spans="1:22" ht="13.5" thickBot="1">
      <c r="A28" s="88" t="s">
        <v>212</v>
      </c>
      <c r="B28" s="94" t="s">
        <v>368</v>
      </c>
      <c r="C28" s="95">
        <f>+C14+C27</f>
        <v>174257301</v>
      </c>
      <c r="D28" s="95">
        <f aca="true" t="shared" si="10" ref="D28:I28">+D14+D27</f>
        <v>3706875</v>
      </c>
      <c r="E28" s="95">
        <f t="shared" si="10"/>
        <v>177964176</v>
      </c>
      <c r="F28" s="95">
        <f t="shared" si="10"/>
        <v>0</v>
      </c>
      <c r="G28" s="95">
        <f t="shared" si="10"/>
        <v>177964176</v>
      </c>
      <c r="H28" s="95">
        <f t="shared" si="10"/>
        <v>0</v>
      </c>
      <c r="I28" s="95">
        <f t="shared" si="10"/>
        <v>177964176</v>
      </c>
      <c r="J28" s="95">
        <f>+J14+J27</f>
        <v>0</v>
      </c>
      <c r="K28" s="95">
        <f>+K14+K27</f>
        <v>177964176</v>
      </c>
      <c r="L28" s="312" t="s">
        <v>371</v>
      </c>
      <c r="M28" s="315">
        <f>+M14+M27</f>
        <v>191683691</v>
      </c>
      <c r="N28" s="315">
        <f aca="true" t="shared" si="11" ref="N28:S28">+N14+N27</f>
        <v>3706875</v>
      </c>
      <c r="O28" s="315">
        <f t="shared" si="11"/>
        <v>195390566</v>
      </c>
      <c r="P28" s="315">
        <f t="shared" si="11"/>
        <v>-3717000</v>
      </c>
      <c r="Q28" s="315">
        <f t="shared" si="11"/>
        <v>191673566</v>
      </c>
      <c r="R28" s="315">
        <f t="shared" si="11"/>
        <v>-3200000</v>
      </c>
      <c r="S28" s="315">
        <f t="shared" si="11"/>
        <v>188473566</v>
      </c>
      <c r="T28" s="315">
        <f>+T14+T27</f>
        <v>-10020772</v>
      </c>
      <c r="U28" s="315">
        <f>+U14+U27</f>
        <v>178452794</v>
      </c>
      <c r="V28" s="273"/>
    </row>
    <row r="29" spans="1:21" ht="13.5" thickBot="1">
      <c r="A29" s="337" t="s">
        <v>461</v>
      </c>
      <c r="B29" s="94" t="s">
        <v>462</v>
      </c>
      <c r="C29" s="95">
        <f>M14-C14</f>
        <v>105497736</v>
      </c>
      <c r="D29" s="95">
        <f>N14-D14</f>
        <v>0</v>
      </c>
      <c r="E29" s="95">
        <f>O14-E14</f>
        <v>105497736</v>
      </c>
      <c r="F29" s="95">
        <f>P14-F14</f>
        <v>-3717000</v>
      </c>
      <c r="G29" s="95">
        <f>Q14-G14</f>
        <v>101780736</v>
      </c>
      <c r="H29" s="95" t="s">
        <v>473</v>
      </c>
      <c r="I29" s="95">
        <f>S14-I14</f>
        <v>98580736</v>
      </c>
      <c r="J29" s="95"/>
      <c r="K29" s="95">
        <f>U14-K14</f>
        <v>88559964</v>
      </c>
      <c r="L29" s="94" t="s">
        <v>463</v>
      </c>
      <c r="M29" s="95" t="s">
        <v>473</v>
      </c>
      <c r="N29" s="95">
        <f>D14-N14</f>
        <v>0</v>
      </c>
      <c r="O29" s="95">
        <f>E14-O14</f>
        <v>-105497736</v>
      </c>
      <c r="P29" s="95">
        <f>F14-P14</f>
        <v>3717000</v>
      </c>
      <c r="Q29" s="95" t="s">
        <v>473</v>
      </c>
      <c r="R29" s="95">
        <f>H14-R14</f>
        <v>3200000</v>
      </c>
      <c r="S29" s="95" t="s">
        <v>473</v>
      </c>
      <c r="T29" s="95" t="s">
        <v>473</v>
      </c>
      <c r="U29" s="95" t="s">
        <v>473</v>
      </c>
    </row>
    <row r="30" spans="1:21" ht="16.5" customHeight="1" thickBot="1">
      <c r="A30" s="337" t="s">
        <v>464</v>
      </c>
      <c r="B30" s="94" t="s">
        <v>465</v>
      </c>
      <c r="C30" s="95">
        <f>M28-C28</f>
        <v>17426390</v>
      </c>
      <c r="D30" s="95">
        <f>N28-D28</f>
        <v>0</v>
      </c>
      <c r="E30" s="95">
        <f>O28-E28</f>
        <v>17426390</v>
      </c>
      <c r="F30" s="95">
        <f>P28-F28</f>
        <v>-3717000</v>
      </c>
      <c r="G30" s="95">
        <f>Q28-G28</f>
        <v>13709390</v>
      </c>
      <c r="H30" s="95" t="s">
        <v>473</v>
      </c>
      <c r="I30" s="95">
        <f>S28-I28</f>
        <v>10509390</v>
      </c>
      <c r="J30" s="95"/>
      <c r="K30" s="95">
        <f>U28-K28</f>
        <v>488618</v>
      </c>
      <c r="L30" s="94" t="s">
        <v>466</v>
      </c>
      <c r="M30" s="95" t="s">
        <v>473</v>
      </c>
      <c r="N30" s="95">
        <f>D28-N28</f>
        <v>0</v>
      </c>
      <c r="O30" s="95">
        <f>E28-O28</f>
        <v>-17426390</v>
      </c>
      <c r="P30" s="95">
        <f>F28-P28</f>
        <v>3717000</v>
      </c>
      <c r="Q30" s="95" t="s">
        <v>473</v>
      </c>
      <c r="R30" s="95">
        <f>H28-R28</f>
        <v>3200000</v>
      </c>
      <c r="S30" s="95" t="s">
        <v>473</v>
      </c>
      <c r="T30" s="95" t="s">
        <v>473</v>
      </c>
      <c r="U30" s="95" t="s">
        <v>473</v>
      </c>
    </row>
  </sheetData>
  <sheetProtection/>
  <mergeCells count="4">
    <mergeCell ref="A2:B2"/>
    <mergeCell ref="A3:B3"/>
    <mergeCell ref="A4:A5"/>
    <mergeCell ref="A1:U1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67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17"/>
  <sheetViews>
    <sheetView zoomScaleSheetLayoutView="80" zoomScalePageLayoutView="0" workbookViewId="0" topLeftCell="A1">
      <selection activeCell="A5" sqref="A5:B5"/>
    </sheetView>
  </sheetViews>
  <sheetFormatPr defaultColWidth="9.140625" defaultRowHeight="12.75"/>
  <cols>
    <col min="1" max="1" width="8.421875" style="366" customWidth="1"/>
    <col min="2" max="2" width="44.421875" style="366" customWidth="1"/>
    <col min="3" max="3" width="5.421875" style="366" hidden="1" customWidth="1"/>
    <col min="4" max="4" width="14.7109375" style="366" customWidth="1"/>
    <col min="5" max="5" width="21.140625" style="366" customWidth="1"/>
    <col min="6" max="16384" width="11.421875" style="366" customWidth="1"/>
  </cols>
  <sheetData>
    <row r="1" spans="1:5" ht="15.75">
      <c r="A1" s="554" t="s">
        <v>487</v>
      </c>
      <c r="B1" s="554"/>
      <c r="C1" s="554"/>
      <c r="D1" s="554"/>
      <c r="E1" s="554"/>
    </row>
    <row r="2" spans="1:5" ht="15.75">
      <c r="A2" s="365"/>
      <c r="B2" s="365"/>
      <c r="C2" s="365"/>
      <c r="D2" s="365"/>
      <c r="E2" s="365"/>
    </row>
    <row r="3" spans="1:5" ht="12.75" customHeight="1">
      <c r="A3" s="367"/>
      <c r="B3" s="367"/>
      <c r="C3" s="367"/>
      <c r="D3" s="367"/>
      <c r="E3" s="368"/>
    </row>
    <row r="4" spans="1:5" ht="15" customHeight="1">
      <c r="A4" s="541" t="s">
        <v>578</v>
      </c>
      <c r="B4" s="541"/>
      <c r="C4" s="369"/>
      <c r="D4" s="369"/>
      <c r="E4" s="390" t="s">
        <v>320</v>
      </c>
    </row>
    <row r="5" spans="1:5" ht="15.75" thickBot="1">
      <c r="A5" s="540" t="s">
        <v>500</v>
      </c>
      <c r="B5" s="540"/>
      <c r="C5" s="369"/>
      <c r="D5" s="369"/>
      <c r="E5" s="369"/>
    </row>
    <row r="6" spans="1:5" ht="15.75" customHeight="1" thickBot="1">
      <c r="A6" s="555" t="s">
        <v>488</v>
      </c>
      <c r="B6" s="556" t="s">
        <v>489</v>
      </c>
      <c r="C6" s="556"/>
      <c r="D6" s="557" t="s">
        <v>362</v>
      </c>
      <c r="E6" s="556" t="s">
        <v>490</v>
      </c>
    </row>
    <row r="7" spans="1:5" ht="15.75" customHeight="1" thickBot="1">
      <c r="A7" s="555"/>
      <c r="B7" s="556"/>
      <c r="C7" s="556"/>
      <c r="D7" s="558"/>
      <c r="E7" s="556"/>
    </row>
    <row r="8" spans="1:5" ht="15.75" customHeight="1" thickBot="1">
      <c r="A8" s="555"/>
      <c r="B8" s="556"/>
      <c r="C8" s="556"/>
      <c r="D8" s="558"/>
      <c r="E8" s="556"/>
    </row>
    <row r="9" spans="1:5" ht="15.75" customHeight="1" thickBot="1">
      <c r="A9" s="555"/>
      <c r="B9" s="556"/>
      <c r="C9" s="556"/>
      <c r="D9" s="559"/>
      <c r="E9" s="556"/>
    </row>
    <row r="10" spans="1:5" s="375" customFormat="1" ht="27.75" customHeight="1">
      <c r="A10" s="370" t="s">
        <v>491</v>
      </c>
      <c r="B10" s="371" t="s">
        <v>492</v>
      </c>
      <c r="C10" s="372"/>
      <c r="D10" s="373">
        <f>SUM(D11:D14)</f>
        <v>30990673</v>
      </c>
      <c r="E10" s="374" t="s">
        <v>493</v>
      </c>
    </row>
    <row r="11" spans="1:5" s="375" customFormat="1" ht="27.75" customHeight="1">
      <c r="A11" s="376"/>
      <c r="B11" s="377" t="s">
        <v>494</v>
      </c>
      <c r="C11" s="378"/>
      <c r="D11" s="379">
        <v>11287503</v>
      </c>
      <c r="E11" s="380"/>
    </row>
    <row r="12" spans="1:5" s="375" customFormat="1" ht="27.75" customHeight="1">
      <c r="A12" s="376"/>
      <c r="B12" s="377" t="s">
        <v>495</v>
      </c>
      <c r="C12" s="378"/>
      <c r="D12" s="379">
        <v>9738150</v>
      </c>
      <c r="E12" s="380"/>
    </row>
    <row r="13" spans="1:5" s="375" customFormat="1" ht="27.75" customHeight="1">
      <c r="A13" s="376"/>
      <c r="B13" s="381" t="s">
        <v>372</v>
      </c>
      <c r="C13" s="378"/>
      <c r="D13" s="379">
        <v>9965020</v>
      </c>
      <c r="E13" s="380"/>
    </row>
    <row r="14" spans="1:5" s="375" customFormat="1" ht="27.75" customHeight="1">
      <c r="A14" s="376"/>
      <c r="B14" s="381" t="s">
        <v>496</v>
      </c>
      <c r="C14" s="378"/>
      <c r="D14" s="379">
        <v>0</v>
      </c>
      <c r="E14" s="380"/>
    </row>
    <row r="15" spans="1:5" s="375" customFormat="1" ht="27.75" customHeight="1">
      <c r="A15" s="370" t="s">
        <v>497</v>
      </c>
      <c r="B15" s="382" t="s">
        <v>498</v>
      </c>
      <c r="C15" s="383"/>
      <c r="D15" s="373">
        <v>4500000</v>
      </c>
      <c r="E15" s="374" t="s">
        <v>493</v>
      </c>
    </row>
    <row r="16" spans="1:5" ht="27.75" customHeight="1" thickBot="1">
      <c r="A16" s="384"/>
      <c r="B16" s="385" t="s">
        <v>499</v>
      </c>
      <c r="C16" s="386"/>
      <c r="D16" s="387">
        <f>D10+D15</f>
        <v>35490673</v>
      </c>
      <c r="E16" s="388"/>
    </row>
    <row r="17" spans="1:5" ht="16.5" customHeight="1">
      <c r="A17" s="389"/>
      <c r="B17" s="389"/>
      <c r="C17" s="389"/>
      <c r="D17" s="389"/>
      <c r="E17" s="389"/>
    </row>
  </sheetData>
  <sheetProtection/>
  <mergeCells count="8">
    <mergeCell ref="A1:E1"/>
    <mergeCell ref="A6:A9"/>
    <mergeCell ref="B6:B9"/>
    <mergeCell ref="C6:C9"/>
    <mergeCell ref="D6:D9"/>
    <mergeCell ref="E6:E9"/>
    <mergeCell ref="A4:B4"/>
    <mergeCell ref="A5:B5"/>
  </mergeCells>
  <printOptions horizontalCentered="1"/>
  <pageMargins left="0.2362204724409449" right="0.2362204724409449" top="1.51" bottom="0.1968503937007874" header="0.94" footer="0.196850393700787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2018-08-19T06:00:57Z</cp:lastPrinted>
  <dcterms:created xsi:type="dcterms:W3CDTF">2014-10-28T13:28:45Z</dcterms:created>
  <dcterms:modified xsi:type="dcterms:W3CDTF">2018-08-29T13:04:07Z</dcterms:modified>
  <cp:category/>
  <cp:version/>
  <cp:contentType/>
  <cp:contentStatus/>
</cp:coreProperties>
</file>