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rendelet" sheetId="1" r:id="rId1"/>
    <sheet name="bevételek" sheetId="2" r:id="rId2"/>
    <sheet name="kiadások" sheetId="3" r:id="rId3"/>
    <sheet name="3_melléklet" sheetId="4" r:id="rId4"/>
    <sheet name="4_ melléklet" sheetId="5" r:id="rId5"/>
    <sheet name="5_melléklet" sheetId="6" r:id="rId6"/>
    <sheet name="6_melléklet" sheetId="7" r:id="rId7"/>
    <sheet name="7_melléklet" sheetId="8" r:id="rId8"/>
    <sheet name="8_melléklet" sheetId="9" r:id="rId9"/>
    <sheet name="9_melléklet" sheetId="10" r:id="rId10"/>
    <sheet name="10_melléklet" sheetId="11" r:id="rId11"/>
    <sheet name="11_sz_melléklet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3" hidden="1">'3_melléklet'!$A$43:$A$56</definedName>
    <definedName name="Excel_BuiltIn_Print_Titles_9" localSheetId="10">#REF!</definedName>
    <definedName name="Excel_BuiltIn_Print_Titles_9" localSheetId="11">#REF!</definedName>
    <definedName name="Excel_BuiltIn_Print_Titles_9" localSheetId="6">#REF!</definedName>
    <definedName name="Excel_BuiltIn_Print_Titles_9" localSheetId="8">#REF!</definedName>
    <definedName name="Excel_BuiltIn_Print_Titles_9" localSheetId="9">#REF!</definedName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I63" i="11"/>
  <c r="I60"/>
  <c r="I58"/>
  <c r="I56"/>
  <c r="B54"/>
  <c r="I54" s="1"/>
  <c r="I52"/>
  <c r="B52"/>
  <c r="B50"/>
  <c r="I50" s="1"/>
  <c r="I48"/>
  <c r="I46"/>
  <c r="F46"/>
  <c r="I44"/>
  <c r="F44"/>
  <c r="C44"/>
  <c r="B44"/>
  <c r="H43"/>
  <c r="H45" s="1"/>
  <c r="H47" s="1"/>
  <c r="H49" s="1"/>
  <c r="H51" s="1"/>
  <c r="H53" s="1"/>
  <c r="H55" s="1"/>
  <c r="H57" s="1"/>
  <c r="H59" s="1"/>
  <c r="H61" s="1"/>
  <c r="H62" s="1"/>
  <c r="G43"/>
  <c r="G45" s="1"/>
  <c r="G47" s="1"/>
  <c r="G49" s="1"/>
  <c r="G51" s="1"/>
  <c r="G53" s="1"/>
  <c r="G55" s="1"/>
  <c r="G57" s="1"/>
  <c r="G59" s="1"/>
  <c r="G61" s="1"/>
  <c r="E43"/>
  <c r="E45" s="1"/>
  <c r="E47" s="1"/>
  <c r="E49" s="1"/>
  <c r="E51" s="1"/>
  <c r="E53" s="1"/>
  <c r="E55" s="1"/>
  <c r="E57" s="1"/>
  <c r="E59" s="1"/>
  <c r="E61" s="1"/>
  <c r="E62" s="1"/>
  <c r="D43"/>
  <c r="D45" s="1"/>
  <c r="D47" s="1"/>
  <c r="D49" s="1"/>
  <c r="D51" s="1"/>
  <c r="D53" s="1"/>
  <c r="D55" s="1"/>
  <c r="D57" s="1"/>
  <c r="D59" s="1"/>
  <c r="D61" s="1"/>
  <c r="D62" s="1"/>
  <c r="C43"/>
  <c r="C45" s="1"/>
  <c r="C47" s="1"/>
  <c r="C49" s="1"/>
  <c r="C51" s="1"/>
  <c r="C53" s="1"/>
  <c r="C55" s="1"/>
  <c r="C57" s="1"/>
  <c r="C59" s="1"/>
  <c r="C61" s="1"/>
  <c r="C62" s="1"/>
  <c r="B43"/>
  <c r="B45" s="1"/>
  <c r="I42"/>
  <c r="F42"/>
  <c r="H41"/>
  <c r="F41"/>
  <c r="F43" s="1"/>
  <c r="F45" s="1"/>
  <c r="F47" s="1"/>
  <c r="F49" s="1"/>
  <c r="F51" s="1"/>
  <c r="F53" s="1"/>
  <c r="F55" s="1"/>
  <c r="F57" s="1"/>
  <c r="F59" s="1"/>
  <c r="F61" s="1"/>
  <c r="F62" s="1"/>
  <c r="H30"/>
  <c r="D27"/>
  <c r="H27" s="1"/>
  <c r="I27" s="1"/>
  <c r="H25"/>
  <c r="I25" s="1"/>
  <c r="D25"/>
  <c r="D23"/>
  <c r="H23" s="1"/>
  <c r="I23" s="1"/>
  <c r="H21"/>
  <c r="D21"/>
  <c r="D19"/>
  <c r="H19" s="1"/>
  <c r="I19" s="1"/>
  <c r="F17"/>
  <c r="D17"/>
  <c r="H17" s="1"/>
  <c r="I17" s="1"/>
  <c r="H15"/>
  <c r="I15" s="1"/>
  <c r="D15"/>
  <c r="I13"/>
  <c r="H13"/>
  <c r="D13"/>
  <c r="H11"/>
  <c r="I11" s="1"/>
  <c r="D11"/>
  <c r="G10"/>
  <c r="G12" s="1"/>
  <c r="G14" s="1"/>
  <c r="G16" s="1"/>
  <c r="G18" s="1"/>
  <c r="G20" s="1"/>
  <c r="G22" s="1"/>
  <c r="G24" s="1"/>
  <c r="G26" s="1"/>
  <c r="G28" s="1"/>
  <c r="G29" s="1"/>
  <c r="F10"/>
  <c r="F12" s="1"/>
  <c r="F14" s="1"/>
  <c r="F16" s="1"/>
  <c r="F18" s="1"/>
  <c r="F20" s="1"/>
  <c r="F22" s="1"/>
  <c r="F24" s="1"/>
  <c r="F26" s="1"/>
  <c r="F28" s="1"/>
  <c r="F29" s="1"/>
  <c r="E10"/>
  <c r="E12" s="1"/>
  <c r="E14" s="1"/>
  <c r="E16" s="1"/>
  <c r="E18" s="1"/>
  <c r="E20" s="1"/>
  <c r="E22" s="1"/>
  <c r="E24" s="1"/>
  <c r="E26" s="1"/>
  <c r="E28" s="1"/>
  <c r="C10"/>
  <c r="C12" s="1"/>
  <c r="C14" s="1"/>
  <c r="C16" s="1"/>
  <c r="C18" s="1"/>
  <c r="C20" s="1"/>
  <c r="C22" s="1"/>
  <c r="C24" s="1"/>
  <c r="C26" s="1"/>
  <c r="C28" s="1"/>
  <c r="C29" s="1"/>
  <c r="B10"/>
  <c r="D9"/>
  <c r="D10" s="1"/>
  <c r="D12" s="1"/>
  <c r="D14" s="1"/>
  <c r="D16" s="1"/>
  <c r="D18" s="1"/>
  <c r="D20" s="1"/>
  <c r="D22" s="1"/>
  <c r="D24" s="1"/>
  <c r="D26" s="1"/>
  <c r="D28" s="1"/>
  <c r="D29" s="1"/>
  <c r="H8"/>
  <c r="B42" i="10"/>
  <c r="B41"/>
  <c r="B40"/>
  <c r="B39"/>
  <c r="B44" s="1"/>
  <c r="E29"/>
  <c r="D29"/>
  <c r="C29"/>
  <c r="B29"/>
  <c r="E26"/>
  <c r="D26"/>
  <c r="C26"/>
  <c r="B26"/>
  <c r="G23"/>
  <c r="F23"/>
  <c r="G19"/>
  <c r="F19"/>
  <c r="G16"/>
  <c r="G29" s="1"/>
  <c r="F16"/>
  <c r="F29" s="1"/>
  <c r="G14"/>
  <c r="G26" s="1"/>
  <c r="F14"/>
  <c r="F26" s="1"/>
  <c r="F44" i="9"/>
  <c r="E44"/>
  <c r="D44"/>
  <c r="C44"/>
  <c r="B44"/>
  <c r="G42"/>
  <c r="G40"/>
  <c r="G39"/>
  <c r="G44" s="1"/>
  <c r="G38"/>
  <c r="H35"/>
  <c r="G35"/>
  <c r="F35"/>
  <c r="E35"/>
  <c r="D35"/>
  <c r="C35"/>
  <c r="B35"/>
  <c r="E21"/>
  <c r="D21"/>
  <c r="C21"/>
  <c r="B21"/>
  <c r="G20"/>
  <c r="G19"/>
  <c r="G21" s="1"/>
  <c r="F19"/>
  <c r="F21" s="1"/>
  <c r="H16"/>
  <c r="G16"/>
  <c r="F16"/>
  <c r="E16"/>
  <c r="D16"/>
  <c r="C16"/>
  <c r="B16"/>
  <c r="C162" i="8"/>
  <c r="D161"/>
  <c r="B161"/>
  <c r="D155"/>
  <c r="B155"/>
  <c r="D137"/>
  <c r="D146" s="1"/>
  <c r="B137"/>
  <c r="B146" s="1"/>
  <c r="D126"/>
  <c r="B126"/>
  <c r="B156" s="1"/>
  <c r="C106"/>
  <c r="B106"/>
  <c r="D102"/>
  <c r="D100"/>
  <c r="D106" s="1"/>
  <c r="B100"/>
  <c r="B90"/>
  <c r="D80"/>
  <c r="D90" s="1"/>
  <c r="B80"/>
  <c r="D79"/>
  <c r="B79"/>
  <c r="D65"/>
  <c r="D91" s="1"/>
  <c r="B65"/>
  <c r="B91" s="1"/>
  <c r="D51"/>
  <c r="B51"/>
  <c r="D45"/>
  <c r="D44"/>
  <c r="B44"/>
  <c r="B45" s="1"/>
  <c r="B38"/>
  <c r="B30"/>
  <c r="D26"/>
  <c r="D30" s="1"/>
  <c r="D97" s="1"/>
  <c r="B26"/>
  <c r="D18"/>
  <c r="C18"/>
  <c r="C30" s="1"/>
  <c r="C97" s="1"/>
  <c r="B18"/>
  <c r="D12"/>
  <c r="B12"/>
  <c r="E39" i="7"/>
  <c r="E41" s="1"/>
  <c r="D39"/>
  <c r="C39"/>
  <c r="E33"/>
  <c r="D33"/>
  <c r="C33"/>
  <c r="A31"/>
  <c r="A32" s="1"/>
  <c r="A33" s="1"/>
  <c r="A34" s="1"/>
  <c r="A35" s="1"/>
  <c r="A36" s="1"/>
  <c r="A37" s="1"/>
  <c r="A38" s="1"/>
  <c r="A39" s="1"/>
  <c r="A40" s="1"/>
  <c r="A41" s="1"/>
  <c r="E26"/>
  <c r="D26"/>
  <c r="D41" s="1"/>
  <c r="C26"/>
  <c r="C41" s="1"/>
  <c r="C19"/>
  <c r="C40" s="1"/>
  <c r="E14"/>
  <c r="D14"/>
  <c r="C14"/>
  <c r="E13"/>
  <c r="E19" s="1"/>
  <c r="E40" s="1"/>
  <c r="D13"/>
  <c r="D19" s="1"/>
  <c r="D40" s="1"/>
  <c r="C13"/>
  <c r="B721" i="6"/>
  <c r="B723" s="1"/>
  <c r="B719"/>
  <c r="B715"/>
  <c r="B713"/>
  <c r="B709"/>
  <c r="B704"/>
  <c r="B700"/>
  <c r="B688"/>
  <c r="B689" s="1"/>
  <c r="B686"/>
  <c r="B690" s="1"/>
  <c r="B691" s="1"/>
  <c r="B681"/>
  <c r="B675"/>
  <c r="B661"/>
  <c r="B663" s="1"/>
  <c r="B656"/>
  <c r="B660" s="1"/>
  <c r="B655"/>
  <c r="B651"/>
  <c r="B649"/>
  <c r="B652" s="1"/>
  <c r="B647"/>
  <c r="B731" s="1"/>
  <c r="B22" i="3" s="1"/>
  <c r="B102" i="1" s="1"/>
  <c r="I102" s="1"/>
  <c r="B641" i="6"/>
  <c r="B730" s="1"/>
  <c r="B630"/>
  <c r="B631" s="1"/>
  <c r="B632" s="1"/>
  <c r="B625"/>
  <c r="B621"/>
  <c r="B626" s="1"/>
  <c r="B603"/>
  <c r="B602"/>
  <c r="B601"/>
  <c r="B598"/>
  <c r="B594"/>
  <c r="B591"/>
  <c r="B586"/>
  <c r="B604" s="1"/>
  <c r="B582"/>
  <c r="B576"/>
  <c r="B605" s="1"/>
  <c r="B564"/>
  <c r="B565" s="1"/>
  <c r="B566" s="1"/>
  <c r="B560"/>
  <c r="B567" s="1"/>
  <c r="B555"/>
  <c r="B543"/>
  <c r="B541"/>
  <c r="B538"/>
  <c r="B535"/>
  <c r="B534"/>
  <c r="B533"/>
  <c r="B530"/>
  <c r="B528"/>
  <c r="B544" s="1"/>
  <c r="B545" s="1"/>
  <c r="B527"/>
  <c r="B526"/>
  <c r="B523"/>
  <c r="B517"/>
  <c r="B508"/>
  <c r="B510" s="1"/>
  <c r="B506"/>
  <c r="B505"/>
  <c r="B504"/>
  <c r="B488"/>
  <c r="B484"/>
  <c r="B480"/>
  <c r="B476"/>
  <c r="B475"/>
  <c r="B489" s="1"/>
  <c r="B490" s="1"/>
  <c r="B473"/>
  <c r="B467"/>
  <c r="B461"/>
  <c r="B450"/>
  <c r="B451" s="1"/>
  <c r="B448"/>
  <c r="B447"/>
  <c r="B445"/>
  <c r="B443"/>
  <c r="B439"/>
  <c r="B436"/>
  <c r="B431"/>
  <c r="B426"/>
  <c r="B609" s="1"/>
  <c r="B21" i="3" s="1"/>
  <c r="B101" i="1" s="1"/>
  <c r="I101" s="1"/>
  <c r="B420" i="6"/>
  <c r="B408"/>
  <c r="B407"/>
  <c r="B406"/>
  <c r="B409" s="1"/>
  <c r="B400"/>
  <c r="B394"/>
  <c r="B378"/>
  <c r="B380" s="1"/>
  <c r="B377"/>
  <c r="B370"/>
  <c r="B379" s="1"/>
  <c r="B369"/>
  <c r="B373" s="1"/>
  <c r="B368"/>
  <c r="B365"/>
  <c r="B361"/>
  <c r="B356"/>
  <c r="B350"/>
  <c r="B340"/>
  <c r="B336"/>
  <c r="B342" s="1"/>
  <c r="B325"/>
  <c r="B321"/>
  <c r="B327" s="1"/>
  <c r="B304"/>
  <c r="B302"/>
  <c r="B299"/>
  <c r="B293"/>
  <c r="B291"/>
  <c r="B288"/>
  <c r="B282"/>
  <c r="B279"/>
  <c r="B284" s="1"/>
  <c r="B265"/>
  <c r="B260"/>
  <c r="B262" s="1"/>
  <c r="B256"/>
  <c r="B253"/>
  <c r="B252"/>
  <c r="B248"/>
  <c r="B245"/>
  <c r="B244"/>
  <c r="B264" s="1"/>
  <c r="B267" s="1"/>
  <c r="B240"/>
  <c r="B308" s="1"/>
  <c r="B20" i="3" s="1"/>
  <c r="B100" i="1" s="1"/>
  <c r="I100" s="1"/>
  <c r="B234" i="6"/>
  <c r="B227"/>
  <c r="B214"/>
  <c r="B212"/>
  <c r="B211"/>
  <c r="B210"/>
  <c r="B215" s="1"/>
  <c r="B217" s="1"/>
  <c r="B209"/>
  <c r="B208"/>
  <c r="B207"/>
  <c r="B219" s="1"/>
  <c r="B191"/>
  <c r="B182"/>
  <c r="B178"/>
  <c r="B176"/>
  <c r="B179" s="1"/>
  <c r="B173"/>
  <c r="B167"/>
  <c r="B151"/>
  <c r="B146"/>
  <c r="B145"/>
  <c r="B144"/>
  <c r="B147" s="1"/>
  <c r="B143"/>
  <c r="B140"/>
  <c r="B137"/>
  <c r="B154" s="1"/>
  <c r="B155" s="1"/>
  <c r="B136"/>
  <c r="B133"/>
  <c r="B127"/>
  <c r="B112"/>
  <c r="B108"/>
  <c r="B113" s="1"/>
  <c r="B115" s="1"/>
  <c r="B116" s="1"/>
  <c r="B118" s="1"/>
  <c r="B106"/>
  <c r="B103"/>
  <c r="B90"/>
  <c r="B89"/>
  <c r="B91" s="1"/>
  <c r="B92" s="1"/>
  <c r="B94" s="1"/>
  <c r="B96" s="1"/>
  <c r="B83"/>
  <c r="B79"/>
  <c r="B85" s="1"/>
  <c r="B73"/>
  <c r="B71"/>
  <c r="B67"/>
  <c r="B58"/>
  <c r="B57"/>
  <c r="B56"/>
  <c r="B53"/>
  <c r="B60" s="1"/>
  <c r="B62" s="1"/>
  <c r="B43"/>
  <c r="B42"/>
  <c r="B40"/>
  <c r="B38"/>
  <c r="B36"/>
  <c r="B32"/>
  <c r="B30"/>
  <c r="B45" s="1"/>
  <c r="B24"/>
  <c r="B21"/>
  <c r="B13"/>
  <c r="B14" s="1"/>
  <c r="B15" s="1"/>
  <c r="B12"/>
  <c r="B11"/>
  <c r="B41" i="5"/>
  <c r="B40"/>
  <c r="B35"/>
  <c r="B29"/>
  <c r="B27"/>
  <c r="B25"/>
  <c r="B36" i="3" s="1"/>
  <c r="B23" i="5"/>
  <c r="B22"/>
  <c r="B20"/>
  <c r="B19"/>
  <c r="B18" s="1"/>
  <c r="B35" i="3" s="1"/>
  <c r="B12" i="5"/>
  <c r="B10" s="1"/>
  <c r="B6" s="1"/>
  <c r="B193" i="6" s="1"/>
  <c r="B104" i="4"/>
  <c r="B102" s="1"/>
  <c r="B99"/>
  <c r="B97"/>
  <c r="B95" s="1"/>
  <c r="B89"/>
  <c r="B87"/>
  <c r="B85"/>
  <c r="B84"/>
  <c r="B82" s="1"/>
  <c r="B80"/>
  <c r="B77" s="1"/>
  <c r="B73" s="1"/>
  <c r="B8" i="2" s="1"/>
  <c r="B20" i="1" s="1"/>
  <c r="B71" i="4"/>
  <c r="B68"/>
  <c r="B64"/>
  <c r="B61"/>
  <c r="B60" s="1"/>
  <c r="B56" s="1"/>
  <c r="B7" i="2" s="1"/>
  <c r="B19" i="1" s="1"/>
  <c r="B48" i="4"/>
  <c r="B47"/>
  <c r="B44"/>
  <c r="B43"/>
  <c r="B36"/>
  <c r="B32"/>
  <c r="B30" s="1"/>
  <c r="B28"/>
  <c r="B25"/>
  <c r="B21"/>
  <c r="B19"/>
  <c r="B17"/>
  <c r="B15"/>
  <c r="B180" i="6" s="1"/>
  <c r="B13" i="4"/>
  <c r="B11"/>
  <c r="B9"/>
  <c r="B5" s="1"/>
  <c r="B6" i="2" s="1"/>
  <c r="B95" i="3"/>
  <c r="B93" s="1"/>
  <c r="B92"/>
  <c r="B70"/>
  <c r="B64"/>
  <c r="B56"/>
  <c r="B55"/>
  <c r="B52"/>
  <c r="B51"/>
  <c r="B50"/>
  <c r="B49"/>
  <c r="B46"/>
  <c r="B43"/>
  <c r="B42" s="1"/>
  <c r="B40" s="1"/>
  <c r="B85" s="1"/>
  <c r="B38"/>
  <c r="B37"/>
  <c r="B34"/>
  <c r="B19"/>
  <c r="B94" i="2"/>
  <c r="B88" i="3" s="1"/>
  <c r="B90" i="2"/>
  <c r="B91" i="3" s="1"/>
  <c r="B90" s="1"/>
  <c r="B83" i="2"/>
  <c r="B80"/>
  <c r="B79" s="1"/>
  <c r="B86" s="1"/>
  <c r="B84" i="3" s="1"/>
  <c r="B83" s="1"/>
  <c r="B73" i="2"/>
  <c r="B71"/>
  <c r="B69"/>
  <c r="B68"/>
  <c r="B65" s="1"/>
  <c r="B63"/>
  <c r="B58" s="1"/>
  <c r="B34" i="1" s="1"/>
  <c r="B59" i="2"/>
  <c r="B53"/>
  <c r="B52"/>
  <c r="B47" s="1"/>
  <c r="B44" s="1"/>
  <c r="B50"/>
  <c r="B42"/>
  <c r="B41"/>
  <c r="B39"/>
  <c r="B37" s="1"/>
  <c r="B36" s="1"/>
  <c r="B32"/>
  <c r="B30"/>
  <c r="B29" s="1"/>
  <c r="B24"/>
  <c r="B23"/>
  <c r="B20"/>
  <c r="B18"/>
  <c r="B17" s="1"/>
  <c r="B26" i="1" s="1"/>
  <c r="B13" i="2"/>
  <c r="D181" i="1"/>
  <c r="B148"/>
  <c r="B146"/>
  <c r="B177" s="1"/>
  <c r="B140"/>
  <c r="B139"/>
  <c r="B138" s="1"/>
  <c r="B136"/>
  <c r="B135"/>
  <c r="B134"/>
  <c r="B133"/>
  <c r="B132"/>
  <c r="B131"/>
  <c r="B127"/>
  <c r="B126" s="1"/>
  <c r="B125"/>
  <c r="B124"/>
  <c r="B123"/>
  <c r="B122"/>
  <c r="B121"/>
  <c r="B120"/>
  <c r="B119"/>
  <c r="I103"/>
  <c r="I97"/>
  <c r="I91"/>
  <c r="I90"/>
  <c r="I89"/>
  <c r="I86"/>
  <c r="I83"/>
  <c r="I80"/>
  <c r="I78"/>
  <c r="B63"/>
  <c r="B62"/>
  <c r="B61"/>
  <c r="B60"/>
  <c r="B59" s="1"/>
  <c r="B171" s="1"/>
  <c r="B57"/>
  <c r="B56"/>
  <c r="B55" s="1"/>
  <c r="B174" s="1"/>
  <c r="B47"/>
  <c r="B46" s="1"/>
  <c r="B44"/>
  <c r="B43" s="1"/>
  <c r="B42" s="1"/>
  <c r="B37"/>
  <c r="B36"/>
  <c r="B35"/>
  <c r="B29"/>
  <c r="B28" s="1"/>
  <c r="B27"/>
  <c r="B25"/>
  <c r="B144" l="1"/>
  <c r="B151" s="1"/>
  <c r="B118"/>
  <c r="B117" s="1"/>
  <c r="B114" s="1"/>
  <c r="B130"/>
  <c r="B129" s="1"/>
  <c r="B33" i="3"/>
  <c r="B32" i="1"/>
  <c r="B31" s="1"/>
  <c r="I31" s="1"/>
  <c r="B28" i="2"/>
  <c r="B16" i="3"/>
  <c r="B220" i="6"/>
  <c r="B634"/>
  <c r="I8" i="11"/>
  <c r="I10" s="1"/>
  <c r="I12" s="1"/>
  <c r="I14" s="1"/>
  <c r="I16" s="1"/>
  <c r="I18" s="1"/>
  <c r="I20" s="1"/>
  <c r="I22" s="1"/>
  <c r="I24" s="1"/>
  <c r="I26" s="1"/>
  <c r="I28" s="1"/>
  <c r="B49" i="1"/>
  <c r="B180"/>
  <c r="B12" i="2"/>
  <c r="B11" s="1"/>
  <c r="B46" i="6"/>
  <c r="B184"/>
  <c r="B186" s="1"/>
  <c r="B188" s="1"/>
  <c r="B381"/>
  <c r="B383" s="1"/>
  <c r="B546"/>
  <c r="B694"/>
  <c r="B162" i="8"/>
  <c r="B47" i="11"/>
  <c r="I45"/>
  <c r="B18" i="1"/>
  <c r="B112"/>
  <c r="B110" s="1"/>
  <c r="I110" s="1"/>
  <c r="B32" i="3"/>
  <c r="B16" i="6"/>
  <c r="B18" i="3"/>
  <c r="B91" i="4"/>
  <c r="B9" i="2" s="1"/>
  <c r="B21" i="1" s="1"/>
  <c r="B268" i="6"/>
  <c r="B270" s="1"/>
  <c r="B411"/>
  <c r="B452"/>
  <c r="B454" s="1"/>
  <c r="B97" i="8"/>
  <c r="D156"/>
  <c r="D162" s="1"/>
  <c r="H10" i="11"/>
  <c r="I21"/>
  <c r="B24" i="1"/>
  <c r="B23" s="1"/>
  <c r="I23" s="1"/>
  <c r="B96" i="3"/>
  <c r="B548" i="6"/>
  <c r="B307"/>
  <c r="B664"/>
  <c r="B665" s="1"/>
  <c r="B666" s="1"/>
  <c r="I43" i="11"/>
  <c r="B99" i="1"/>
  <c r="B190" i="6"/>
  <c r="B608"/>
  <c r="B687"/>
  <c r="B692" s="1"/>
  <c r="B141"/>
  <c r="B156" s="1"/>
  <c r="B724"/>
  <c r="B725" s="1"/>
  <c r="B726" s="1"/>
  <c r="B728" s="1"/>
  <c r="B12" i="11"/>
  <c r="I41"/>
  <c r="B477" i="6"/>
  <c r="B491" s="1"/>
  <c r="B493" s="1"/>
  <c r="H9" i="11"/>
  <c r="I9" s="1"/>
  <c r="B5" i="2" l="1"/>
  <c r="B77" s="1"/>
  <c r="I144" i="1"/>
  <c r="B309" i="6"/>
  <c r="B28" i="3" s="1"/>
  <c r="B106" i="1" s="1"/>
  <c r="I106" s="1"/>
  <c r="B732" i="6"/>
  <c r="B667"/>
  <c r="B157"/>
  <c r="B192"/>
  <c r="B27" i="3" s="1"/>
  <c r="B13"/>
  <c r="B194" i="6"/>
  <c r="B15" i="3"/>
  <c r="B17" i="1"/>
  <c r="D67"/>
  <c r="I65"/>
  <c r="B165"/>
  <c r="B14" i="11"/>
  <c r="H12"/>
  <c r="I99" i="1"/>
  <c r="B98"/>
  <c r="I98" s="1"/>
  <c r="B14" i="3"/>
  <c r="B310" i="6"/>
  <c r="I47" i="11"/>
  <c r="B49"/>
  <c r="B96" i="1"/>
  <c r="B610" i="6"/>
  <c r="B29" i="3" s="1"/>
  <c r="B107" i="1" s="1"/>
  <c r="I107" s="1"/>
  <c r="B104" i="2"/>
  <c r="I96" i="1" l="1"/>
  <c r="B81" i="3"/>
  <c r="B88" i="2"/>
  <c r="B100" s="1"/>
  <c r="B39" i="1"/>
  <c r="I17"/>
  <c r="I39" s="1"/>
  <c r="B30" i="3"/>
  <c r="B24" s="1"/>
  <c r="B733" i="6"/>
  <c r="B93" i="1"/>
  <c r="B12" i="3"/>
  <c r="B7"/>
  <c r="B51" i="11"/>
  <c r="I49"/>
  <c r="B611" i="6"/>
  <c r="B8" i="3"/>
  <c r="B94" i="1"/>
  <c r="H14" i="11"/>
  <c r="B16"/>
  <c r="B95" i="1"/>
  <c r="B9" i="3"/>
  <c r="B105" i="1"/>
  <c r="I94" l="1"/>
  <c r="B82"/>
  <c r="I82" s="1"/>
  <c r="I51" i="11"/>
  <c r="B53"/>
  <c r="D154" i="1"/>
  <c r="B79"/>
  <c r="I79" s="1"/>
  <c r="B92"/>
  <c r="I93"/>
  <c r="B65"/>
  <c r="I40"/>
  <c r="J39" s="1"/>
  <c r="B52"/>
  <c r="I105"/>
  <c r="H16" i="11"/>
  <c r="B18"/>
  <c r="I95" i="1"/>
  <c r="B85"/>
  <c r="I85" s="1"/>
  <c r="B108"/>
  <c r="B104" s="1"/>
  <c r="I104" s="1"/>
  <c r="B10" i="3"/>
  <c r="B6" s="1"/>
  <c r="C67" i="1"/>
  <c r="B105" i="2"/>
  <c r="B68" i="3" l="1"/>
  <c r="B75" s="1"/>
  <c r="B82"/>
  <c r="B80"/>
  <c r="B86" s="1"/>
  <c r="H18" i="11"/>
  <c r="B20"/>
  <c r="H65" i="1"/>
  <c r="B77"/>
  <c r="C77"/>
  <c r="E154" s="1"/>
  <c r="I92"/>
  <c r="I108"/>
  <c r="B88"/>
  <c r="I88" s="1"/>
  <c r="B55" i="11"/>
  <c r="I53"/>
  <c r="I154" i="1"/>
  <c r="C154" l="1"/>
  <c r="B112" i="2"/>
  <c r="B101"/>
  <c r="I180" i="1" s="1"/>
  <c r="I77"/>
  <c r="B142"/>
  <c r="B162"/>
  <c r="H20" i="11"/>
  <c r="B22"/>
  <c r="I55"/>
  <c r="B57"/>
  <c r="B102" i="2"/>
  <c r="B109" s="1"/>
  <c r="B98" i="3"/>
  <c r="B154" i="1" l="1"/>
  <c r="B168"/>
  <c r="I57" i="11"/>
  <c r="B59"/>
  <c r="B24"/>
  <c r="H22"/>
  <c r="H24" l="1"/>
  <c r="H26" s="1"/>
  <c r="H28" s="1"/>
  <c r="B26"/>
  <c r="B28" s="1"/>
  <c r="B29" s="1"/>
  <c r="H29" s="1"/>
  <c r="H154" i="1"/>
  <c r="C65"/>
  <c r="H156"/>
  <c r="D180"/>
  <c r="H180"/>
  <c r="B61" i="11"/>
  <c r="I59"/>
  <c r="B62" l="1"/>
  <c r="I62" s="1"/>
  <c r="I29" s="1"/>
  <c r="I30" s="1"/>
  <c r="I61"/>
</calcChain>
</file>

<file path=xl/sharedStrings.xml><?xml version="1.0" encoding="utf-8"?>
<sst xmlns="http://schemas.openxmlformats.org/spreadsheetml/2006/main" count="1362" uniqueCount="798">
  <si>
    <t>Nagyszénás Nagyközség Önkormányzat Képviselő-testületének</t>
  </si>
  <si>
    <t>1/2018. (II. 21.) önkormányzati rendelete</t>
  </si>
  <si>
    <t>Nagyszénás Nagyközség Önkormányzatának 2018. évi költségvetéséről</t>
  </si>
  <si>
    <t xml:space="preserve">Nagyszénás Nagyközség Önkormányzatának Képviselő-testülete az Alaptörvény 32. cikk (2) bekezdésében  </t>
  </si>
  <si>
    <t xml:space="preserve">meghatározott eredeti jogalkotói hatáskörében, az Alaptörvény 32. cikk (1) bekezdés f) pontjában meghatározott </t>
  </si>
  <si>
    <t>feladatkörében eljárva a következőket rendeli el:</t>
  </si>
  <si>
    <t>1.§</t>
  </si>
  <si>
    <t>Nagyszénás Nagyközség Képviselő-testülete az önkormányzat 2018. évi költségvetésének bevételeit (forintban)</t>
  </si>
  <si>
    <t>az alábbiak szerint határozza meg:</t>
  </si>
  <si>
    <r>
      <t xml:space="preserve">(1) Működési bevételek  </t>
    </r>
    <r>
      <rPr>
        <sz val="10"/>
        <rFont val="Arial CE"/>
        <charset val="238"/>
      </rPr>
      <t xml:space="preserve"> (részletezve a 3. mellékletben)</t>
    </r>
  </si>
  <si>
    <t xml:space="preserve">          a.) Nagyszénás Nagyközség Önkormányzata  </t>
  </si>
  <si>
    <t xml:space="preserve">          b.) Polgármesteri Hivatal </t>
  </si>
  <si>
    <t xml:space="preserve">          c.) Gondozási Központ  </t>
  </si>
  <si>
    <t xml:space="preserve">          d.) Nagyszénási Önkormányzati Óvoda  és Könyvtár</t>
  </si>
  <si>
    <t>(2) Közhatalmi bevételek</t>
  </si>
  <si>
    <t xml:space="preserve">         a.) Nagyszénás Nagyközség Önkormányzata</t>
  </si>
  <si>
    <t xml:space="preserve">             aa.) Helyi adók</t>
  </si>
  <si>
    <t xml:space="preserve">             ab.) Átengedett központi adók</t>
  </si>
  <si>
    <t xml:space="preserve">             ac.) Egyéb sajátos bevételek</t>
  </si>
  <si>
    <t xml:space="preserve">         b.) Polgármesteri Hivatal </t>
  </si>
  <si>
    <t xml:space="preserve">             ba.) Egyéb sajátos bevételek</t>
  </si>
  <si>
    <t>(3) Működési célú  költségvetési támogatások államháztartáson belülről</t>
  </si>
  <si>
    <t xml:space="preserve">          a.) Nagyszénás Nagyközség Önkormányzata  feladatalapú költségvetési támogatásai</t>
  </si>
  <si>
    <t xml:space="preserve">          b.) Nagyszénás Nagyközség Önkormányzata egyéb működési célú támogatásai és átvett      </t>
  </si>
  <si>
    <t xml:space="preserve">               pénzeszközei</t>
  </si>
  <si>
    <t xml:space="preserve">          c.) Polgármesteri Hivatal  egyéb működési célú támogatásai</t>
  </si>
  <si>
    <t xml:space="preserve">          d.) Gondozási Központ  egyéb működési célú támogatásai</t>
  </si>
  <si>
    <t xml:space="preserve">          e.) Nagyszénási Önkormányzati Óvoda és Könyvtár egyéb működési célú támogatásai</t>
  </si>
  <si>
    <t xml:space="preserve">(4) MŰKÖDÉSI CÉLÚ  BEVÉTELEK  ÖSSZESEN: </t>
  </si>
  <si>
    <t xml:space="preserve">       ( (1) + (2) + (3) bekezdés)</t>
  </si>
  <si>
    <t>(5) Felhalmozási célú véglegesen átvett pénzeszközök</t>
  </si>
  <si>
    <t xml:space="preserve">            aa.) Czabán Samu Általános Iskola energetikai fejlesztésének támogatása</t>
  </si>
  <si>
    <t>(6) Felhalmozási és tőke jellegű bevételek</t>
  </si>
  <si>
    <t xml:space="preserve">         a.) Ingatlanértékesítés</t>
  </si>
  <si>
    <t xml:space="preserve">(7) FELHALMOZÁSI CÉLÚ  BEVÉTELEK  ÖSSZESEN: </t>
  </si>
  <si>
    <t xml:space="preserve">       ( (5) + (6) bekezdés)</t>
  </si>
  <si>
    <t xml:space="preserve">(8) MŰKÖDÉSI ÉS FELHALMOZÁSI CÉLÚ  BEVÉTELEK  ÖSSZESEN: </t>
  </si>
  <si>
    <t xml:space="preserve">       ( (4)  + (7) (bekezdés)</t>
  </si>
  <si>
    <t>(9) Belföldi finanszírozási bevételek</t>
  </si>
  <si>
    <t xml:space="preserve">          a.) Magyar Államkötvény értékesítés</t>
  </si>
  <si>
    <t xml:space="preserve">          b.) Forgatási célú értékpapír értékesítése</t>
  </si>
  <si>
    <t>(10) Előző évi költségvetési maradvány igénybevétele</t>
  </si>
  <si>
    <t xml:space="preserve">          a.) Nagyszénás Nagyközség Önkormányzata</t>
  </si>
  <si>
    <t xml:space="preserve">          b.) Polgármesteri Hivatal</t>
  </si>
  <si>
    <t xml:space="preserve">          c.) Gondozási Központ</t>
  </si>
  <si>
    <t>(11) 2018. ÉVI BEVÉTELEK ÖSSZESEN:</t>
  </si>
  <si>
    <t xml:space="preserve">       ((8) + (9) + (10)  bekezdés) </t>
  </si>
  <si>
    <t xml:space="preserve">       (részletezve a 1. mellékletben)</t>
  </si>
  <si>
    <t>2. §</t>
  </si>
  <si>
    <t>Nagyszénás Nagyközség Képviselő-testülete az önkormányzat 2018. évi költségvetésének kiadásait (forintban)</t>
  </si>
  <si>
    <t>az alábbiakban határozza meg:</t>
  </si>
  <si>
    <t>(1) AZ ÖNKORMÁNYZAT KÖLTSÉGVETÉSÉNEK MŰKÖDÉSI KIADÁSAI</t>
  </si>
  <si>
    <t xml:space="preserve">     ( (2) + (3) + (4) + (5) bekezdés), (részletezve a 5. mellékletben)</t>
  </si>
  <si>
    <t xml:space="preserve">               Létszámkeret:  15,7  fő  8 órás foglalkoztatottnak megfelelő alkalmazott</t>
  </si>
  <si>
    <t xml:space="preserve">                                     10,8  fő 8 órás foglalkoztatottnak megfelelő közcélú alkalmazott</t>
  </si>
  <si>
    <t xml:space="preserve">               Létszámkeret: 21 fő  8 órás foglalkoztatottnak megfelelő alkalmazott</t>
  </si>
  <si>
    <t xml:space="preserve">                                    0,4  fő 8 órás foglalkoztatottnak megfelelő közcélú alkalmazott</t>
  </si>
  <si>
    <t xml:space="preserve">               Létszámkeret:  33,5  fő  8 órás foglalkoztatottnak megfelelő alkalmazott</t>
  </si>
  <si>
    <t xml:space="preserve">                                     15,6   fő 8 órás foglalkoztatottnak megfelelő közcélú alkalmazott</t>
  </si>
  <si>
    <t xml:space="preserve">              Létszámkeret: 20,5 fő  8 órás foglalkoztatottnak megfelelő alkalmazott</t>
  </si>
  <si>
    <t xml:space="preserve">                                    2,3  fő 8 órás foglalkoztatottnak megfelelő közcélú alkalmazott</t>
  </si>
  <si>
    <t>(2) Személyi juttatások</t>
  </si>
  <si>
    <t>közcélú csökkent, fürdő nőt</t>
  </si>
  <si>
    <t>házi s. 8,5, bölcsőde 3, nappali 1, szoc. étk 1,2</t>
  </si>
  <si>
    <t>(3) Munkaadókat terhelő járulékok:</t>
  </si>
  <si>
    <t>(4) Dologi és egyéb kiadások</t>
  </si>
  <si>
    <t>fürdő gáz + művelés</t>
  </si>
  <si>
    <t>iskolafenntartás</t>
  </si>
  <si>
    <t>(5) Működési célú pénzeszköz átadás, egyéb támogatás</t>
  </si>
  <si>
    <t xml:space="preserve">      (részletezve az 4. mellékletben)</t>
  </si>
  <si>
    <t>(6) AZ ÖNKORMÁNYZAT KÖLTSÉGVETÉSÉNEK FELHALMOZÁSI KIADÁSAI</t>
  </si>
  <si>
    <t xml:space="preserve">     ( (7) + (8)  bekezdés)</t>
  </si>
  <si>
    <t>(7) Beruházási kiadások</t>
  </si>
  <si>
    <t xml:space="preserve">             aa.) Iskola energetikai fejlesztése</t>
  </si>
  <si>
    <t xml:space="preserve">             ab.) Ingatlanvásárlás (Nagyszénás, Szabadság utca 18.)</t>
  </si>
  <si>
    <t xml:space="preserve">             ac.) Kisértékű tárgyieszköz beruházás</t>
  </si>
  <si>
    <t xml:space="preserve">             ad.) Szennyvízhálózat fejlesztése</t>
  </si>
  <si>
    <t xml:space="preserve">             ae.) Parkfürdő medencetető kialakítása</t>
  </si>
  <si>
    <t xml:space="preserve">          b.) Gondozási Központ</t>
  </si>
  <si>
    <t xml:space="preserve">            ba.) Kisértékű tárgyieszköz beruházás</t>
  </si>
  <si>
    <t xml:space="preserve">          c.) Nagyszénási Önkormányzati Óvoda  és Könyvtár</t>
  </si>
  <si>
    <t xml:space="preserve">            ca.) Kisértékű tárgyieszköz beruházás</t>
  </si>
  <si>
    <t xml:space="preserve">        </t>
  </si>
  <si>
    <t>(8) Felújítási kiadások</t>
  </si>
  <si>
    <t xml:space="preserve">     a.) Nagyszénás Nagyközség Önkormányzata</t>
  </si>
  <si>
    <t xml:space="preserve">        aa.)  Idősek klubja kazáncsere továbbszámlázása</t>
  </si>
  <si>
    <t xml:space="preserve">        ab.)  Művelődési Ház felújítási munkái</t>
  </si>
  <si>
    <t xml:space="preserve">        ac.)  Könyvtár felújítási munkái</t>
  </si>
  <si>
    <t xml:space="preserve">        ad.)  Ivóvízhálózat felújítási munkái</t>
  </si>
  <si>
    <t xml:space="preserve">        ae.)  Rendőrségi épület felújítása</t>
  </si>
  <si>
    <t xml:space="preserve">        af.)  Hídvégi Béla emlékszoba kialakítása</t>
  </si>
  <si>
    <t>(9) ÖNKORMÁNYZATI TARTALÉKOK</t>
  </si>
  <si>
    <t xml:space="preserve">       a.) Általános tartalék</t>
  </si>
  <si>
    <t xml:space="preserve">       b.) Fejlesztési céltartalék</t>
  </si>
  <si>
    <t xml:space="preserve">(10) MŰKÖDÉSI,  FELHALMOZÁSI CÉLÚ  KIADÁSOK ÉS TARTALÉKOK ÖSSZESEN: </t>
  </si>
  <si>
    <t xml:space="preserve">       ( (1) + (6) + (9)  bekezdés)</t>
  </si>
  <si>
    <t>(11) Belföldi hitelműveletek</t>
  </si>
  <si>
    <t xml:space="preserve">      a.)  Államháztartáson belüli megelőlegezés visszafizetése</t>
  </si>
  <si>
    <t xml:space="preserve">      b.) Termálvíz-hasznosítási program fejlesztési hitelének visszafizetése</t>
  </si>
  <si>
    <t>(12) Értékpapírműveletek</t>
  </si>
  <si>
    <t xml:space="preserve">      a.) Forgatási célú értékpapír vásárlása</t>
  </si>
  <si>
    <t xml:space="preserve">(13) FINANSZÍROZÁSI CÉLÚ  KIADÁSOK  ÖSSZESEN: </t>
  </si>
  <si>
    <t xml:space="preserve">      ( (11) + (12) bekezdés)</t>
  </si>
  <si>
    <t xml:space="preserve">(14) 2018. ÉVI KIADÁSOK ÖSSZESEN </t>
  </si>
  <si>
    <t xml:space="preserve">       ( (10) + (13) bekezdés)</t>
  </si>
  <si>
    <t xml:space="preserve">       (részletezve a 2. mellékletben)</t>
  </si>
  <si>
    <t>3. §</t>
  </si>
  <si>
    <t>Nagyszénás Nagyközség Képviselő-testülete az önkormányzat 2018. évi költségvetésének működési és felhalmozási</t>
  </si>
  <si>
    <t>célú bevételei és kiadásai között jelentkező hiányt az alábbi módon finanszírozza:</t>
  </si>
  <si>
    <t>(1) A KÖLTSÉGVETÉS EGYENLEGE A MŰKÖDÉSI  BEVÉTELEK ÉS KIADÁSOK, VALAMINT A TARTALÉKOK ALAPJÁN:</t>
  </si>
  <si>
    <t xml:space="preserve">       (1.§ (4)  -  2.§ (1) -2.§ (9)  bekezdés)</t>
  </si>
  <si>
    <t>(2) A KÖLTSÉGVETÉS EGYENLEGE A FELHALMOZÁSI BEVÉTELEK ÉS KIADÁSOK  ALAPJÁN:</t>
  </si>
  <si>
    <t xml:space="preserve">       ( 1.§ (7)+-  2.§ (6)  bekezdés)</t>
  </si>
  <si>
    <t>(3) KÖLTSÉGVETÉSI EGYENLEGE A MŰKÖDÉSI ÉS FELHALMOZÁSI BEVÉTELEK ÉS KIADÁSOK     VALAMINT A TARTALÉKOK ALAPJÁN:</t>
  </si>
  <si>
    <t xml:space="preserve">       ( 1.§ (8) - 2.§ (10)  bekezdés)</t>
  </si>
  <si>
    <t>(4) Előző évi költségvetési maradvány igénybevétele</t>
  </si>
  <si>
    <t xml:space="preserve">       (1.§ (10) bekezdés)</t>
  </si>
  <si>
    <t xml:space="preserve">(5) Működési célú finanszírozás egyenlege </t>
  </si>
  <si>
    <t xml:space="preserve">       (1. § (9) bekezdés - 2.§ (11)  bekezdés a.) pont - 2.§ (12)  bekezdés a.) pont )</t>
  </si>
  <si>
    <t xml:space="preserve">(6) Felhalmozási célú finanszírozás egyenlege </t>
  </si>
  <si>
    <t xml:space="preserve">       (- 2.§ (11)  bekezdés b.) )</t>
  </si>
  <si>
    <t>(7) A PÉNZMARADVÁNY  ÉS A FINASZÍROZÁSI MŰVELETEK EGYÜTTES EGYENLEGE</t>
  </si>
  <si>
    <t xml:space="preserve">       ( (4) + (5) + (6) bekezdés)</t>
  </si>
  <si>
    <t>4. §</t>
  </si>
  <si>
    <t xml:space="preserve">(1) A rendelet 2.§ (9) bekezdés  b) pontjában megjelölt fejlesztési céltartalék fejlesztési és felújítási célokat, illetve az önkormányzati és intézményi szintű pályázatok saját forrás részének biztosítását szolgálja.  A tartalék  képviselő-testület által fel nem használt része felett a polgármester rendelkezik. 
</t>
  </si>
  <si>
    <t>(2) A képviselő-testület 1.000.000,- Ft-ot meg nem haladó összegig lehetővé teszi a polgármesternek az önkormányzat bevételeinek és kiadásainak módosítását és a kiadási előirányzatok közötti átcsoportosítást, valamint felhatalmazást ad a polgármesternek az előzőekben meghatározott összeghatárig az önkormányzat költségvetési kiadásai kiemelt előirányzatai közötti átcsoportosításra. A felhatalmazás a polgármestert előirányzatonként és költségvetési évre vonatkozóan  illeti meg.</t>
  </si>
  <si>
    <t>(3) A polgármester a rendelet  4. mellékletében szereplő polgármesteri támogatási keret terhére civil szervezetek részére támogatást nyújthat. A polgármester köteles a keret felhasználásáról utólagos tájékoztatást adni a képviselő-testületet felé.</t>
  </si>
  <si>
    <t xml:space="preserve">(4) Az éves költségvetésben betervezetteken túl, az évközi személyi juttatás megtakarítás terhére a pályázatokhoz kapcsolódó céljutalomra, egyéb jutalomra kifizetett összeg az adott költségvetési szerv éves eredeti személyi juttatás előirányzatának 3%-át nem haladhatja meg. </t>
  </si>
  <si>
    <t xml:space="preserve">(5) A rendelet 1. § (10) bekezdésében szereplő előző évi intézményenkénti maradványt az önkormányzat  intézményeitől nem vonja el. Az  intézmények a 2017. évi költségvetési maradványt működési célra használhatják fel.  Az Önkormányzat a 2017. évi költségvetési maradványt működési és felhalmozási célra is felhasználhatja.  </t>
  </si>
  <si>
    <t xml:space="preserve">(6)  E rendelet végrehajtása során az államháztartásról szóló 2011. évi CXCV. törvényben és az államháztartásról szóló törvény végrehajtására vonatkozó 368/2011. (XII. 31.) Korm. rendeletben foglalt előírásokat kell alkalmazni. </t>
  </si>
  <si>
    <t xml:space="preserve">(7) E rendelet kihirdetése napját követő napon lép hatályba. </t>
  </si>
  <si>
    <t>Nagyszénás, 2018. február 20.</t>
  </si>
  <si>
    <t xml:space="preserve">                                                         Nyemcsok János                                           dr. Füvesi Gábor</t>
  </si>
  <si>
    <t xml:space="preserve">                                                           polgármester                                                      jegyző</t>
  </si>
  <si>
    <t>Kihirdetve 2018. február 21-én.</t>
  </si>
  <si>
    <t xml:space="preserve">                                                                                                                        dr. Füvesi Gábor</t>
  </si>
  <si>
    <t xml:space="preserve">                                                                                                                              jegyző</t>
  </si>
  <si>
    <t>1. melléklet az 1/2018. (II. 21.) önkormányzati rendelethez</t>
  </si>
  <si>
    <t>2018. évi költségvetési bevételek (adatok Ft-ban)</t>
  </si>
  <si>
    <t>I. Nagyszénás Nagyközség Önkormányzata működési bevételei összesen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</si>
  <si>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</si>
  <si>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</si>
  <si>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</si>
  <si>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</si>
  <si>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</si>
  <si>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</si>
  <si>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</si>
  <si>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</si>
  <si>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</si>
  <si>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1.1.3. Talajterhelési díj bevétele</t>
  </si>
  <si>
    <t>1.2. Átengedett központi adók</t>
  </si>
  <si>
    <t>1.2.1. Gépjárműadó</t>
  </si>
  <si>
    <t>1.2.2. Földhaszonbér Szja</t>
  </si>
  <si>
    <t>1.3. Egyéb sajátos bevételek</t>
  </si>
  <si>
    <t>1.3.1. Helyiadó pótlék és bírság bevétele</t>
  </si>
  <si>
    <t>1.3.2. Egyéb bírság bevételek</t>
  </si>
  <si>
    <t>2. Polgármesteri Hivatal</t>
  </si>
  <si>
    <t>2.1 Egyéb sajátos bevételek</t>
  </si>
  <si>
    <t>2.2.1. Igazgatási szolgáltatások bevétele</t>
  </si>
  <si>
    <t>2.2.2. Szabálysértési bírság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</si>
  <si>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</si>
  <si>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</si>
  <si>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</si>
  <si>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</si>
  <si>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</si>
  <si>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Egyéb  önkormányzati feladatok támogatása</t>
  </si>
  <si>
    <t>1.1.4. Lakott külterülettel kapcsolatos feladatok támogatása</t>
  </si>
  <si>
    <t>1.1.5. Polgármesteri illetmény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</si>
  <si>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</si>
  <si>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</si>
  <si>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</si>
  <si>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 nevelő munkát segítők bértámogatása (8 hóra)</t>
  </si>
  <si>
    <t>1.2.1.3. Óvoda pedagógusok bértámogatása (4 hóra)</t>
  </si>
  <si>
    <t>1.2.1.4. Óvodai  nevelő munkát segítők bértámogatása (4 hóra)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</si>
  <si>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</si>
  <si>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</si>
  <si>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</si>
  <si>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</si>
  <si>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</si>
  <si>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</si>
  <si>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</si>
  <si>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88 fő )</t>
  </si>
  <si>
    <t>1.3.2.3. Házi segítségnyújtás  (330.000Ft/fő x 47 fő + 25.000 Ft/fő x 25 fő )</t>
  </si>
  <si>
    <t>1.3.2.4. Időskorúak nappali intézményi ellátása  (109.000 Ft/fő x 103 fő)</t>
  </si>
  <si>
    <t>1.3.2.5. Bölcsődei ellátás</t>
  </si>
  <si>
    <t>1.3.3 .Gyermekétkeztetés támogatása</t>
  </si>
  <si>
    <t>1.3.4 . Szünidei gyermekétkeztetés támogatása</t>
  </si>
  <si>
    <t>1.4. Kulturális feladatok támogatása (1.210 Ft/fő x 5012fő)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</si>
  <si>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</si>
  <si>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</si>
  <si>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</si>
  <si>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</si>
  <si>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</si>
  <si>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2.2.  Önkormányzat egyéb működési célú támogatásai</t>
  </si>
  <si>
    <t>2.2.3. Foglalkoztatási támogatások</t>
  </si>
  <si>
    <t>2.3.  Önkormányzat egyéb működési célú átvett pénzeszközei</t>
  </si>
  <si>
    <t>2.3.1. Szociális ágazati pótlék</t>
  </si>
  <si>
    <t>2.3.2. Bölcsődei pótlék</t>
  </si>
  <si>
    <t>2.3.3. Kulturális ágazati pótlék</t>
  </si>
  <si>
    <t>3. Polgármesteri Hivatal támogatásai</t>
  </si>
  <si>
    <t>3.1. Foglalkoztatási támogatások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</si>
  <si>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</si>
  <si>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</si>
  <si>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</si>
  <si>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</si>
  <si>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</si>
  <si>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</si>
  <si>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 xml:space="preserve">1.1. Nagyszénás Nagyközség Önkormányzata </t>
  </si>
  <si>
    <t>1.1.1. Czabán Samu Általános Iskola energetikai fejlesztésének támogatása</t>
  </si>
  <si>
    <t>V. Felhalmozási és tőke jellegű bevételek</t>
  </si>
  <si>
    <t>1. Ingatlanértékesítés</t>
  </si>
  <si>
    <t>FELHALMOZÁSI CÉLÚ  BEVÉTELEK  ÖSSZESEN: (IV+V)</t>
  </si>
  <si>
    <t>MŰKŐDÉSI ÉS FELHALMOZÁSI CÉLÚ  BEVÉTELEK  ÖSSZESEN: (I+II+III+IV)</t>
  </si>
  <si>
    <t>VI. BELFÖLDI FINANSZÍROZÁSI BEVÉTELEK</t>
  </si>
  <si>
    <t>1. Magyar Államkötvény értékesítés</t>
  </si>
  <si>
    <t>2. Forgatási célú értékpapíreladás</t>
  </si>
  <si>
    <t>VII. Költségvetési maradványok</t>
  </si>
  <si>
    <t>BEVÉTELEK MINDÖSSZESEN: (I+II+III+IV+V+VI+VII)</t>
  </si>
  <si>
    <t>ELTÉRÉS</t>
  </si>
  <si>
    <t>KIMUTATOTT HIÁNY ÖSSZEGE (BEVÉTEL MINDÖSSZESEN - KIADÁS MINDÖSSZESEN):</t>
  </si>
  <si>
    <t>2. melléklet az 1/2018. (II. 21.) önkormányzati rendelethez</t>
  </si>
  <si>
    <t>2018. évi költségvetési kiadások (adatok Ft-ban)</t>
  </si>
  <si>
    <t>I. ÖNKORMÁNYZAT KÖLTSÉGVETÉS MŰKÖDÉSI KIADÁSAI</t>
  </si>
  <si>
    <t>3. Gondozási Központ</t>
  </si>
  <si>
    <t>4. Nagyszénási Önkormányzati Óvoda és Könyvtár</t>
  </si>
  <si>
    <t xml:space="preserve">1. Személyi juttatások 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</si>
  <si>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</si>
  <si>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</si>
  <si>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</si>
  <si>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</si>
  <si>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</si>
  <si>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</si>
  <si>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</si>
  <si>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</si>
  <si>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</si>
  <si>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</si>
  <si>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</si>
  <si>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</si>
  <si>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</si>
  <si>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</si>
  <si>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</si>
  <si>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</si>
  <si>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</si>
  <si>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</si>
  <si>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</si>
  <si>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</si>
  <si>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</si>
  <si>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Iskola energetikai fejlesztése</t>
  </si>
  <si>
    <t>1.1.2. Ingatlan vásárlás (Nagyszénás, Szabadság utca 18.)</t>
  </si>
  <si>
    <t>1.1.3. Kisértékű tárgyieszköz beruházás</t>
  </si>
  <si>
    <t>1.1.4. Szennyvízhálózat fejlesztése</t>
  </si>
  <si>
    <t>1.1.5. Parkfürdő medencetető kialakítása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</si>
  <si>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</si>
  <si>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</si>
  <si>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</si>
  <si>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</si>
  <si>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2. Felújítási kiadások</t>
  </si>
  <si>
    <t>2.1.1. Idősek klubja kazáncsere továbbszámlázása</t>
  </si>
  <si>
    <t>2.1.2. Művelődési Ház előtér mennyezet felújítása</t>
  </si>
  <si>
    <t>2.1.3. Könyvtár villamossági felújítása</t>
  </si>
  <si>
    <t>2.1.4. Ivóvízhálózat felújítási munkái</t>
  </si>
  <si>
    <t>2.1.5. Rendőrségi épület felújítása</t>
  </si>
  <si>
    <t>2.1.6. Hídvégi Béla emlékszoba kialakítása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</si>
  <si>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</si>
  <si>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</si>
  <si>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</si>
  <si>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</si>
  <si>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</si>
  <si>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</si>
  <si>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</si>
  <si>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Forgatási célú értékpapírvásárlás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</si>
  <si>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</si>
  <si>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</si>
  <si>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</si>
  <si>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</si>
  <si>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</si>
  <si>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</si>
  <si>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</si>
  <si>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</si>
  <si>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</si>
  <si>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</si>
  <si>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</si>
  <si>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</si>
  <si>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</si>
  <si>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</si>
  <si>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</si>
  <si>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</si>
  <si>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</si>
  <si>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EGYENLEG</t>
  </si>
  <si>
    <t>3. melléklet az 1/2018. (II. 21.) önkormányzati rendelethez</t>
  </si>
  <si>
    <t>2018.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</si>
  <si>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</si>
  <si>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</si>
  <si>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</si>
  <si>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</si>
  <si>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</si>
  <si>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</si>
  <si>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</si>
  <si>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</si>
  <si>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</si>
  <si>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</si>
  <si>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</si>
  <si>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</si>
  <si>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</si>
  <si>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</si>
  <si>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</si>
  <si>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</si>
  <si>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</si>
  <si>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</si>
  <si>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</si>
  <si>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</si>
  <si>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</si>
  <si>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</si>
  <si>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</si>
  <si>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</si>
  <si>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</si>
  <si>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</si>
  <si>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</si>
  <si>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</si>
  <si>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</si>
  <si>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</si>
  <si>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</si>
  <si>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</si>
  <si>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</si>
  <si>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</si>
  <si>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</si>
  <si>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</si>
  <si>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</si>
  <si>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</si>
  <si>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</si>
  <si>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Idősek klubja kazáncsere továbbszámlázása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</si>
  <si>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</si>
  <si>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</si>
  <si>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</si>
  <si>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</si>
  <si>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</si>
  <si>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</si>
  <si>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</si>
  <si>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</si>
  <si>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</si>
  <si>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</si>
  <si>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</si>
  <si>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</si>
  <si>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</si>
  <si>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</si>
  <si>
    <t>4. melléklet az 1/2018. (II. 21.) önkormányzati rendelethez</t>
  </si>
  <si>
    <t>2018. évi  működési célú pénzeszközátadás, egyéb támogatás, ellátottak pénzbeni juttatásai (adatok Ft-ban)</t>
  </si>
  <si>
    <t>Nagyszénás Nagyközség Önkormányzata összesen: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</si>
  <si>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</si>
  <si>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</si>
  <si>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</si>
  <si>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</si>
  <si>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</si>
  <si>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</si>
  <si>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</si>
  <si>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</si>
  <si>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</si>
  <si>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</si>
  <si>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</si>
  <si>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</si>
  <si>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</si>
  <si>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</si>
  <si>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</si>
  <si>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</si>
  <si>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</si>
  <si>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</si>
  <si>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</si>
  <si>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</si>
  <si>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Egyéb átadott pénzeszközök</t>
  </si>
  <si>
    <t xml:space="preserve">   - Előző évi elszámolások kiadásai</t>
  </si>
  <si>
    <t xml:space="preserve">   - Bursa ösztöndíj</t>
  </si>
  <si>
    <t xml:space="preserve">   - lakásvásárlás támogatása</t>
  </si>
  <si>
    <t>5. melléklet az 1/2018. (II. 21.) önkormányzati rendelethez</t>
  </si>
  <si>
    <t>2018. évi működési kiadások (adatok Ft-ban)</t>
  </si>
  <si>
    <t>NAGYSZÉNÁS NAGYKÖZSÉG ÖNKORMÁNYZATA</t>
  </si>
  <si>
    <t>064010 Közvilágítás</t>
  </si>
  <si>
    <t>Villamosenergia díjak</t>
  </si>
  <si>
    <t>Működési célú előzetesen felszámított áfa</t>
  </si>
  <si>
    <t>Közüzemi díjak összesen</t>
  </si>
  <si>
    <t>DOLOGI  KIADÁSOK ÖSSZESEN:</t>
  </si>
  <si>
    <t>KORMÁNYFUNKCIÓ ÖSSZESEN:</t>
  </si>
  <si>
    <t>072111 Házi orvosi alapellátás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</si>
  <si>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</si>
  <si>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</si>
  <si>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</si>
  <si>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</si>
  <si>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</si>
  <si>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</si>
  <si>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</si>
  <si>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Egyéb üzemeltetési anyag 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</si>
  <si>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</si>
  <si>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</si>
  <si>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</si>
  <si>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</si>
  <si>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</si>
  <si>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</si>
  <si>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</si>
  <si>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</si>
  <si>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Szolgáltatási kiadások összesen</t>
  </si>
  <si>
    <t>Egyéb dologi kiadások (felelősségbiztosítás díja)</t>
  </si>
  <si>
    <t>Különféle befizetések és egyéb dologi kiadások összesen</t>
  </si>
  <si>
    <t>041233  Hosszabb időtartamú közfoglalkoztatás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</si>
  <si>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</si>
  <si>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Táppénz hozzájárulás</t>
  </si>
  <si>
    <t>041237  Startmunka program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</si>
  <si>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</si>
  <si>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Egészségügyi hozzájárulás</t>
  </si>
  <si>
    <t>104037 Intézményen kívüli gyermekétkeztetés</t>
  </si>
  <si>
    <t>Vásárolt élelmezés</t>
  </si>
  <si>
    <t>Megbízási díj</t>
  </si>
  <si>
    <t>Egyéb üzemeltetési anyag (vetőmag, műtrágya, vegyszerek, egyéb)</t>
  </si>
  <si>
    <t xml:space="preserve">Önkormányzati földterületek művelési költsége </t>
  </si>
  <si>
    <t xml:space="preserve">Egyéb üzemeltetési és fenntartási szolgáltatások </t>
  </si>
  <si>
    <t>Egyéb dologi kiadások (cégautóadó, különféle díjak)</t>
  </si>
  <si>
    <t>081061 Szabadidős park, fürdő és strandszolgáltatás (termálhő szolgáltatása)</t>
  </si>
  <si>
    <t>Törvény szerinti illetmények (14 fő + 2 fő szezonális alk.)</t>
  </si>
  <si>
    <t>Készenléti és túlóra díj, helyettesítés</t>
  </si>
  <si>
    <t>Egyéb költségek (szemüveg, napi díj, számla ktg. térítés)</t>
  </si>
  <si>
    <t>Egyéb személyi juttatás (betegszabadság)</t>
  </si>
  <si>
    <t>Bérlet, saját gépjármű használat</t>
  </si>
  <si>
    <t>Táppénzhozzájárulás</t>
  </si>
  <si>
    <t>Kifizetői adó és járulék</t>
  </si>
  <si>
    <t>Hajtó és kenőanayagok</t>
  </si>
  <si>
    <t>Munkaruha beszerzés</t>
  </si>
  <si>
    <t xml:space="preserve">Üzemeltetési anyagok beszerzése összesen </t>
  </si>
  <si>
    <t>Egyéb üzemeltetési szolgáltatások (szállítás, szemétszállítás, számlavezetés)</t>
  </si>
  <si>
    <t>Belföldi kiküldetések kiadásai</t>
  </si>
  <si>
    <t>Reklám és propaganda célú kiadások</t>
  </si>
  <si>
    <t>Választott tisztségviselők juttatásai (1 fő polgármester, képviselők és bizottsági tagok)</t>
  </si>
  <si>
    <t>Cafetéria juttatás</t>
  </si>
  <si>
    <t xml:space="preserve">Egyéb szakmai szolgáltatások </t>
  </si>
  <si>
    <t>Egyéb üzemeltetési fenntartási szolgáltatások</t>
  </si>
  <si>
    <t>Fizetendő áfa értékesítés után</t>
  </si>
  <si>
    <t>Kamat és kezelési költség kiadások fejlesztési hitelre</t>
  </si>
  <si>
    <t>Egyéb dologi kiadások (különféle díjak)</t>
  </si>
  <si>
    <t>Kiküldetési költségek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</si>
  <si>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</si>
  <si>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</si>
  <si>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</si>
  <si>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POLGÁRMESTERI HIVATAL</t>
  </si>
  <si>
    <t>066020 Város- és községgazdálkodási egyéb szolgáltatások</t>
  </si>
  <si>
    <t>Hajtó- és kenőanyagok</t>
  </si>
  <si>
    <t>Egyéb szolgáltatások (szállítás, szemétszállítás, stb.)</t>
  </si>
  <si>
    <t>Törvény szerinti illetmények (21 fő)</t>
  </si>
  <si>
    <t>Jubileumi jutalom</t>
  </si>
  <si>
    <t>Reprezentáció</t>
  </si>
  <si>
    <t>Könyvbeszerzés</t>
  </si>
  <si>
    <t>Folyóirat beszerzés</t>
  </si>
  <si>
    <t>Adatátvételi célú távközlési díj</t>
  </si>
  <si>
    <t>Telefon díjak</t>
  </si>
  <si>
    <t>Távfűtés díja</t>
  </si>
  <si>
    <t>Bérleti és lízingdíjak</t>
  </si>
  <si>
    <t>Közvetített szolgáltatások (telefon)</t>
  </si>
  <si>
    <t>Egyéb szolgáltatások (postai díjak, megbízási díjak)</t>
  </si>
  <si>
    <t>013360 Iskola működtetés</t>
  </si>
  <si>
    <t>Megbízási díjak (2 fő nyári napközis tanár)</t>
  </si>
  <si>
    <t xml:space="preserve">104031 Gyermekek bölcsődei ellátása </t>
  </si>
  <si>
    <t xml:space="preserve">Törvény szerinti illetmények </t>
  </si>
  <si>
    <t xml:space="preserve">041233  Hosszabb időtartamú közfoglalkoztatás 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</si>
  <si>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</si>
  <si>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</si>
  <si>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GONDOZÁSI KÖZPONT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</si>
  <si>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</si>
  <si>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Megváltozott munkaképességűek foglalkoztatása és GINOP pályázat</t>
  </si>
  <si>
    <t>Törvény szerinti illetmények  (7 fő időszakosan)</t>
  </si>
  <si>
    <t>Törvény szerinti illetmények (2 fő)</t>
  </si>
  <si>
    <t>Céljuttatás</t>
  </si>
  <si>
    <t>Egyéb költségek ( számla ktg. térítés)</t>
  </si>
  <si>
    <t>Munkaruha, védőruha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</si>
  <si>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</si>
  <si>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</si>
  <si>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</si>
  <si>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</si>
  <si>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102031 Idősek nappali ellátása</t>
  </si>
  <si>
    <t>Törvény szerinti illetmények( 6 fő )</t>
  </si>
  <si>
    <t>Egyéb költségek (számla ktg. térítés)</t>
  </si>
  <si>
    <t>Szociális gondozói díj</t>
  </si>
  <si>
    <t>Törvény szerinti illetmények (8 fő)</t>
  </si>
  <si>
    <t>Egyéb szolgáltatások (szállítás, szemétszállítás)</t>
  </si>
  <si>
    <t>104035 Gyermekétkezetés bölcsődében</t>
  </si>
  <si>
    <t>104042 Gyermekjóléti szolgáltatások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</si>
  <si>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</si>
  <si>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</si>
  <si>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</si>
  <si>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</si>
  <si>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Törvény szerinti illetmények (1 fő + 1 fő részmunkaidős)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</si>
  <si>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</si>
  <si>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(12 fő)</t>
    </r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</si>
  <si>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</si>
  <si>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</si>
  <si>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 időszakosan)</t>
  </si>
  <si>
    <t>096015 Gyermekétkeztetés köznevelési intézményekben</t>
  </si>
  <si>
    <r>
      <t xml:space="preserve">Törvény szerinti illetmények </t>
    </r>
    <r>
      <rPr>
        <sz val="8"/>
        <rFont val="Arial CE"/>
        <charset val="238"/>
      </rPr>
      <t>(6 fő)</t>
    </r>
  </si>
  <si>
    <t>091110  Óvodai nevelés, ellátás szakmai feladatai</t>
  </si>
  <si>
    <r>
      <t xml:space="preserve">Törvény szerinti illetmények </t>
    </r>
    <r>
      <rPr>
        <sz val="8"/>
        <rFont val="Arial CE"/>
        <charset val="238"/>
      </rPr>
      <t>(13 fő)</t>
    </r>
  </si>
  <si>
    <t>Kifizetői adó</t>
  </si>
  <si>
    <t>082042 Könyvtári állomány gyarapítása, nyilvántartása</t>
  </si>
  <si>
    <t>Törvény szerinti illetmények (1fő + 1 fő részmunkaidős))</t>
  </si>
  <si>
    <t>Egyéb személyi juttatás (betegszabadság, közlekedési ktg. térítés)</t>
  </si>
  <si>
    <t>Könyvbeszerzés (könyvtári)</t>
  </si>
  <si>
    <t>Szakmai tevékenységet segítő szolgáltatások (Nagyszénás újság, kábel TV))</t>
  </si>
  <si>
    <t xml:space="preserve">NAGYSZÉNÁSI ÖNKORMÁNYZATI ÓVODA ÖSSZESEN: (20 fő közalk. + 1 fő részmunkaidős közalk.) </t>
  </si>
  <si>
    <t>Nagyszénás Nagyközség</t>
  </si>
  <si>
    <r>
      <t xml:space="preserve">Önkormányzata                                                 </t>
    </r>
    <r>
      <rPr>
        <i/>
        <sz val="10"/>
        <rFont val="Arial CE"/>
        <charset val="238"/>
      </rPr>
      <t>6. melléklet az 1/2018. (II. 21.) önkormányzati rendelethez</t>
    </r>
  </si>
  <si>
    <t xml:space="preserve"> A működési és fejlesztési célú bevételek és kiadások</t>
  </si>
  <si>
    <t>2019-2020-2021. évi alakulását külön bemutató mérleg</t>
  </si>
  <si>
    <t>Sorsz.</t>
  </si>
  <si>
    <t>Megnevezés</t>
  </si>
  <si>
    <t>eFt</t>
  </si>
  <si>
    <t>I. Működési bevételek és kiadások</t>
  </si>
  <si>
    <t xml:space="preserve"> </t>
  </si>
  <si>
    <t>2019. év</t>
  </si>
  <si>
    <t>2020. év</t>
  </si>
  <si>
    <t>2021. év</t>
  </si>
  <si>
    <t>Működési bevételek</t>
  </si>
  <si>
    <t>Önkormányzatok közhatalmi bevételei</t>
  </si>
  <si>
    <t xml:space="preserve">Önkormányzatok költségvetési támogatása </t>
  </si>
  <si>
    <t>Működési célú hitelfelvétel</t>
  </si>
  <si>
    <t>Finanszírozási bevételek</t>
  </si>
  <si>
    <t>Pénzmaradvány igénybevétel</t>
  </si>
  <si>
    <t>Működési célú bevételek összesen (1+...+6)</t>
  </si>
  <si>
    <t>Személyi juttatások</t>
  </si>
  <si>
    <t>Munkaadókat terhelő járulékok</t>
  </si>
  <si>
    <t>Dologi kiadások</t>
  </si>
  <si>
    <t>Működési célú pénzeszközátadás egyéb támogatás</t>
  </si>
  <si>
    <t>Működési célú hitel törlesztése</t>
  </si>
  <si>
    <t>Működési célú tartalék</t>
  </si>
  <si>
    <t>Működési célú kiadások összesen (8+...+13)</t>
  </si>
  <si>
    <t>II. Felhalmozási célú bevételek és kiadások</t>
  </si>
  <si>
    <t>Önkormányzatok felhalmozási és tőke jellegű bevételei</t>
  </si>
  <si>
    <t>Fejlesztési hitel</t>
  </si>
  <si>
    <t>Fejlesztési célú pénzeszköz átvétel</t>
  </si>
  <si>
    <t>Felhalmozási célú bevételek összesen (15+…+17)</t>
  </si>
  <si>
    <t>Beruházási kiadások (ÁFA-val együtt)</t>
  </si>
  <si>
    <t>Felújítási kiadások (ÁFA-val együtt)</t>
  </si>
  <si>
    <t>Fejlesztési célú pénzeszköz átadás</t>
  </si>
  <si>
    <t>Belföldi hitelműveletek</t>
  </si>
  <si>
    <t>Felhalmozási célú tartalék</t>
  </si>
  <si>
    <t>Felhalmozási célú kiadások összesen (19+...+23)</t>
  </si>
  <si>
    <t>Önkormányzat bevételei ÖSSZESEN (7+18)</t>
  </si>
  <si>
    <t>Önkormányzat kiadásai ÖSSZESEN (14+24)</t>
  </si>
  <si>
    <t xml:space="preserve">  7. melléklet az 1/2018. (II. 21.) önkormányzati rendelethez</t>
  </si>
  <si>
    <t>Önkormányzata</t>
  </si>
  <si>
    <t xml:space="preserve">                                          Előzetes mérleg    2017.12.31.                                                                     </t>
  </si>
  <si>
    <t>eFt-ban</t>
  </si>
  <si>
    <t>Előző év</t>
  </si>
  <si>
    <t xml:space="preserve"> Jelentős összegű hiba miatti korrekció</t>
  </si>
  <si>
    <t>Tárgy év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</si>
  <si>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</si>
  <si>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</si>
  <si>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</si>
  <si>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</si>
  <si>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(=A/I/1+A/I/2+A/I/3)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</si>
  <si>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</si>
  <si>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</si>
  <si>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</si>
  <si>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</si>
  <si>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</si>
  <si>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</t>
  </si>
  <si>
    <t xml:space="preserve">A/III/1        Tartós részesedések </t>
  </si>
  <si>
    <t>A/III/1a        - ebből: tartós részesedések jegybankban</t>
  </si>
  <si>
    <t>A/III/1b        - ebből: tartós részesedések társulásban</t>
  </si>
  <si>
    <t xml:space="preserve">A/III/2        Tartós hitelviszonyt megtestesítő értékpapírok 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</si>
  <si>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</si>
  <si>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</si>
  <si>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</si>
  <si>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</si>
  <si>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</si>
  <si>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</si>
  <si>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</si>
  <si>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 xml:space="preserve">A)        NEMZETI VAGYONBA TARTOZÓ BEFEKTETETT ESZKÖZÖK (=A/I+A/II+A/III+A/IV)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</si>
  <si>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</si>
  <si>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</si>
  <si>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</si>
  <si>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</si>
  <si>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</si>
  <si>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</t>
  </si>
  <si>
    <t>B/II/1        Nem tartós részesedések</t>
  </si>
  <si>
    <t>B/II/2        Forgatási célú hitelviszonyt megtestesítő értékpapírok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</si>
  <si>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</si>
  <si>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</si>
  <si>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</si>
  <si>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</si>
  <si>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</si>
  <si>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(=B/II/1+B/II/2) </t>
  </si>
  <si>
    <t xml:space="preserve">B)        NEMZETI VAGYONBA TARTOZÓ FORGÓESZKÖZÖK (= B/I+B/II)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</si>
  <si>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</si>
  <si>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</si>
  <si>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</si>
  <si>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</si>
  <si>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</si>
  <si>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</t>
  </si>
  <si>
    <t xml:space="preserve">D/I/1        Költségvetési évben esedékes követelések működési célú támogatások bevételeire államháztartáson belülről 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</si>
  <si>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</si>
  <si>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</si>
  <si>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</si>
  <si>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</si>
  <si>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</si>
  <si>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</si>
  <si>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</t>
  </si>
  <si>
    <t>D/I/6a        - ebből: költségvetési évben esedékes követelések működési célú visszatérítendő támogatások, kölcsönök visszatérülésére államháztartáson kívülről</t>
  </si>
  <si>
    <t xml:space="preserve">D/I/7        Költségvetési évben esedékes követelések felhalmozási célú átvett pénzeszközre </t>
  </si>
  <si>
    <t>D/I/7a        - ebből: költségvetési évben esedékes követelések felhalmozási célú visszatérítendő támogatások, kölcsönök visszatérülésére államháztartáson kívülről</t>
  </si>
  <si>
    <t xml:space="preserve">D/I/8        Költségvetési évben esedékes követelések finanszírozási bevételekre </t>
  </si>
  <si>
    <t>D/I/8a        - ebből: költségvetési évben esedékes követelések államháztartáson belüli megelőlegezések törlesztésére</t>
  </si>
  <si>
    <t xml:space="preserve">D/I        Költségvetési évben esedékes követelések (=D/I/1+…+D/I/8) </t>
  </si>
  <si>
    <t xml:space="preserve">D/II/1        Költségvetési évet követően esedékes követelések működési célú támogatások bevételeire államháztartáson belülről </t>
  </si>
  <si>
    <t>D/II/1a        - ebből: költségvetési évet követően esedékes követelések működési célú visszatérítendő támogatások, kölcsönök visszatérülésére államháztartáson belülről</t>
  </si>
  <si>
    <t xml:space="preserve">D/II/2        Költségvetési évet követően esedékes követelések felhalmozási célú támogatások bevételeire államháztartáson belülről 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</si>
  <si>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</si>
  <si>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</si>
  <si>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</si>
  <si>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</si>
  <si>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</t>
  </si>
  <si>
    <t>D/II/6a        - ebből: költségvetési évet követően esedékes követelések működési célú visszatérítendő támogatások, kölcsönök visszatérülésére államháztartáson kívülről</t>
  </si>
  <si>
    <t xml:space="preserve">D/II/7        Költségvetési évet követően esedékes követelések felhalmozási célú átvett pénzeszközre </t>
  </si>
  <si>
    <t>D/II/7a        - ebből: költségvetési évet követően esedékes követelések felhalmozási célú visszatérítendő támogatások, kölcsönök visszatérülésére államháztartáson kívülről</t>
  </si>
  <si>
    <t xml:space="preserve">D/II/8        Költségvetési évet követően esedékes követelések finanszírozási bevételekre </t>
  </si>
  <si>
    <t>D/II8a        - ebből: költségvetési évet követően esedékes követelések államháztartáson belüli megelőlegezések törlesztésére</t>
  </si>
  <si>
    <t xml:space="preserve">D/II        Költségvetési évet követően esedékes követelések (=D/II/1+…+D/II/8) </t>
  </si>
  <si>
    <t xml:space="preserve">D/III/1        Adott előlegek </t>
  </si>
  <si>
    <t>D/III/1c        - ebből: szolgáltatásra adott előlegek</t>
  </si>
  <si>
    <t>D/III/1e       - ebből: foglalkoztatottaknak adott előlegek</t>
  </si>
  <si>
    <t>D/III/1f       - ebből: túlfizetés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</si>
  <si>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</si>
  <si>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</si>
  <si>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</si>
  <si>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</si>
  <si>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</si>
  <si>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</si>
  <si>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(=D/III/1+…+D/III/7) </t>
  </si>
  <si>
    <t xml:space="preserve">D)        KÖVETELÉSEK (=D/I+D/II+D/III)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</si>
  <si>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</si>
  <si>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</si>
  <si>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</si>
  <si>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</si>
  <si>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(=F/1+F/2+F/3) </t>
  </si>
  <si>
    <t xml:space="preserve">ESZKÖZÖK ÖSSZESEN (=A+B+C+D+E+F)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</si>
  <si>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</si>
  <si>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</si>
  <si>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</si>
  <si>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</si>
  <si>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</si>
  <si>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</si>
  <si>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</si>
  <si>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(=G/I+…+G/VI)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</si>
  <si>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</si>
  <si>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</si>
  <si>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</si>
  <si>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</si>
  <si>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</si>
  <si>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</si>
  <si>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</si>
  <si>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</si>
  <si>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</si>
  <si>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>H/I/8a        - ebből: költségvetési évben esedékes kötelezettségek felhalmozási célú visszatérítendő támogatások, kölcsönök törlesztésére államháztartáson belülre</t>
  </si>
  <si>
    <t xml:space="preserve">H/I/9        Költségvetési évben esedékes kötelezettségek finanszírozási kiadásokra 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</si>
  <si>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</si>
  <si>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</si>
  <si>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</si>
  <si>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</si>
  <si>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</si>
  <si>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</si>
  <si>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</si>
  <si>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</si>
  <si>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 xml:space="preserve">H/I        Költségvetési évben esedékes kötelezettségek (=H/I/1+…H/I/9)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</si>
  <si>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</si>
  <si>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</si>
  <si>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</si>
  <si>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</si>
  <si>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</si>
  <si>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</si>
  <si>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</si>
  <si>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</si>
  <si>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</si>
  <si>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>H/II/8a        - ebből: költségvetési évet követően esedékes kötelezettségek felhalmozási célú visszatérítendő támogatások, kölcsönök törlesztésére államháztartáson belülre</t>
  </si>
  <si>
    <t xml:space="preserve">H/II/9        Költségvetési évet követően esedékes kötelezettségek finanszírozási kiadásokra 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</si>
  <si>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</si>
  <si>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</si>
  <si>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</si>
  <si>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</si>
  <si>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</si>
  <si>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</si>
  <si>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</si>
  <si>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</si>
  <si>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 xml:space="preserve">H/II        Költségvetési évet követően esedékes kötelezettségek (=H/II/1+…H/II/9)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</si>
  <si>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</si>
  <si>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</si>
  <si>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</si>
  <si>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</si>
  <si>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</si>
  <si>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</si>
  <si>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</si>
  <si>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Letétre, megőrzésre, fedezetkezelésre átvett biztosítékok</t>
  </si>
  <si>
    <t xml:space="preserve">H/III        Kötelezettség jellegű sajátos elszámolások (=H)/III/1+…+H)/III/7) </t>
  </si>
  <si>
    <t xml:space="preserve">H)        KÖTELEZETTSÉGEK (=H/I+H/II+H/III)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</si>
  <si>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</si>
  <si>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</si>
  <si>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</si>
  <si>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</si>
  <si>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(=J/1+J/2+J/3) </t>
  </si>
  <si>
    <t xml:space="preserve">FORRÁSOK ÖSSZESEN (=G+H+I+J) </t>
  </si>
  <si>
    <t xml:space="preserve"> 8 . melléklet az 1/2018. (II. 21.) önkormányzati rendelethez</t>
  </si>
  <si>
    <t>Magyarország gazdasági stabilitásáról szóló  2011. évi CXCIV. törvény 3. § (1) bekezdése szerinti adósságot keletkeztető ügyletekből várható,</t>
  </si>
  <si>
    <t>kötelezettségek a futamidő végéig, valamint a 353/2011.(XII.30.) Korm. rendelet 2. § (1) bekezdése szerinti saját bevételek a kötelezettségek lejáratáig</t>
  </si>
  <si>
    <t>(több éves kihatással bíró döntések)</t>
  </si>
  <si>
    <t>ÖNKORMÁNYZAT KÖTELEZETTSÉGEI KAMATOKKAL EGYÜTT</t>
  </si>
  <si>
    <t>Ft-ban</t>
  </si>
  <si>
    <t>Kötelezettség megnevezése</t>
  </si>
  <si>
    <t>2018.</t>
  </si>
  <si>
    <t>2019.</t>
  </si>
  <si>
    <t>Termálvíz-hasznosítási projekt fejlesztési hitel tőketörlesztése</t>
  </si>
  <si>
    <t>Termálvíz-hasznosítási projekt fejlesztési hitel kamata</t>
  </si>
  <si>
    <t>Összesen:</t>
  </si>
  <si>
    <t>Össszesen</t>
  </si>
  <si>
    <t>Termálvíz-hasznosítási projekt fejlesztési hitel</t>
  </si>
  <si>
    <t>ÖNKORMÁNYZAT SAJÁT BEVÉTELEI</t>
  </si>
  <si>
    <t>Saját bevétel megnevezése</t>
  </si>
  <si>
    <t>Helyi adók bevétele</t>
  </si>
  <si>
    <t>Önkormányzati vagyon értékesítése és hasznosítása</t>
  </si>
  <si>
    <t>Osztalék, koncessziós díj és hozam bevétel</t>
  </si>
  <si>
    <t>Tárgyi és immateriális eszköz, részvény, részesedés értékesítéséből származó és privatizációs bevétel</t>
  </si>
  <si>
    <t>Bírság, pótlék és díjbevétel</t>
  </si>
  <si>
    <t>Kezességvállalással kapcsolatos megtérülés</t>
  </si>
  <si>
    <t xml:space="preserve"> 9 . melléklet az 1/2018. (II. 21.) önkormányzati rendelethez</t>
  </si>
  <si>
    <t>Kimutatás az adóelengedésekről és adómérséklésekről 2017. adóévben</t>
  </si>
  <si>
    <t xml:space="preserve">                 Ft-ban</t>
  </si>
  <si>
    <t xml:space="preserve">     A d ó e l e n g e d é s</t>
  </si>
  <si>
    <t xml:space="preserve">              A d ó m é r s é k l é s</t>
  </si>
  <si>
    <t>Ö s s z e s e n</t>
  </si>
  <si>
    <t xml:space="preserve">              (adóelőleg mérséklés)</t>
  </si>
  <si>
    <t>fő</t>
  </si>
  <si>
    <t>Ft</t>
  </si>
  <si>
    <t>Magánszemélyek kommunális adója</t>
  </si>
  <si>
    <t>Jogcím: 13/1991. (VI.4.) KT. rendelet</t>
  </si>
  <si>
    <t xml:space="preserve">             4. § (70. életév betöltése)</t>
  </si>
  <si>
    <t>Jogcím: egyedi elbírálás</t>
  </si>
  <si>
    <t>Gépjármű adó</t>
  </si>
  <si>
    <t>Helyi iparűzési adó</t>
  </si>
  <si>
    <t>Helyi rendeletek szerinti elengedés,</t>
  </si>
  <si>
    <t xml:space="preserve">mérséklés összesen: </t>
  </si>
  <si>
    <t>Egyedi elbírálás összesen:</t>
  </si>
  <si>
    <t xml:space="preserve">Kimutatás az Önkormányzat által nyújtott  helyiségek, eszközök hasznosításából                                                                                                    </t>
  </si>
  <si>
    <t>származó bevételből nyújtott kedvezményekről   2017. évben:</t>
  </si>
  <si>
    <t>Kedvezmény összege (Ft)</t>
  </si>
  <si>
    <t xml:space="preserve">Helyiség bérbeadásból adott kedvezmény </t>
  </si>
  <si>
    <t>Sporttelep ingyenes használata</t>
  </si>
  <si>
    <t>Gépjármű használat során adott kedvezmény</t>
  </si>
  <si>
    <t>Felsős tornaterem 10 hó havi 10 óra/hét</t>
  </si>
  <si>
    <t>3500 Ft/óra</t>
  </si>
  <si>
    <t>Alsós tornaterem 7 óra/hét</t>
  </si>
  <si>
    <t>3000 Ft/óra</t>
  </si>
  <si>
    <t>Művelődési Ház 24 óra/hét</t>
  </si>
  <si>
    <t xml:space="preserve"> ebből Aerobik 6 óra/hét</t>
  </si>
  <si>
    <t>Sportkör, szakkörök nélkül</t>
  </si>
  <si>
    <t xml:space="preserve">      10 . melléklet az 1/2018. (II. 21.) önkormányzati rendelethez</t>
  </si>
  <si>
    <t>Előirányzatfelhasználási és likviditási ütemterv 2018. év</t>
  </si>
  <si>
    <t xml:space="preserve">Bevételek </t>
  </si>
  <si>
    <t>adatok eFt-ban</t>
  </si>
  <si>
    <t>Hónap</t>
  </si>
  <si>
    <t>Közhatalmi bevételek</t>
  </si>
  <si>
    <t>Költségvetési támogatás</t>
  </si>
  <si>
    <t>Felhalmozási és tőke jellegű bevételek</t>
  </si>
  <si>
    <t>Számított pénzmaradvány</t>
  </si>
  <si>
    <t>Összesen</t>
  </si>
  <si>
    <t>Bevétel - kiadás egyenlege</t>
  </si>
  <si>
    <t>01.</t>
  </si>
  <si>
    <t>02.</t>
  </si>
  <si>
    <t>halmoz.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</si>
  <si>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</si>
  <si>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</si>
  <si>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</si>
  <si>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</si>
  <si>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</si>
  <si>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</si>
  <si>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</si>
  <si>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</si>
  <si>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</si>
  <si>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</si>
  <si>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Kiadások</t>
  </si>
  <si>
    <t>Pénzeszköz-átadás</t>
  </si>
  <si>
    <t>Felhalmozási kiadások</t>
  </si>
  <si>
    <t xml:space="preserve">Tartalékok </t>
  </si>
  <si>
    <t>Finanszírozási kiadások</t>
  </si>
  <si>
    <t xml:space="preserve">      11 . melléklet az 1/2018. (II. 21.) önkormányzati rendelethez</t>
  </si>
  <si>
    <t xml:space="preserve">Az önkormányzat hitelállománya </t>
  </si>
  <si>
    <t>Hitel megnevezése</t>
  </si>
  <si>
    <t>Felvétel időpontja</t>
  </si>
  <si>
    <t>Felvett összeg (Ft)</t>
  </si>
  <si>
    <t>Lejárati időpont</t>
  </si>
  <si>
    <t>Hitelállomány</t>
  </si>
  <si>
    <t>2018. évi</t>
  </si>
  <si>
    <t>2017.12.31-én (Ft)</t>
  </si>
  <si>
    <t>törlesztés (Ft)</t>
  </si>
  <si>
    <t>Termálvízhasznosítási program megvalósításához</t>
  </si>
  <si>
    <t>felvett fejlesztési hitel*</t>
  </si>
  <si>
    <t xml:space="preserve">Hitelhez tartozó kamat és kezelési költség összege </t>
  </si>
  <si>
    <t>*A kamat és kezelési költség együttes mértéke 4,28%-os.</t>
  </si>
</sst>
</file>

<file path=xl/styles.xml><?xml version="1.0" encoding="utf-8"?>
<styleSheet xmlns="http://schemas.openxmlformats.org/spreadsheetml/2006/main">
  <numFmts count="5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_-* #,##0\ _F_t_-;\-* #,##0\ _F_t_-;_-* &quot;-&quot;??\ _F_t_-;_-@_-"/>
    <numFmt numFmtId="167" formatCode="yyyy\-mm\-dd"/>
    <numFmt numFmtId="168" formatCode="yyyy\-mm\-dd;@"/>
  </numFmts>
  <fonts count="55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  <font>
      <b/>
      <u/>
      <sz val="8"/>
      <name val="Arial"/>
      <family val="2"/>
      <charset val="238"/>
    </font>
    <font>
      <b/>
      <u/>
      <sz val="10"/>
      <color rgb="FFFF0000"/>
      <name val="Arial CE"/>
      <charset val="238"/>
    </font>
    <font>
      <b/>
      <i/>
      <sz val="8"/>
      <name val="Arial CE"/>
      <family val="2"/>
      <charset val="238"/>
    </font>
    <font>
      <sz val="10"/>
      <name val="Arial"/>
      <charset val="238"/>
    </font>
    <font>
      <b/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2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3" fillId="0" borderId="0" applyFill="0" applyBorder="0" applyAlignment="0" applyProtection="0"/>
    <xf numFmtId="9" fontId="33" fillId="0" borderId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1" fillId="0" borderId="0"/>
    <xf numFmtId="0" fontId="46" fillId="0" borderId="0"/>
    <xf numFmtId="0" fontId="1" fillId="0" borderId="0"/>
    <xf numFmtId="0" fontId="46" fillId="0" borderId="0"/>
  </cellStyleXfs>
  <cellXfs count="523">
    <xf numFmtId="0" fontId="0" fillId="0" borderId="0" xfId="0"/>
    <xf numFmtId="0" fontId="1" fillId="0" borderId="0" xfId="3" applyFont="1" applyAlignment="1">
      <alignment horizontal="center"/>
    </xf>
    <xf numFmtId="0" fontId="1" fillId="0" borderId="0" xfId="3" applyFont="1"/>
    <xf numFmtId="0" fontId="1" fillId="0" borderId="0" xfId="3"/>
    <xf numFmtId="3" fontId="1" fillId="0" borderId="0" xfId="3" applyNumberFormat="1" applyFont="1"/>
    <xf numFmtId="0" fontId="1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4" fillId="0" borderId="0" xfId="3" applyFont="1"/>
    <xf numFmtId="3" fontId="4" fillId="0" borderId="0" xfId="3" applyNumberFormat="1" applyFont="1"/>
    <xf numFmtId="0" fontId="2" fillId="0" borderId="0" xfId="3" applyFont="1"/>
    <xf numFmtId="3" fontId="2" fillId="0" borderId="0" xfId="3" applyNumberFormat="1" applyFont="1"/>
    <xf numFmtId="0" fontId="6" fillId="0" borderId="0" xfId="3" applyFont="1"/>
    <xf numFmtId="3" fontId="6" fillId="0" borderId="0" xfId="3" applyNumberFormat="1" applyFont="1"/>
    <xf numFmtId="3" fontId="5" fillId="0" borderId="0" xfId="3" applyNumberFormat="1" applyFont="1"/>
    <xf numFmtId="0" fontId="1" fillId="0" borderId="0" xfId="3" applyFont="1" applyAlignment="1">
      <alignment wrapText="1"/>
    </xf>
    <xf numFmtId="0" fontId="1" fillId="0" borderId="0" xfId="0" applyFont="1" applyBorder="1"/>
    <xf numFmtId="0" fontId="4" fillId="0" borderId="0" xfId="0" applyFont="1" applyFill="1" applyBorder="1"/>
    <xf numFmtId="3" fontId="1" fillId="0" borderId="0" xfId="3" applyNumberFormat="1"/>
    <xf numFmtId="3" fontId="3" fillId="0" borderId="0" xfId="0" applyNumberFormat="1" applyFont="1"/>
    <xf numFmtId="3" fontId="7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7" fillId="0" borderId="0" xfId="0" applyNumberFormat="1" applyFont="1"/>
    <xf numFmtId="0" fontId="2" fillId="0" borderId="0" xfId="0" applyFont="1" applyBorder="1"/>
    <xf numFmtId="0" fontId="5" fillId="0" borderId="0" xfId="0" applyFont="1" applyFill="1" applyBorder="1"/>
    <xf numFmtId="0" fontId="4" fillId="0" borderId="0" xfId="3" applyFont="1" applyAlignment="1">
      <alignment horizontal="center"/>
    </xf>
    <xf numFmtId="165" fontId="3" fillId="0" borderId="0" xfId="1" applyNumberFormat="1"/>
    <xf numFmtId="3" fontId="8" fillId="0" borderId="0" xfId="3" applyNumberFormat="1" applyFont="1"/>
    <xf numFmtId="0" fontId="8" fillId="0" borderId="0" xfId="3" applyFont="1"/>
    <xf numFmtId="0" fontId="3" fillId="0" borderId="0" xfId="0" applyFont="1"/>
    <xf numFmtId="0" fontId="6" fillId="0" borderId="0" xfId="0" applyFont="1"/>
    <xf numFmtId="3" fontId="9" fillId="0" borderId="0" xfId="0" applyNumberFormat="1" applyFont="1"/>
    <xf numFmtId="14" fontId="3" fillId="0" borderId="0" xfId="0" applyNumberFormat="1" applyFont="1"/>
    <xf numFmtId="0" fontId="10" fillId="0" borderId="0" xfId="3" applyFont="1"/>
    <xf numFmtId="49" fontId="1" fillId="0" borderId="0" xfId="0" applyNumberFormat="1" applyFont="1" applyFill="1" applyBorder="1"/>
    <xf numFmtId="2" fontId="5" fillId="0" borderId="0" xfId="0" applyNumberFormat="1" applyFont="1" applyFill="1" applyBorder="1" applyAlignment="1">
      <alignment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" fillId="0" borderId="0" xfId="3" applyFont="1" applyAlignment="1">
      <alignment horizontal="left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" fillId="0" borderId="0" xfId="3" applyFont="1" applyBorder="1" applyAlignment="1">
      <alignment horizontal="left" vertical="top" wrapText="1"/>
    </xf>
    <xf numFmtId="0" fontId="1" fillId="0" borderId="0" xfId="3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/>
    </xf>
    <xf numFmtId="0" fontId="1" fillId="0" borderId="0" xfId="3" applyFont="1" applyAlignment="1">
      <alignment vertical="top" wrapText="1"/>
    </xf>
    <xf numFmtId="0" fontId="1" fillId="0" borderId="0" xfId="3" applyFont="1" applyAlignment="1"/>
    <xf numFmtId="0" fontId="9" fillId="0" borderId="0" xfId="0" applyFont="1" applyAlignment="1">
      <alignment horizontal="right"/>
    </xf>
    <xf numFmtId="0" fontId="0" fillId="0" borderId="0" xfId="0" applyFont="1"/>
    <xf numFmtId="3" fontId="1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15" fillId="2" borderId="2" xfId="0" applyFont="1" applyFill="1" applyBorder="1"/>
    <xf numFmtId="3" fontId="16" fillId="2" borderId="3" xfId="0" applyNumberFormat="1" applyFont="1" applyFill="1" applyBorder="1"/>
    <xf numFmtId="0" fontId="11" fillId="0" borderId="0" xfId="0" applyFont="1" applyBorder="1"/>
    <xf numFmtId="0" fontId="17" fillId="0" borderId="0" xfId="0" applyFont="1" applyBorder="1"/>
    <xf numFmtId="3" fontId="14" fillId="0" borderId="1" xfId="0" applyNumberFormat="1" applyFont="1" applyBorder="1"/>
    <xf numFmtId="0" fontId="18" fillId="0" borderId="0" xfId="0" applyFont="1" applyBorder="1"/>
    <xf numFmtId="3" fontId="19" fillId="0" borderId="0" xfId="0" applyNumberFormat="1" applyFont="1" applyFill="1" applyBorder="1"/>
    <xf numFmtId="0" fontId="20" fillId="0" borderId="0" xfId="0" applyFont="1" applyBorder="1"/>
    <xf numFmtId="3" fontId="21" fillId="0" borderId="0" xfId="0" applyNumberFormat="1" applyFont="1"/>
    <xf numFmtId="3" fontId="19" fillId="0" borderId="0" xfId="0" applyNumberFormat="1" applyFont="1"/>
    <xf numFmtId="0" fontId="17" fillId="0" borderId="0" xfId="3" applyFont="1" applyBorder="1"/>
    <xf numFmtId="3" fontId="7" fillId="0" borderId="0" xfId="0" applyNumberFormat="1" applyFont="1" applyAlignment="1">
      <alignment horizontal="center"/>
    </xf>
    <xf numFmtId="3" fontId="15" fillId="2" borderId="4" xfId="0" applyNumberFormat="1" applyFont="1" applyFill="1" applyBorder="1"/>
    <xf numFmtId="0" fontId="22" fillId="0" borderId="0" xfId="0" applyFont="1" applyBorder="1"/>
    <xf numFmtId="3" fontId="15" fillId="0" borderId="0" xfId="0" applyNumberFormat="1" applyFont="1" applyFill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3" fontId="19" fillId="0" borderId="0" xfId="0" applyNumberFormat="1" applyFont="1" applyFill="1"/>
    <xf numFmtId="3" fontId="21" fillId="0" borderId="0" xfId="0" applyNumberFormat="1" applyFont="1" applyFill="1"/>
    <xf numFmtId="3" fontId="14" fillId="0" borderId="0" xfId="0" applyNumberFormat="1" applyFont="1" applyFill="1"/>
    <xf numFmtId="0" fontId="21" fillId="0" borderId="0" xfId="0" applyFont="1"/>
    <xf numFmtId="0" fontId="23" fillId="0" borderId="0" xfId="0" applyFont="1" applyBorder="1"/>
    <xf numFmtId="0" fontId="24" fillId="0" borderId="0" xfId="0" applyFont="1" applyBorder="1" applyAlignment="1">
      <alignment wrapText="1"/>
    </xf>
    <xf numFmtId="3" fontId="16" fillId="0" borderId="0" xfId="0" applyNumberFormat="1" applyFont="1"/>
    <xf numFmtId="0" fontId="25" fillId="0" borderId="0" xfId="0" applyFont="1" applyBorder="1"/>
    <xf numFmtId="3" fontId="26" fillId="0" borderId="0" xfId="0" applyNumberFormat="1" applyFont="1"/>
    <xf numFmtId="3" fontId="27" fillId="0" borderId="0" xfId="0" applyNumberFormat="1" applyFont="1"/>
    <xf numFmtId="49" fontId="25" fillId="0" borderId="0" xfId="0" applyNumberFormat="1" applyFont="1" applyBorder="1" applyAlignment="1">
      <alignment horizontal="left"/>
    </xf>
    <xf numFmtId="14" fontId="11" fillId="0" borderId="0" xfId="0" applyNumberFormat="1" applyFont="1" applyBorder="1"/>
    <xf numFmtId="0" fontId="28" fillId="0" borderId="0" xfId="0" applyFont="1" applyBorder="1"/>
    <xf numFmtId="3" fontId="29" fillId="3" borderId="5" xfId="0" applyNumberFormat="1" applyFont="1" applyFill="1" applyBorder="1"/>
    <xf numFmtId="0" fontId="15" fillId="0" borderId="0" xfId="0" applyFont="1" applyFill="1" applyBorder="1"/>
    <xf numFmtId="3" fontId="29" fillId="0" borderId="0" xfId="0" applyNumberFormat="1" applyFont="1" applyFill="1" applyBorder="1"/>
    <xf numFmtId="3" fontId="27" fillId="0" borderId="6" xfId="0" applyNumberFormat="1" applyFont="1" applyBorder="1"/>
    <xf numFmtId="3" fontId="29" fillId="2" borderId="6" xfId="0" applyNumberFormat="1" applyFont="1" applyFill="1" applyBorder="1"/>
    <xf numFmtId="3" fontId="27" fillId="0" borderId="0" xfId="0" applyNumberFormat="1" applyFont="1" applyBorder="1"/>
    <xf numFmtId="0" fontId="15" fillId="2" borderId="5" xfId="0" applyFont="1" applyFill="1" applyBorder="1"/>
    <xf numFmtId="3" fontId="15" fillId="2" borderId="5" xfId="0" applyNumberFormat="1" applyFont="1" applyFill="1" applyBorder="1"/>
    <xf numFmtId="0" fontId="11" fillId="0" borderId="0" xfId="0" applyFont="1" applyFill="1" applyBorder="1"/>
    <xf numFmtId="3" fontId="14" fillId="0" borderId="0" xfId="0" applyNumberFormat="1" applyFont="1" applyFill="1" applyBorder="1"/>
    <xf numFmtId="0" fontId="17" fillId="0" borderId="6" xfId="0" applyFont="1" applyBorder="1"/>
    <xf numFmtId="0" fontId="15" fillId="2" borderId="7" xfId="0" applyFont="1" applyFill="1" applyBorder="1"/>
    <xf numFmtId="3" fontId="29" fillId="2" borderId="3" xfId="0" applyNumberFormat="1" applyFont="1" applyFill="1" applyBorder="1"/>
    <xf numFmtId="165" fontId="0" fillId="0" borderId="0" xfId="0" applyNumberFormat="1"/>
    <xf numFmtId="0" fontId="7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/>
    <xf numFmtId="3" fontId="14" fillId="0" borderId="0" xfId="0" applyNumberFormat="1" applyFont="1" applyBorder="1"/>
    <xf numFmtId="0" fontId="30" fillId="4" borderId="6" xfId="0" applyFont="1" applyFill="1" applyBorder="1"/>
    <xf numFmtId="3" fontId="30" fillId="4" borderId="6" xfId="0" applyNumberFormat="1" applyFont="1" applyFill="1" applyBorder="1"/>
    <xf numFmtId="3" fontId="0" fillId="0" borderId="0" xfId="0" applyNumberFormat="1"/>
    <xf numFmtId="3" fontId="0" fillId="0" borderId="0" xfId="0" applyNumberFormat="1" applyFont="1"/>
    <xf numFmtId="0" fontId="17" fillId="0" borderId="0" xfId="0" applyFont="1"/>
    <xf numFmtId="0" fontId="25" fillId="0" borderId="0" xfId="0" applyFont="1"/>
    <xf numFmtId="0" fontId="15" fillId="2" borderId="8" xfId="0" applyFont="1" applyFill="1" applyBorder="1"/>
    <xf numFmtId="3" fontId="16" fillId="2" borderId="4" xfId="0" applyNumberFormat="1" applyFont="1" applyFill="1" applyBorder="1"/>
    <xf numFmtId="3" fontId="14" fillId="0" borderId="6" xfId="0" applyNumberFormat="1" applyFont="1" applyBorder="1"/>
    <xf numFmtId="3" fontId="16" fillId="2" borderId="6" xfId="0" applyNumberFormat="1" applyFont="1" applyFill="1" applyBorder="1"/>
    <xf numFmtId="0" fontId="22" fillId="0" borderId="0" xfId="0" applyFont="1" applyFill="1" applyBorder="1"/>
    <xf numFmtId="3" fontId="30" fillId="0" borderId="0" xfId="0" applyNumberFormat="1" applyFont="1" applyFill="1" applyBorder="1"/>
    <xf numFmtId="0" fontId="14" fillId="0" borderId="0" xfId="0" applyFont="1"/>
    <xf numFmtId="0" fontId="28" fillId="0" borderId="0" xfId="0" applyFont="1"/>
    <xf numFmtId="3" fontId="30" fillId="0" borderId="0" xfId="0" applyNumberFormat="1" applyFont="1"/>
    <xf numFmtId="0" fontId="16" fillId="3" borderId="5" xfId="0" applyFont="1" applyFill="1" applyBorder="1"/>
    <xf numFmtId="3" fontId="16" fillId="3" borderId="5" xfId="0" applyNumberFormat="1" applyFont="1" applyFill="1" applyBorder="1"/>
    <xf numFmtId="3" fontId="30" fillId="0" borderId="0" xfId="0" applyNumberFormat="1" applyFont="1" applyFill="1"/>
    <xf numFmtId="49" fontId="14" fillId="0" borderId="0" xfId="0" applyNumberFormat="1" applyFont="1"/>
    <xf numFmtId="0" fontId="14" fillId="0" borderId="6" xfId="0" applyFont="1" applyBorder="1"/>
    <xf numFmtId="3" fontId="14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>
      <alignment horizontal="right"/>
    </xf>
    <xf numFmtId="3" fontId="29" fillId="3" borderId="5" xfId="1" applyNumberFormat="1" applyFont="1" applyFill="1" applyBorder="1" applyAlignment="1" applyProtection="1"/>
    <xf numFmtId="0" fontId="15" fillId="0" borderId="6" xfId="0" applyFont="1" applyFill="1" applyBorder="1" applyAlignment="1"/>
    <xf numFmtId="3" fontId="29" fillId="0" borderId="6" xfId="1" applyNumberFormat="1" applyFont="1" applyFill="1" applyBorder="1" applyAlignment="1" applyProtection="1"/>
    <xf numFmtId="0" fontId="15" fillId="2" borderId="9" xfId="0" applyFont="1" applyFill="1" applyBorder="1"/>
    <xf numFmtId="3" fontId="16" fillId="2" borderId="6" xfId="1" applyNumberFormat="1" applyFont="1" applyFill="1" applyBorder="1" applyAlignment="1">
      <alignment horizontal="right"/>
    </xf>
    <xf numFmtId="0" fontId="17" fillId="0" borderId="0" xfId="0" applyFont="1" applyAlignment="1"/>
    <xf numFmtId="3" fontId="14" fillId="0" borderId="0" xfId="1" applyNumberFormat="1" applyFont="1" applyAlignment="1">
      <alignment horizontal="right"/>
    </xf>
    <xf numFmtId="2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/>
    <xf numFmtId="3" fontId="16" fillId="0" borderId="0" xfId="0" applyNumberFormat="1" applyFont="1" applyFill="1" applyBorder="1"/>
    <xf numFmtId="0" fontId="12" fillId="0" borderId="0" xfId="0" applyFont="1"/>
    <xf numFmtId="0" fontId="0" fillId="0" borderId="6" xfId="0" applyFont="1" applyBorder="1"/>
    <xf numFmtId="0" fontId="29" fillId="3" borderId="10" xfId="5" applyFont="1" applyFill="1" applyBorder="1" applyAlignment="1">
      <alignment vertical="center" wrapText="1"/>
    </xf>
    <xf numFmtId="3" fontId="29" fillId="3" borderId="6" xfId="5" applyNumberFormat="1" applyFont="1" applyFill="1" applyBorder="1"/>
    <xf numFmtId="3" fontId="14" fillId="0" borderId="6" xfId="1" applyNumberFormat="1" applyFont="1" applyFill="1" applyBorder="1" applyAlignment="1" applyProtection="1"/>
    <xf numFmtId="0" fontId="29" fillId="3" borderId="10" xfId="5" applyFont="1" applyFill="1" applyBorder="1" applyAlignment="1">
      <alignment wrapText="1"/>
    </xf>
    <xf numFmtId="3" fontId="29" fillId="3" borderId="5" xfId="5" applyNumberFormat="1" applyFont="1" applyFill="1" applyBorder="1"/>
    <xf numFmtId="3" fontId="29" fillId="3" borderId="6" xfId="1" applyNumberFormat="1" applyFont="1" applyFill="1" applyBorder="1" applyAlignment="1" applyProtection="1"/>
    <xf numFmtId="0" fontId="29" fillId="0" borderId="0" xfId="5" applyFont="1" applyFill="1" applyBorder="1" applyAlignment="1">
      <alignment wrapText="1"/>
    </xf>
    <xf numFmtId="3" fontId="29" fillId="0" borderId="0" xfId="1" applyNumberFormat="1" applyFont="1" applyFill="1" applyBorder="1" applyAlignment="1" applyProtection="1"/>
    <xf numFmtId="0" fontId="15" fillId="2" borderId="10" xfId="0" applyFont="1" applyFill="1" applyBorder="1"/>
    <xf numFmtId="0" fontId="15" fillId="3" borderId="6" xfId="3" applyFont="1" applyFill="1" applyBorder="1" applyAlignment="1">
      <alignment wrapText="1"/>
    </xf>
    <xf numFmtId="3" fontId="29" fillId="3" borderId="6" xfId="0" applyNumberFormat="1" applyFont="1" applyFill="1" applyBorder="1"/>
    <xf numFmtId="0" fontId="1" fillId="0" borderId="0" xfId="3" applyAlignment="1">
      <alignment wrapText="1"/>
    </xf>
    <xf numFmtId="0" fontId="17" fillId="0" borderId="6" xfId="3" applyFont="1" applyBorder="1"/>
    <xf numFmtId="3" fontId="17" fillId="0" borderId="6" xfId="3" applyNumberFormat="1" applyFont="1" applyBorder="1" applyAlignment="1">
      <alignment horizontal="right"/>
    </xf>
    <xf numFmtId="0" fontId="15" fillId="2" borderId="11" xfId="3" applyFont="1" applyFill="1" applyBorder="1"/>
    <xf numFmtId="3" fontId="15" fillId="2" borderId="12" xfId="3" applyNumberFormat="1" applyFont="1" applyFill="1" applyBorder="1"/>
    <xf numFmtId="3" fontId="31" fillId="0" borderId="0" xfId="3" applyNumberFormat="1" applyFont="1" applyAlignment="1">
      <alignment wrapText="1"/>
    </xf>
    <xf numFmtId="0" fontId="15" fillId="0" borderId="0" xfId="3" applyFont="1" applyFill="1" applyBorder="1"/>
    <xf numFmtId="3" fontId="15" fillId="0" borderId="0" xfId="3" applyNumberFormat="1" applyFont="1" applyFill="1" applyBorder="1"/>
    <xf numFmtId="0" fontId="22" fillId="0" borderId="0" xfId="3" applyFont="1" applyFill="1" applyBorder="1" applyAlignment="1">
      <alignment horizontal="center"/>
    </xf>
    <xf numFmtId="3" fontId="17" fillId="0" borderId="0" xfId="3" applyNumberFormat="1" applyFont="1" applyBorder="1"/>
    <xf numFmtId="0" fontId="32" fillId="0" borderId="0" xfId="3" applyFont="1" applyBorder="1"/>
    <xf numFmtId="3" fontId="15" fillId="0" borderId="0" xfId="3" applyNumberFormat="1" applyFont="1" applyBorder="1"/>
    <xf numFmtId="0" fontId="11" fillId="0" borderId="0" xfId="3" applyFont="1" applyBorder="1"/>
    <xf numFmtId="165" fontId="3" fillId="0" borderId="0" xfId="1" applyNumberFormat="1" applyAlignment="1">
      <alignment wrapText="1"/>
    </xf>
    <xf numFmtId="0" fontId="32" fillId="0" borderId="0" xfId="0" applyFont="1" applyFill="1" applyBorder="1" applyAlignment="1">
      <alignment horizontal="left"/>
    </xf>
    <xf numFmtId="9" fontId="3" fillId="0" borderId="0" xfId="2" applyFont="1" applyAlignment="1">
      <alignment wrapText="1"/>
    </xf>
    <xf numFmtId="0" fontId="17" fillId="0" borderId="0" xfId="3" applyFont="1" applyAlignment="1">
      <alignment wrapText="1"/>
    </xf>
    <xf numFmtId="0" fontId="17" fillId="0" borderId="0" xfId="3" applyFont="1" applyBorder="1" applyAlignment="1">
      <alignment wrapText="1"/>
    </xf>
    <xf numFmtId="0" fontId="28" fillId="0" borderId="0" xfId="3" applyFont="1" applyBorder="1" applyAlignment="1">
      <alignment horizontal="center"/>
    </xf>
    <xf numFmtId="0" fontId="32" fillId="0" borderId="0" xfId="0" applyFont="1" applyFill="1" applyBorder="1" applyAlignment="1">
      <alignment horizontal="left" vertical="top" wrapText="1"/>
    </xf>
    <xf numFmtId="3" fontId="24" fillId="0" borderId="0" xfId="3" applyNumberFormat="1" applyFont="1" applyBorder="1"/>
    <xf numFmtId="3" fontId="11" fillId="0" borderId="0" xfId="3" applyNumberFormat="1" applyFont="1" applyBorder="1"/>
    <xf numFmtId="0" fontId="15" fillId="0" borderId="0" xfId="0" applyFont="1" applyFill="1" applyBorder="1" applyAlignment="1">
      <alignment horizontal="left" wrapText="1"/>
    </xf>
    <xf numFmtId="165" fontId="16" fillId="0" borderId="0" xfId="1" applyNumberFormat="1" applyFont="1" applyFill="1" applyBorder="1" applyAlignment="1">
      <alignment horizontal="right" wrapText="1"/>
    </xf>
    <xf numFmtId="3" fontId="1" fillId="0" borderId="0" xfId="3" applyNumberFormat="1" applyAlignment="1">
      <alignment wrapText="1"/>
    </xf>
    <xf numFmtId="0" fontId="15" fillId="2" borderId="10" xfId="3" applyFont="1" applyFill="1" applyBorder="1"/>
    <xf numFmtId="3" fontId="24" fillId="3" borderId="13" xfId="3" applyNumberFormat="1" applyFont="1" applyFill="1" applyBorder="1"/>
    <xf numFmtId="3" fontId="24" fillId="0" borderId="0" xfId="3" applyNumberFormat="1" applyFont="1" applyFill="1" applyBorder="1"/>
    <xf numFmtId="3" fontId="15" fillId="0" borderId="0" xfId="3" applyNumberFormat="1" applyFont="1" applyBorder="1" applyAlignment="1">
      <alignment vertical="top"/>
    </xf>
    <xf numFmtId="0" fontId="17" fillId="0" borderId="0" xfId="3" applyFont="1" applyFill="1" applyBorder="1"/>
    <xf numFmtId="3" fontId="15" fillId="2" borderId="13" xfId="3" applyNumberFormat="1" applyFont="1" applyFill="1" applyBorder="1"/>
    <xf numFmtId="0" fontId="17" fillId="0" borderId="0" xfId="3" applyFont="1"/>
    <xf numFmtId="0" fontId="16" fillId="3" borderId="14" xfId="6" applyFont="1" applyFill="1" applyBorder="1" applyAlignment="1">
      <alignment horizontal="left"/>
    </xf>
    <xf numFmtId="3" fontId="16" fillId="3" borderId="14" xfId="6" applyNumberFormat="1" applyFont="1" applyFill="1" applyBorder="1" applyAlignment="1">
      <alignment horizontal="right"/>
    </xf>
    <xf numFmtId="0" fontId="16" fillId="0" borderId="0" xfId="6" applyFont="1" applyFill="1" applyAlignment="1">
      <alignment horizontal="left"/>
    </xf>
    <xf numFmtId="0" fontId="16" fillId="0" borderId="0" xfId="6" applyFont="1" applyFill="1" applyAlignment="1">
      <alignment horizontal="center"/>
    </xf>
    <xf numFmtId="0" fontId="30" fillId="0" borderId="0" xfId="6" applyFont="1" applyAlignment="1">
      <alignment horizontal="center"/>
    </xf>
    <xf numFmtId="0" fontId="16" fillId="0" borderId="0" xfId="6" applyFont="1" applyFill="1" applyBorder="1" applyAlignment="1">
      <alignment horizontal="left"/>
    </xf>
    <xf numFmtId="0" fontId="34" fillId="0" borderId="0" xfId="6" applyFont="1" applyFill="1" applyBorder="1" applyAlignment="1">
      <alignment horizontal="left"/>
    </xf>
    <xf numFmtId="3" fontId="24" fillId="0" borderId="0" xfId="3" applyNumberFormat="1" applyFont="1"/>
    <xf numFmtId="0" fontId="14" fillId="0" borderId="0" xfId="6" applyFont="1" applyFill="1" applyBorder="1" applyAlignment="1">
      <alignment horizontal="left"/>
    </xf>
    <xf numFmtId="3" fontId="14" fillId="0" borderId="0" xfId="1" applyNumberFormat="1" applyFont="1"/>
    <xf numFmtId="3" fontId="14" fillId="0" borderId="0" xfId="1" applyNumberFormat="1" applyFont="1" applyFill="1" applyBorder="1"/>
    <xf numFmtId="3" fontId="34" fillId="0" borderId="0" xfId="6" applyNumberFormat="1" applyFont="1" applyFill="1" applyBorder="1" applyAlignment="1">
      <alignment horizontal="right"/>
    </xf>
    <xf numFmtId="0" fontId="14" fillId="0" borderId="0" xfId="6" applyFont="1" applyBorder="1"/>
    <xf numFmtId="0" fontId="14" fillId="0" borderId="0" xfId="6" applyFont="1" applyFill="1" applyBorder="1"/>
    <xf numFmtId="3" fontId="17" fillId="0" borderId="0" xfId="3" applyNumberFormat="1" applyFont="1" applyAlignment="1">
      <alignment horizontal="right"/>
    </xf>
    <xf numFmtId="0" fontId="17" fillId="0" borderId="0" xfId="3" applyFont="1" applyAlignment="1">
      <alignment horizontal="right"/>
    </xf>
    <xf numFmtId="0" fontId="4" fillId="0" borderId="0" xfId="3" applyFont="1" applyAlignment="1">
      <alignment horizontal="center" wrapText="1"/>
    </xf>
    <xf numFmtId="0" fontId="0" fillId="0" borderId="0" xfId="0" applyFont="1" applyAlignment="1">
      <alignment horizontal="center" wrapText="1"/>
    </xf>
    <xf numFmtId="3" fontId="17" fillId="0" borderId="0" xfId="3" applyNumberFormat="1" applyFont="1" applyBorder="1" applyAlignment="1">
      <alignment horizontal="center"/>
    </xf>
    <xf numFmtId="0" fontId="4" fillId="0" borderId="0" xfId="3" applyFont="1" applyBorder="1"/>
    <xf numFmtId="0" fontId="15" fillId="2" borderId="15" xfId="3" applyFont="1" applyFill="1" applyBorder="1"/>
    <xf numFmtId="3" fontId="15" fillId="2" borderId="16" xfId="3" applyNumberFormat="1" applyFont="1" applyFill="1" applyBorder="1"/>
    <xf numFmtId="0" fontId="22" fillId="0" borderId="0" xfId="3" applyFont="1"/>
    <xf numFmtId="3" fontId="22" fillId="0" borderId="0" xfId="3" applyNumberFormat="1" applyFont="1" applyFill="1" applyBorder="1"/>
    <xf numFmtId="0" fontId="22" fillId="0" borderId="0" xfId="3" applyFont="1" applyBorder="1"/>
    <xf numFmtId="3" fontId="28" fillId="0" borderId="0" xfId="3" applyNumberFormat="1" applyFont="1"/>
    <xf numFmtId="3" fontId="11" fillId="0" borderId="0" xfId="3" applyNumberFormat="1" applyFont="1"/>
    <xf numFmtId="3" fontId="17" fillId="0" borderId="0" xfId="3" applyNumberFormat="1" applyFont="1"/>
    <xf numFmtId="3" fontId="22" fillId="0" borderId="0" xfId="3" applyNumberFormat="1" applyFont="1"/>
    <xf numFmtId="0" fontId="17" fillId="0" borderId="0" xfId="3" applyFont="1" applyBorder="1" applyAlignment="1">
      <alignment horizontal="left"/>
    </xf>
    <xf numFmtId="2" fontId="11" fillId="0" borderId="0" xfId="3" applyNumberFormat="1" applyFont="1" applyBorder="1"/>
    <xf numFmtId="0" fontId="24" fillId="0" borderId="0" xfId="3" applyFont="1" applyBorder="1" applyAlignment="1">
      <alignment wrapText="1"/>
    </xf>
    <xf numFmtId="0" fontId="15" fillId="0" borderId="0" xfId="3" applyFont="1" applyFill="1" applyBorder="1" applyAlignment="1">
      <alignment horizontal="center"/>
    </xf>
    <xf numFmtId="0" fontId="4" fillId="0" borderId="0" xfId="3" applyFont="1" applyFill="1"/>
    <xf numFmtId="3" fontId="17" fillId="0" borderId="0" xfId="3" applyNumberFormat="1" applyFont="1" applyFill="1" applyAlignment="1">
      <alignment horizontal="center"/>
    </xf>
    <xf numFmtId="3" fontId="15" fillId="0" borderId="0" xfId="3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0" fillId="0" borderId="16" xfId="0" applyFont="1" applyBorder="1" applyAlignment="1"/>
    <xf numFmtId="0" fontId="17" fillId="0" borderId="0" xfId="0" applyFont="1" applyFill="1" applyBorder="1" applyAlignment="1"/>
    <xf numFmtId="3" fontId="17" fillId="0" borderId="0" xfId="0" applyNumberFormat="1" applyFont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15" fillId="0" borderId="0" xfId="0" applyNumberFormat="1" applyFont="1" applyBorder="1" applyAlignment="1">
      <alignment horizontal="right"/>
    </xf>
    <xf numFmtId="0" fontId="32" fillId="0" borderId="0" xfId="0" applyFont="1" applyBorder="1" applyAlignment="1"/>
    <xf numFmtId="0" fontId="15" fillId="0" borderId="0" xfId="0" applyFont="1" applyFill="1" applyBorder="1" applyAlignment="1"/>
    <xf numFmtId="0" fontId="32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3" fontId="15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5" fillId="0" borderId="0" xfId="0" applyFont="1"/>
    <xf numFmtId="3" fontId="24" fillId="0" borderId="0" xfId="0" applyNumberFormat="1" applyFont="1" applyAlignment="1">
      <alignment horizontal="right"/>
    </xf>
    <xf numFmtId="0" fontId="15" fillId="0" borderId="0" xfId="0" applyFont="1" applyBorder="1" applyAlignment="1"/>
    <xf numFmtId="0" fontId="11" fillId="0" borderId="0" xfId="0" applyFont="1" applyBorder="1" applyAlignment="1"/>
    <xf numFmtId="3" fontId="24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32" fillId="2" borderId="15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15" fillId="2" borderId="16" xfId="0" applyFont="1" applyFill="1" applyBorder="1" applyAlignment="1">
      <alignment horizontal="center"/>
    </xf>
    <xf numFmtId="0" fontId="36" fillId="0" borderId="0" xfId="3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 wrapText="1"/>
    </xf>
    <xf numFmtId="0" fontId="0" fillId="0" borderId="16" xfId="0" applyFont="1" applyBorder="1" applyAlignment="1">
      <alignment wrapText="1"/>
    </xf>
    <xf numFmtId="3" fontId="24" fillId="0" borderId="0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/>
    </xf>
    <xf numFmtId="0" fontId="0" fillId="0" borderId="0" xfId="0" applyFont="1" applyAlignment="1"/>
    <xf numFmtId="0" fontId="16" fillId="0" borderId="0" xfId="0" applyFont="1"/>
    <xf numFmtId="0" fontId="17" fillId="0" borderId="0" xfId="0" applyFont="1" applyFill="1" applyBorder="1"/>
    <xf numFmtId="3" fontId="15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wrapText="1"/>
    </xf>
    <xf numFmtId="0" fontId="37" fillId="0" borderId="0" xfId="0" applyFont="1" applyFill="1" applyBorder="1" applyAlignment="1">
      <alignment horizontal="center"/>
    </xf>
    <xf numFmtId="3" fontId="15" fillId="0" borderId="0" xfId="0" applyNumberFormat="1" applyFont="1" applyFill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15" fillId="2" borderId="14" xfId="0" applyFont="1" applyFill="1" applyBorder="1" applyAlignment="1">
      <alignment horizontal="center"/>
    </xf>
    <xf numFmtId="4" fontId="17" fillId="0" borderId="0" xfId="0" applyNumberFormat="1" applyFont="1"/>
    <xf numFmtId="3" fontId="16" fillId="0" borderId="0" xfId="1" applyNumberFormat="1" applyFont="1" applyAlignment="1">
      <alignment horizontal="right"/>
    </xf>
    <xf numFmtId="3" fontId="29" fillId="0" borderId="0" xfId="1" applyNumberFormat="1" applyFont="1" applyAlignment="1">
      <alignment horizontal="right"/>
    </xf>
    <xf numFmtId="49" fontId="15" fillId="2" borderId="15" xfId="0" applyNumberFormat="1" applyFont="1" applyFill="1" applyBorder="1" applyAlignment="1">
      <alignment horizontal="center"/>
    </xf>
    <xf numFmtId="49" fontId="15" fillId="2" borderId="16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7" fillId="0" borderId="0" xfId="6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35" fillId="0" borderId="0" xfId="6" applyFont="1" applyBorder="1" applyAlignment="1">
      <alignment horizontal="center"/>
    </xf>
    <xf numFmtId="3" fontId="14" fillId="0" borderId="0" xfId="6" applyNumberFormat="1" applyFont="1" applyFill="1" applyBorder="1" applyAlignment="1">
      <alignment horizontal="right"/>
    </xf>
    <xf numFmtId="0" fontId="16" fillId="3" borderId="15" xfId="6" applyFont="1" applyFill="1" applyBorder="1" applyAlignment="1">
      <alignment horizontal="center"/>
    </xf>
    <xf numFmtId="0" fontId="16" fillId="3" borderId="16" xfId="6" applyFont="1" applyFill="1" applyBorder="1" applyAlignment="1">
      <alignment horizontal="center"/>
    </xf>
    <xf numFmtId="3" fontId="14" fillId="0" borderId="0" xfId="6" applyNumberFormat="1" applyFont="1" applyFill="1" applyBorder="1"/>
    <xf numFmtId="3" fontId="16" fillId="0" borderId="0" xfId="6" applyNumberFormat="1" applyFont="1" applyFill="1" applyBorder="1"/>
    <xf numFmtId="3" fontId="16" fillId="0" borderId="0" xfId="6" applyNumberFormat="1" applyFont="1" applyFill="1" applyBorder="1" applyAlignment="1">
      <alignment horizontal="right"/>
    </xf>
    <xf numFmtId="0" fontId="15" fillId="0" borderId="0" xfId="0" applyFont="1" applyBorder="1"/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" fillId="0" borderId="0" xfId="3" applyAlignment="1"/>
    <xf numFmtId="3" fontId="1" fillId="0" borderId="0" xfId="3" applyNumberFormat="1" applyFont="1" applyAlignment="1"/>
    <xf numFmtId="0" fontId="38" fillId="0" borderId="0" xfId="7" applyFont="1" applyBorder="1" applyAlignment="1">
      <alignment horizontal="center"/>
    </xf>
    <xf numFmtId="0" fontId="0" fillId="0" borderId="0" xfId="0"/>
    <xf numFmtId="0" fontId="39" fillId="0" borderId="0" xfId="7" applyFont="1" applyAlignment="1">
      <alignment horizontal="center"/>
    </xf>
    <xf numFmtId="0" fontId="39" fillId="0" borderId="0" xfId="7" applyFont="1"/>
    <xf numFmtId="3" fontId="40" fillId="0" borderId="0" xfId="3" applyNumberFormat="1" applyFont="1"/>
    <xf numFmtId="0" fontId="38" fillId="0" borderId="18" xfId="7" applyFont="1" applyBorder="1" applyAlignment="1">
      <alignment horizontal="center"/>
    </xf>
    <xf numFmtId="3" fontId="17" fillId="0" borderId="18" xfId="3" applyNumberFormat="1" applyFont="1" applyBorder="1"/>
    <xf numFmtId="3" fontId="40" fillId="0" borderId="18" xfId="3" applyNumberFormat="1" applyFont="1" applyBorder="1"/>
    <xf numFmtId="3" fontId="15" fillId="0" borderId="18" xfId="3" applyNumberFormat="1" applyFont="1" applyBorder="1" applyAlignment="1">
      <alignment horizontal="right"/>
    </xf>
    <xf numFmtId="0" fontId="39" fillId="0" borderId="18" xfId="7" applyFont="1" applyBorder="1" applyAlignment="1">
      <alignment horizontal="center"/>
    </xf>
    <xf numFmtId="0" fontId="39" fillId="0" borderId="18" xfId="7" applyFont="1" applyBorder="1"/>
    <xf numFmtId="0" fontId="38" fillId="0" borderId="18" xfId="7" applyFont="1" applyBorder="1" applyAlignment="1">
      <alignment horizontal="center"/>
    </xf>
    <xf numFmtId="3" fontId="41" fillId="0" borderId="18" xfId="3" applyNumberFormat="1" applyFont="1" applyBorder="1" applyAlignment="1">
      <alignment horizontal="right"/>
    </xf>
    <xf numFmtId="3" fontId="42" fillId="0" borderId="18" xfId="7" applyNumberFormat="1" applyFont="1" applyBorder="1"/>
    <xf numFmtId="0" fontId="39" fillId="0" borderId="18" xfId="7" applyFont="1" applyBorder="1" applyAlignment="1">
      <alignment horizontal="center" vertical="top"/>
    </xf>
    <xf numFmtId="0" fontId="39" fillId="0" borderId="18" xfId="7" applyFont="1" applyBorder="1" applyAlignment="1">
      <alignment wrapText="1"/>
    </xf>
    <xf numFmtId="0" fontId="43" fillId="0" borderId="18" xfId="7" applyFont="1" applyBorder="1" applyAlignment="1">
      <alignment horizontal="center"/>
    </xf>
    <xf numFmtId="0" fontId="44" fillId="0" borderId="18" xfId="7" applyFont="1" applyBorder="1" applyAlignment="1">
      <alignment horizontal="center"/>
    </xf>
    <xf numFmtId="0" fontId="38" fillId="0" borderId="18" xfId="7" applyFont="1" applyBorder="1"/>
    <xf numFmtId="3" fontId="45" fillId="0" borderId="18" xfId="7" applyNumberFormat="1" applyFont="1" applyBorder="1"/>
    <xf numFmtId="0" fontId="43" fillId="0" borderId="18" xfId="7" applyFont="1" applyFill="1" applyBorder="1" applyAlignment="1">
      <alignment horizontal="center"/>
    </xf>
    <xf numFmtId="0" fontId="44" fillId="0" borderId="18" xfId="7" applyFont="1" applyFill="1" applyBorder="1" applyAlignment="1">
      <alignment horizontal="center"/>
    </xf>
    <xf numFmtId="0" fontId="46" fillId="0" borderId="0" xfId="8" applyFont="1"/>
    <xf numFmtId="0" fontId="9" fillId="0" borderId="0" xfId="8" applyFont="1"/>
    <xf numFmtId="0" fontId="46" fillId="0" borderId="0" xfId="8" applyFont="1" applyAlignment="1">
      <alignment horizontal="right"/>
    </xf>
    <xf numFmtId="0" fontId="47" fillId="0" borderId="0" xfId="8" applyFont="1" applyAlignment="1"/>
    <xf numFmtId="0" fontId="48" fillId="0" borderId="0" xfId="8" applyFont="1" applyAlignment="1">
      <alignment horizontal="center"/>
    </xf>
    <xf numFmtId="0" fontId="47" fillId="0" borderId="0" xfId="8" applyFont="1" applyAlignment="1">
      <alignment horizontal="left"/>
    </xf>
    <xf numFmtId="0" fontId="49" fillId="0" borderId="18" xfId="8" applyFont="1" applyFill="1" applyBorder="1" applyAlignment="1">
      <alignment horizontal="center" vertical="center" wrapText="1"/>
    </xf>
    <xf numFmtId="0" fontId="7" fillId="0" borderId="18" xfId="8" applyFont="1" applyBorder="1" applyAlignment="1">
      <alignment horizontal="center" vertical="center" wrapText="1"/>
    </xf>
    <xf numFmtId="0" fontId="46" fillId="0" borderId="18" xfId="8" applyFont="1" applyBorder="1"/>
    <xf numFmtId="0" fontId="3" fillId="0" borderId="18" xfId="8" applyFont="1" applyBorder="1" applyAlignment="1">
      <alignment horizontal="left" vertical="top" wrapText="1"/>
    </xf>
    <xf numFmtId="3" fontId="3" fillId="0" borderId="18" xfId="8" applyNumberFormat="1" applyFont="1" applyBorder="1" applyAlignment="1">
      <alignment horizontal="right" vertical="top" wrapText="1"/>
    </xf>
    <xf numFmtId="0" fontId="7" fillId="0" borderId="18" xfId="8" applyFont="1" applyBorder="1" applyAlignment="1">
      <alignment horizontal="left" vertical="top" wrapText="1"/>
    </xf>
    <xf numFmtId="3" fontId="7" fillId="0" borderId="18" xfId="8" applyNumberFormat="1" applyFont="1" applyBorder="1" applyAlignment="1">
      <alignment horizontal="right" vertical="top" wrapText="1"/>
    </xf>
    <xf numFmtId="0" fontId="0" fillId="0" borderId="18" xfId="8" applyFont="1" applyBorder="1" applyAlignment="1">
      <alignment horizontal="left" vertical="top" wrapText="1"/>
    </xf>
    <xf numFmtId="3" fontId="50" fillId="0" borderId="0" xfId="0" applyNumberFormat="1" applyFont="1"/>
    <xf numFmtId="0" fontId="0" fillId="0" borderId="0" xfId="0" applyAlignment="1">
      <alignment wrapText="1"/>
    </xf>
    <xf numFmtId="0" fontId="9" fillId="0" borderId="0" xfId="0" applyFont="1" applyAlignment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center"/>
    </xf>
    <xf numFmtId="0" fontId="51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51" fillId="0" borderId="0" xfId="0" applyFont="1" applyAlignment="1">
      <alignment horizontal="right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vertical="top" wrapText="1"/>
    </xf>
    <xf numFmtId="166" fontId="14" fillId="0" borderId="18" xfId="1" applyNumberFormat="1" applyFont="1" applyBorder="1"/>
    <xf numFmtId="0" fontId="16" fillId="0" borderId="18" xfId="0" applyFont="1" applyFill="1" applyBorder="1" applyAlignment="1">
      <alignment vertical="center" wrapText="1"/>
    </xf>
    <xf numFmtId="165" fontId="16" fillId="0" borderId="18" xfId="0" applyNumberFormat="1" applyFont="1" applyBorder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Border="1"/>
    <xf numFmtId="0" fontId="52" fillId="0" borderId="0" xfId="0" applyFont="1" applyBorder="1"/>
    <xf numFmtId="166" fontId="14" fillId="0" borderId="18" xfId="0" applyNumberFormat="1" applyFont="1" applyBorder="1"/>
    <xf numFmtId="165" fontId="14" fillId="0" borderId="18" xfId="1" applyNumberFormat="1" applyFont="1" applyBorder="1"/>
    <xf numFmtId="165" fontId="14" fillId="0" borderId="19" xfId="1" applyNumberFormat="1" applyFont="1" applyFill="1" applyBorder="1"/>
    <xf numFmtId="165" fontId="16" fillId="0" borderId="0" xfId="0" applyNumberFormat="1" applyFont="1" applyBorder="1"/>
    <xf numFmtId="0" fontId="30" fillId="0" borderId="0" xfId="0" applyFont="1" applyAlignment="1"/>
    <xf numFmtId="0" fontId="16" fillId="0" borderId="18" xfId="0" applyFont="1" applyBorder="1" applyAlignment="1">
      <alignment wrapText="1"/>
    </xf>
    <xf numFmtId="165" fontId="14" fillId="0" borderId="18" xfId="1" applyNumberFormat="1" applyFont="1" applyBorder="1" applyAlignment="1"/>
    <xf numFmtId="0" fontId="16" fillId="0" borderId="18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52" fillId="0" borderId="0" xfId="0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/>
    </xf>
    <xf numFmtId="165" fontId="14" fillId="0" borderId="0" xfId="1" applyNumberFormat="1" applyFont="1" applyBorder="1"/>
    <xf numFmtId="165" fontId="51" fillId="0" borderId="0" xfId="1" applyNumberFormat="1" applyFont="1" applyBorder="1"/>
    <xf numFmtId="0" fontId="6" fillId="0" borderId="0" xfId="3" applyFont="1" applyAlignment="1"/>
    <xf numFmtId="0" fontId="1" fillId="0" borderId="0" xfId="3" applyFont="1" applyAlignment="1"/>
    <xf numFmtId="0" fontId="1" fillId="0" borderId="0" xfId="3" applyBorder="1"/>
    <xf numFmtId="0" fontId="1" fillId="0" borderId="20" xfId="9" applyFont="1" applyBorder="1"/>
    <xf numFmtId="0" fontId="1" fillId="0" borderId="21" xfId="9" applyFont="1" applyBorder="1" applyAlignment="1">
      <alignment horizontal="center"/>
    </xf>
    <xf numFmtId="0" fontId="1" fillId="0" borderId="22" xfId="9" applyFont="1" applyBorder="1" applyAlignment="1">
      <alignment horizontal="center"/>
    </xf>
    <xf numFmtId="0" fontId="1" fillId="0" borderId="23" xfId="9" applyFont="1" applyBorder="1" applyAlignment="1">
      <alignment horizontal="left"/>
    </xf>
    <xf numFmtId="0" fontId="1" fillId="0" borderId="21" xfId="9" applyBorder="1"/>
    <xf numFmtId="0" fontId="1" fillId="0" borderId="24" xfId="9" applyBorder="1"/>
    <xf numFmtId="0" fontId="4" fillId="0" borderId="25" xfId="9" applyFont="1" applyBorder="1" applyAlignment="1">
      <alignment horizontal="left"/>
    </xf>
    <xf numFmtId="0" fontId="1" fillId="0" borderId="26" xfId="9" applyFont="1" applyBorder="1"/>
    <xf numFmtId="0" fontId="1" fillId="0" borderId="0" xfId="9" applyFont="1" applyBorder="1" applyAlignment="1">
      <alignment horizontal="left"/>
    </xf>
    <xf numFmtId="0" fontId="1" fillId="0" borderId="27" xfId="9" applyBorder="1"/>
    <xf numFmtId="0" fontId="1" fillId="0" borderId="28" xfId="9" applyFont="1" applyBorder="1" applyAlignment="1">
      <alignment horizontal="left"/>
    </xf>
    <xf numFmtId="0" fontId="1" fillId="0" borderId="0" xfId="9" applyBorder="1"/>
    <xf numFmtId="0" fontId="1" fillId="0" borderId="29" xfId="9" applyBorder="1"/>
    <xf numFmtId="0" fontId="4" fillId="0" borderId="30" xfId="9" applyFont="1" applyBorder="1" applyAlignment="1">
      <alignment horizontal="left"/>
    </xf>
    <xf numFmtId="0" fontId="1" fillId="0" borderId="26" xfId="9" applyBorder="1"/>
    <xf numFmtId="0" fontId="1" fillId="0" borderId="0" xfId="9" applyFont="1" applyBorder="1" applyAlignment="1">
      <alignment horizontal="center"/>
    </xf>
    <xf numFmtId="0" fontId="1" fillId="0" borderId="27" xfId="9" applyFont="1" applyBorder="1" applyAlignment="1">
      <alignment horizontal="center"/>
    </xf>
    <xf numFmtId="0" fontId="1" fillId="0" borderId="28" xfId="9" applyFont="1" applyBorder="1" applyAlignment="1">
      <alignment horizontal="center"/>
    </xf>
    <xf numFmtId="0" fontId="4" fillId="0" borderId="29" xfId="9" applyFont="1" applyBorder="1" applyAlignment="1">
      <alignment horizontal="center"/>
    </xf>
    <xf numFmtId="0" fontId="4" fillId="0" borderId="30" xfId="9" applyFont="1" applyBorder="1" applyAlignment="1">
      <alignment horizontal="center"/>
    </xf>
    <xf numFmtId="0" fontId="1" fillId="0" borderId="31" xfId="9" applyBorder="1"/>
    <xf numFmtId="0" fontId="1" fillId="0" borderId="6" xfId="9" applyBorder="1"/>
    <xf numFmtId="0" fontId="1" fillId="0" borderId="32" xfId="9" applyBorder="1"/>
    <xf numFmtId="0" fontId="1" fillId="0" borderId="9" xfId="9" applyBorder="1"/>
    <xf numFmtId="0" fontId="4" fillId="0" borderId="29" xfId="9" applyFont="1" applyBorder="1"/>
    <xf numFmtId="0" fontId="1" fillId="0" borderId="30" xfId="9" applyFont="1" applyBorder="1"/>
    <xf numFmtId="0" fontId="4" fillId="0" borderId="20" xfId="9" applyFont="1" applyBorder="1"/>
    <xf numFmtId="0" fontId="1" fillId="0" borderId="33" xfId="9" applyFont="1" applyBorder="1" applyAlignment="1">
      <alignment horizontal="center"/>
    </xf>
    <xf numFmtId="0" fontId="1" fillId="0" borderId="34" xfId="9" applyFont="1" applyBorder="1" applyAlignment="1">
      <alignment horizontal="center"/>
    </xf>
    <xf numFmtId="0" fontId="1" fillId="0" borderId="24" xfId="9" applyFont="1" applyBorder="1" applyAlignment="1">
      <alignment horizontal="center"/>
    </xf>
    <xf numFmtId="0" fontId="4" fillId="0" borderId="24" xfId="9" applyFont="1" applyBorder="1" applyAlignment="1">
      <alignment horizontal="center"/>
    </xf>
    <xf numFmtId="0" fontId="1" fillId="0" borderId="35" xfId="9" applyFont="1" applyBorder="1" applyAlignment="1">
      <alignment horizontal="center"/>
    </xf>
    <xf numFmtId="165" fontId="1" fillId="0" borderId="36" xfId="9" applyNumberFormat="1" applyFont="1" applyBorder="1" applyAlignment="1">
      <alignment horizontal="center"/>
    </xf>
    <xf numFmtId="3" fontId="1" fillId="0" borderId="37" xfId="9" applyNumberFormat="1" applyFont="1" applyBorder="1" applyAlignment="1">
      <alignment horizontal="center"/>
    </xf>
    <xf numFmtId="165" fontId="3" fillId="0" borderId="29" xfId="1" quotePrefix="1" applyNumberFormat="1" applyBorder="1" applyAlignment="1">
      <alignment horizontal="center"/>
    </xf>
    <xf numFmtId="165" fontId="3" fillId="0" borderId="37" xfId="1" quotePrefix="1" applyNumberFormat="1" applyBorder="1" applyAlignment="1">
      <alignment horizontal="center"/>
    </xf>
    <xf numFmtId="165" fontId="5" fillId="0" borderId="29" xfId="9" applyNumberFormat="1" applyFont="1" applyBorder="1" applyAlignment="1">
      <alignment horizontal="center"/>
    </xf>
    <xf numFmtId="3" fontId="1" fillId="0" borderId="38" xfId="9" applyNumberFormat="1" applyFont="1" applyBorder="1" applyAlignment="1">
      <alignment horizontal="center"/>
    </xf>
    <xf numFmtId="0" fontId="1" fillId="0" borderId="36" xfId="9" applyFont="1" applyBorder="1" applyAlignment="1">
      <alignment horizontal="center"/>
    </xf>
    <xf numFmtId="165" fontId="0" fillId="0" borderId="29" xfId="1" quotePrefix="1" applyNumberFormat="1" applyFont="1" applyBorder="1" applyAlignment="1">
      <alignment horizontal="center"/>
    </xf>
    <xf numFmtId="165" fontId="3" fillId="0" borderId="39" xfId="1" quotePrefix="1" applyNumberFormat="1" applyBorder="1" applyAlignment="1">
      <alignment horizontal="center"/>
    </xf>
    <xf numFmtId="165" fontId="1" fillId="0" borderId="29" xfId="9" applyNumberFormat="1" applyFont="1" applyBorder="1" applyAlignment="1">
      <alignment horizontal="center"/>
    </xf>
    <xf numFmtId="165" fontId="1" fillId="0" borderId="38" xfId="9" applyNumberFormat="1" applyFont="1" applyBorder="1" applyAlignment="1">
      <alignment horizontal="center"/>
    </xf>
    <xf numFmtId="0" fontId="0" fillId="0" borderId="38" xfId="0" applyBorder="1"/>
    <xf numFmtId="165" fontId="3" fillId="0" borderId="29" xfId="1" applyNumberFormat="1" applyBorder="1"/>
    <xf numFmtId="165" fontId="3" fillId="0" borderId="39" xfId="1" applyNumberFormat="1" applyBorder="1"/>
    <xf numFmtId="0" fontId="0" fillId="0" borderId="29" xfId="0" applyBorder="1"/>
    <xf numFmtId="165" fontId="1" fillId="0" borderId="40" xfId="9" applyNumberFormat="1" applyFont="1" applyBorder="1" applyAlignment="1">
      <alignment horizontal="center"/>
    </xf>
    <xf numFmtId="0" fontId="4" fillId="0" borderId="41" xfId="9" applyFont="1" applyBorder="1"/>
    <xf numFmtId="0" fontId="1" fillId="0" borderId="42" xfId="9" applyFont="1" applyBorder="1" applyAlignment="1">
      <alignment horizontal="center"/>
    </xf>
    <xf numFmtId="3" fontId="1" fillId="0" borderId="43" xfId="9" applyNumberFormat="1" applyFont="1" applyBorder="1" applyAlignment="1">
      <alignment horizontal="center"/>
    </xf>
    <xf numFmtId="165" fontId="3" fillId="0" borderId="44" xfId="1" quotePrefix="1" applyNumberFormat="1" applyBorder="1" applyAlignment="1">
      <alignment horizontal="center"/>
    </xf>
    <xf numFmtId="165" fontId="3" fillId="0" borderId="43" xfId="1" quotePrefix="1" applyNumberFormat="1" applyBorder="1" applyAlignment="1">
      <alignment horizontal="center"/>
    </xf>
    <xf numFmtId="0" fontId="1" fillId="0" borderId="45" xfId="9" applyFont="1" applyBorder="1" applyAlignment="1">
      <alignment horizontal="center"/>
    </xf>
    <xf numFmtId="3" fontId="1" fillId="0" borderId="46" xfId="9" applyNumberFormat="1" applyFont="1" applyBorder="1" applyAlignment="1">
      <alignment horizontal="center"/>
    </xf>
    <xf numFmtId="0" fontId="1" fillId="0" borderId="47" xfId="9" applyFont="1" applyBorder="1" applyAlignment="1">
      <alignment horizontal="center"/>
    </xf>
    <xf numFmtId="3" fontId="1" fillId="0" borderId="48" xfId="9" applyNumberFormat="1" applyFont="1" applyBorder="1" applyAlignment="1">
      <alignment horizontal="center"/>
    </xf>
    <xf numFmtId="165" fontId="3" fillId="0" borderId="36" xfId="1" applyNumberFormat="1" applyBorder="1" applyAlignment="1">
      <alignment horizontal="center"/>
    </xf>
    <xf numFmtId="165" fontId="3" fillId="0" borderId="37" xfId="1" applyNumberFormat="1" applyBorder="1" applyAlignment="1">
      <alignment horizontal="center"/>
    </xf>
    <xf numFmtId="165" fontId="3" fillId="0" borderId="48" xfId="1" applyNumberFormat="1" applyBorder="1" applyAlignment="1">
      <alignment horizontal="center"/>
    </xf>
    <xf numFmtId="0" fontId="1" fillId="0" borderId="49" xfId="9" applyBorder="1"/>
    <xf numFmtId="0" fontId="1" fillId="0" borderId="50" xfId="9" applyFont="1" applyBorder="1" applyAlignment="1">
      <alignment horizontal="center"/>
    </xf>
    <xf numFmtId="3" fontId="1" fillId="0" borderId="51" xfId="9" applyNumberFormat="1" applyFont="1" applyBorder="1" applyAlignment="1">
      <alignment horizontal="center"/>
    </xf>
    <xf numFmtId="165" fontId="3" fillId="0" borderId="52" xfId="1" applyNumberFormat="1" applyBorder="1" applyAlignment="1">
      <alignment horizontal="center"/>
    </xf>
    <xf numFmtId="165" fontId="3" fillId="0" borderId="51" xfId="1" applyNumberFormat="1" applyBorder="1" applyAlignment="1">
      <alignment horizontal="center"/>
    </xf>
    <xf numFmtId="0" fontId="1" fillId="0" borderId="53" xfId="9" applyFont="1" applyBorder="1" applyAlignment="1">
      <alignment horizontal="center"/>
    </xf>
    <xf numFmtId="3" fontId="1" fillId="0" borderId="54" xfId="9" applyNumberFormat="1" applyFont="1" applyBorder="1" applyAlignment="1">
      <alignment horizontal="center"/>
    </xf>
    <xf numFmtId="165" fontId="3" fillId="0" borderId="29" xfId="1" applyNumberFormat="1" applyBorder="1" applyAlignment="1">
      <alignment horizontal="center"/>
    </xf>
    <xf numFmtId="3" fontId="1" fillId="0" borderId="36" xfId="9" applyNumberFormat="1" applyFont="1" applyBorder="1" applyAlignment="1">
      <alignment horizontal="center"/>
    </xf>
    <xf numFmtId="165" fontId="3" fillId="0" borderId="47" xfId="1" applyNumberFormat="1" applyBorder="1" applyAlignment="1">
      <alignment horizontal="center"/>
    </xf>
    <xf numFmtId="3" fontId="1" fillId="0" borderId="47" xfId="9" applyNumberFormat="1" applyFont="1" applyBorder="1" applyAlignment="1">
      <alignment horizontal="center"/>
    </xf>
    <xf numFmtId="165" fontId="3" fillId="0" borderId="36" xfId="1" quotePrefix="1" applyNumberFormat="1" applyBorder="1" applyAlignment="1">
      <alignment horizontal="center"/>
    </xf>
    <xf numFmtId="165" fontId="3" fillId="0" borderId="47" xfId="1" quotePrefix="1" applyNumberFormat="1" applyBorder="1" applyAlignment="1">
      <alignment horizontal="center"/>
    </xf>
    <xf numFmtId="0" fontId="1" fillId="0" borderId="31" xfId="9" applyFont="1" applyBorder="1"/>
    <xf numFmtId="0" fontId="1" fillId="0" borderId="55" xfId="9" applyFont="1" applyBorder="1" applyAlignment="1">
      <alignment horizontal="center"/>
    </xf>
    <xf numFmtId="3" fontId="1" fillId="0" borderId="56" xfId="9" applyNumberFormat="1" applyFont="1" applyBorder="1" applyAlignment="1">
      <alignment horizontal="center"/>
    </xf>
    <xf numFmtId="0" fontId="4" fillId="0" borderId="26" xfId="9" applyFont="1" applyBorder="1"/>
    <xf numFmtId="0" fontId="1" fillId="0" borderId="21" xfId="9" applyFont="1" applyBorder="1" applyAlignment="1">
      <alignment horizontal="center"/>
    </xf>
    <xf numFmtId="3" fontId="1" fillId="0" borderId="20" xfId="9" applyNumberFormat="1" applyFont="1" applyBorder="1" applyAlignment="1">
      <alignment horizontal="center"/>
    </xf>
    <xf numFmtId="165" fontId="3" fillId="0" borderId="20" xfId="1" applyNumberFormat="1" applyBorder="1" applyAlignment="1">
      <alignment horizontal="center"/>
    </xf>
    <xf numFmtId="165" fontId="3" fillId="0" borderId="21" xfId="1" applyNumberFormat="1" applyBorder="1" applyAlignment="1">
      <alignment horizontal="center"/>
    </xf>
    <xf numFmtId="165" fontId="4" fillId="0" borderId="0" xfId="9" applyNumberFormat="1" applyFont="1" applyBorder="1" applyAlignment="1">
      <alignment horizontal="center"/>
    </xf>
    <xf numFmtId="165" fontId="4" fillId="0" borderId="26" xfId="9" applyNumberFormat="1" applyFont="1" applyBorder="1" applyAlignment="1">
      <alignment horizontal="center"/>
    </xf>
    <xf numFmtId="165" fontId="4" fillId="0" borderId="29" xfId="9" applyNumberFormat="1" applyFont="1" applyBorder="1" applyAlignment="1">
      <alignment horizontal="center"/>
    </xf>
    <xf numFmtId="0" fontId="4" fillId="0" borderId="49" xfId="9" applyFont="1" applyBorder="1"/>
    <xf numFmtId="0" fontId="1" fillId="0" borderId="17" xfId="9" applyFont="1" applyBorder="1" applyAlignment="1">
      <alignment horizontal="center"/>
    </xf>
    <xf numFmtId="3" fontId="1" fillId="0" borderId="49" xfId="9" applyNumberFormat="1" applyFont="1" applyBorder="1" applyAlignment="1">
      <alignment horizontal="center"/>
    </xf>
    <xf numFmtId="165" fontId="3" fillId="0" borderId="49" xfId="1" quotePrefix="1" applyNumberFormat="1" applyBorder="1" applyAlignment="1">
      <alignment horizontal="center"/>
    </xf>
    <xf numFmtId="165" fontId="3" fillId="0" borderId="17" xfId="1" quotePrefix="1" applyNumberFormat="1" applyBorder="1" applyAlignment="1">
      <alignment horizontal="center"/>
    </xf>
    <xf numFmtId="0" fontId="1" fillId="0" borderId="52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4" fillId="0" borderId="26" xfId="9" applyNumberFormat="1" applyFont="1" applyBorder="1" applyAlignment="1">
      <alignment horizontal="center"/>
    </xf>
    <xf numFmtId="165" fontId="3" fillId="0" borderId="26" xfId="1" applyNumberFormat="1" applyBorder="1" applyAlignment="1">
      <alignment horizontal="center"/>
    </xf>
    <xf numFmtId="165" fontId="3" fillId="0" borderId="0" xfId="1" applyNumberFormat="1" applyBorder="1" applyAlignment="1">
      <alignment horizontal="center"/>
    </xf>
    <xf numFmtId="0" fontId="4" fillId="0" borderId="31" xfId="9" applyFont="1" applyBorder="1"/>
    <xf numFmtId="165" fontId="2" fillId="0" borderId="6" xfId="9" applyNumberFormat="1" applyFont="1" applyBorder="1" applyAlignment="1">
      <alignment horizontal="center"/>
    </xf>
    <xf numFmtId="165" fontId="2" fillId="0" borderId="11" xfId="9" applyNumberFormat="1" applyFont="1" applyBorder="1" applyAlignment="1">
      <alignment horizontal="center"/>
    </xf>
    <xf numFmtId="165" fontId="7" fillId="0" borderId="31" xfId="1" quotePrefix="1" applyNumberFormat="1" applyFont="1" applyBorder="1" applyAlignment="1">
      <alignment horizontal="center"/>
    </xf>
    <xf numFmtId="165" fontId="7" fillId="0" borderId="11" xfId="1" quotePrefix="1" applyNumberFormat="1" applyFont="1" applyBorder="1" applyAlignment="1">
      <alignment horizontal="center"/>
    </xf>
    <xf numFmtId="0" fontId="0" fillId="0" borderId="0" xfId="0" applyFill="1"/>
    <xf numFmtId="0" fontId="53" fillId="0" borderId="0" xfId="0" applyFont="1"/>
    <xf numFmtId="0" fontId="7" fillId="0" borderId="5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3" fontId="0" fillId="0" borderId="18" xfId="0" applyNumberFormat="1" applyFont="1" applyFill="1" applyBorder="1" applyAlignment="1">
      <alignment horizontal="center" vertical="center"/>
    </xf>
    <xf numFmtId="0" fontId="1" fillId="0" borderId="0" xfId="3" applyAlignment="1">
      <alignment horizontal="right"/>
    </xf>
    <xf numFmtId="0" fontId="2" fillId="0" borderId="0" xfId="3" applyFont="1" applyAlignment="1">
      <alignment horizontal="center"/>
    </xf>
    <xf numFmtId="0" fontId="4" fillId="0" borderId="0" xfId="3" applyFont="1" applyBorder="1" applyAlignment="1">
      <alignment horizontal="center"/>
    </xf>
    <xf numFmtId="0" fontId="36" fillId="0" borderId="0" xfId="3" applyFont="1"/>
    <xf numFmtId="3" fontId="17" fillId="0" borderId="0" xfId="7" applyNumberFormat="1" applyFont="1" applyAlignment="1">
      <alignment horizontal="right"/>
    </xf>
    <xf numFmtId="0" fontId="17" fillId="0" borderId="59" xfId="7" applyFont="1" applyBorder="1" applyAlignment="1">
      <alignment horizontal="center"/>
    </xf>
    <xf numFmtId="3" fontId="17" fillId="0" borderId="59" xfId="7" applyNumberFormat="1" applyFont="1" applyBorder="1" applyAlignment="1">
      <alignment horizontal="center" vertical="top" wrapText="1"/>
    </xf>
    <xf numFmtId="3" fontId="17" fillId="0" borderId="59" xfId="7" applyNumberFormat="1" applyFont="1" applyBorder="1" applyAlignment="1">
      <alignment horizontal="center" vertical="top"/>
    </xf>
    <xf numFmtId="3" fontId="17" fillId="0" borderId="18" xfId="7" applyNumberFormat="1" applyFont="1" applyFill="1" applyBorder="1" applyAlignment="1">
      <alignment horizontal="center" vertical="top" wrapText="1"/>
    </xf>
    <xf numFmtId="3" fontId="17" fillId="0" borderId="59" xfId="7" applyNumberFormat="1" applyFont="1" applyBorder="1"/>
    <xf numFmtId="3" fontId="14" fillId="0" borderId="18" xfId="0" applyNumberFormat="1" applyFont="1" applyBorder="1"/>
    <xf numFmtId="3" fontId="15" fillId="0" borderId="59" xfId="7" applyNumberFormat="1" applyFont="1" applyBorder="1"/>
    <xf numFmtId="3" fontId="17" fillId="0" borderId="0" xfId="7" applyNumberFormat="1" applyFont="1" applyBorder="1"/>
    <xf numFmtId="3" fontId="17" fillId="0" borderId="60" xfId="7" applyNumberFormat="1" applyFont="1" applyBorder="1"/>
    <xf numFmtId="1" fontId="0" fillId="0" borderId="0" xfId="0" applyNumberFormat="1"/>
    <xf numFmtId="1" fontId="7" fillId="0" borderId="0" xfId="0" applyNumberFormat="1" applyFont="1"/>
    <xf numFmtId="0" fontId="15" fillId="0" borderId="59" xfId="7" applyFont="1" applyBorder="1" applyAlignment="1">
      <alignment horizontal="center"/>
    </xf>
    <xf numFmtId="3" fontId="16" fillId="0" borderId="18" xfId="0" applyNumberFormat="1" applyFont="1" applyBorder="1"/>
    <xf numFmtId="165" fontId="14" fillId="0" borderId="0" xfId="1" applyNumberFormat="1" applyFont="1"/>
    <xf numFmtId="165" fontId="3" fillId="0" borderId="0" xfId="1" applyNumberFormat="1" applyFont="1"/>
    <xf numFmtId="0" fontId="36" fillId="0" borderId="0" xfId="7" applyFont="1"/>
    <xf numFmtId="3" fontId="17" fillId="0" borderId="0" xfId="7" applyNumberFormat="1" applyFont="1"/>
    <xf numFmtId="3" fontId="17" fillId="0" borderId="61" xfId="7" applyNumberFormat="1" applyFont="1" applyBorder="1" applyAlignment="1">
      <alignment horizontal="center" vertical="top" wrapText="1"/>
    </xf>
    <xf numFmtId="3" fontId="17" fillId="0" borderId="18" xfId="7" applyNumberFormat="1" applyFont="1" applyBorder="1" applyAlignment="1">
      <alignment horizontal="center" vertical="top"/>
    </xf>
    <xf numFmtId="3" fontId="17" fillId="0" borderId="61" xfId="7" applyNumberFormat="1" applyFont="1" applyBorder="1"/>
    <xf numFmtId="3" fontId="17" fillId="0" borderId="18" xfId="7" applyNumberFormat="1" applyFont="1" applyBorder="1"/>
    <xf numFmtId="3" fontId="17" fillId="0" borderId="0" xfId="7" applyNumberFormat="1" applyFont="1" applyFill="1" applyBorder="1"/>
    <xf numFmtId="3" fontId="15" fillId="0" borderId="61" xfId="7" applyNumberFormat="1" applyFont="1" applyBorder="1"/>
    <xf numFmtId="3" fontId="15" fillId="0" borderId="18" xfId="7" applyNumberFormat="1" applyFont="1" applyBorder="1"/>
    <xf numFmtId="165" fontId="54" fillId="0" borderId="0" xfId="1" applyNumberFormat="1" applyFont="1" applyBorder="1"/>
    <xf numFmtId="0" fontId="0" fillId="0" borderId="0" xfId="0" applyBorder="1"/>
    <xf numFmtId="165" fontId="3" fillId="0" borderId="0" xfId="1" applyNumberFormat="1" applyFont="1" applyBorder="1"/>
    <xf numFmtId="0" fontId="4" fillId="0" borderId="62" xfId="3" applyFont="1" applyBorder="1" applyAlignment="1">
      <alignment horizontal="center"/>
    </xf>
    <xf numFmtId="0" fontId="4" fillId="0" borderId="63" xfId="3" applyFont="1" applyBorder="1" applyAlignment="1">
      <alignment horizontal="center"/>
    </xf>
    <xf numFmtId="0" fontId="4" fillId="0" borderId="43" xfId="3" applyFont="1" applyBorder="1" applyAlignment="1">
      <alignment horizontal="center"/>
    </xf>
    <xf numFmtId="0" fontId="4" fillId="0" borderId="57" xfId="3" applyFont="1" applyBorder="1" applyAlignment="1">
      <alignment horizontal="center"/>
    </xf>
    <xf numFmtId="0" fontId="4" fillId="0" borderId="42" xfId="3" applyFont="1" applyBorder="1" applyAlignment="1">
      <alignment horizontal="center"/>
    </xf>
    <xf numFmtId="0" fontId="4" fillId="0" borderId="64" xfId="3" applyFont="1" applyBorder="1" applyAlignment="1">
      <alignment horizontal="center"/>
    </xf>
    <xf numFmtId="0" fontId="4" fillId="0" borderId="37" xfId="3" applyFont="1" applyBorder="1"/>
    <xf numFmtId="0" fontId="4" fillId="0" borderId="65" xfId="3" applyFont="1" applyBorder="1"/>
    <xf numFmtId="0" fontId="4" fillId="0" borderId="51" xfId="3" applyFont="1" applyBorder="1"/>
    <xf numFmtId="0" fontId="4" fillId="0" borderId="58" xfId="3" applyFont="1" applyBorder="1"/>
    <xf numFmtId="0" fontId="4" fillId="0" borderId="50" xfId="3" applyFont="1" applyBorder="1" applyAlignment="1">
      <alignment horizontal="center"/>
    </xf>
    <xf numFmtId="0" fontId="4" fillId="0" borderId="66" xfId="3" applyFont="1" applyBorder="1" applyAlignment="1">
      <alignment horizontal="center"/>
    </xf>
    <xf numFmtId="0" fontId="0" fillId="0" borderId="57" xfId="0" applyBorder="1"/>
    <xf numFmtId="0" fontId="0" fillId="0" borderId="57" xfId="0" applyFont="1" applyBorder="1"/>
    <xf numFmtId="3" fontId="0" fillId="0" borderId="67" xfId="0" applyNumberFormat="1" applyFont="1" applyBorder="1" applyAlignment="1">
      <alignment horizontal="center"/>
    </xf>
    <xf numFmtId="3" fontId="0" fillId="0" borderId="57" xfId="0" applyNumberFormat="1" applyFont="1" applyBorder="1" applyAlignment="1">
      <alignment horizontal="center"/>
    </xf>
    <xf numFmtId="0" fontId="1" fillId="0" borderId="19" xfId="3" applyFont="1" applyBorder="1"/>
    <xf numFmtId="3" fontId="1" fillId="0" borderId="0" xfId="3" applyNumberFormat="1" applyFont="1" applyBorder="1" applyAlignment="1">
      <alignment horizontal="center"/>
    </xf>
    <xf numFmtId="3" fontId="1" fillId="0" borderId="19" xfId="3" applyNumberFormat="1" applyFont="1" applyBorder="1"/>
    <xf numFmtId="3" fontId="1" fillId="0" borderId="19" xfId="3" applyNumberFormat="1" applyFont="1" applyBorder="1" applyAlignment="1">
      <alignment horizontal="center"/>
    </xf>
    <xf numFmtId="167" fontId="1" fillId="0" borderId="19" xfId="3" applyNumberFormat="1" applyFont="1" applyBorder="1" applyAlignment="1">
      <alignment horizontal="center"/>
    </xf>
    <xf numFmtId="0" fontId="0" fillId="0" borderId="19" xfId="0" applyBorder="1"/>
    <xf numFmtId="0" fontId="1" fillId="0" borderId="58" xfId="3" applyFont="1" applyBorder="1"/>
    <xf numFmtId="3" fontId="1" fillId="0" borderId="17" xfId="3" applyNumberFormat="1" applyFont="1" applyBorder="1" applyAlignment="1">
      <alignment horizontal="center"/>
    </xf>
    <xf numFmtId="3" fontId="1" fillId="0" borderId="58" xfId="3" applyNumberFormat="1" applyFont="1" applyBorder="1"/>
    <xf numFmtId="3" fontId="1" fillId="0" borderId="58" xfId="3" applyNumberFormat="1" applyFont="1" applyBorder="1" applyAlignment="1">
      <alignment horizontal="center"/>
    </xf>
    <xf numFmtId="0" fontId="1" fillId="0" borderId="0" xfId="3" applyFont="1" applyBorder="1"/>
    <xf numFmtId="3" fontId="1" fillId="0" borderId="0" xfId="3" applyNumberFormat="1" applyFont="1" applyBorder="1"/>
    <xf numFmtId="168" fontId="1" fillId="0" borderId="0" xfId="3" applyNumberFormat="1" applyFont="1" applyBorder="1" applyAlignment="1">
      <alignment horizontal="center"/>
    </xf>
  </cellXfs>
  <cellStyles count="11">
    <cellStyle name="Ezres" xfId="1" builtinId="3"/>
    <cellStyle name="Normál" xfId="0" builtinId="0"/>
    <cellStyle name="Normál 2" xfId="10"/>
    <cellStyle name="Normál_2011_költségvetés-I. fordulós anyag-alap" xfId="5"/>
    <cellStyle name="Normál_ktgv2003_1" xfId="7"/>
    <cellStyle name="Normál_ktgvetés2007_végleges" xfId="3"/>
    <cellStyle name="Normál_ktgvetés2007_végleges_2010_költségvetés-végleges" xfId="9"/>
    <cellStyle name="Normál_mellékletek testületnek-végleges" xfId="6"/>
    <cellStyle name="Normál_Mérleg,  eredménykimutatás, maradványkimutatás" xfId="8"/>
    <cellStyle name="Normál_Munka1" xf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&#233;vi%20%20B&#201;R%20k&#246;lts&#233;gvet&#233;s-szinkroniz&#225;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1/Desktop/2013.%20&#233;vi%20k&#246;lts&#233;gvet&#233;s/2.%20fordul&#243;/003_2013.%20&#233;vi%20k&#246;lts&#233;gvet&#233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D7">
            <v>508000</v>
          </cell>
        </row>
        <row r="21">
          <cell r="D21">
            <v>977900</v>
          </cell>
        </row>
        <row r="26">
          <cell r="D26">
            <v>279400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0_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8"/>
  <sheetViews>
    <sheetView tabSelected="1" topLeftCell="A173" zoomScaleSheetLayoutView="100" workbookViewId="0">
      <selection activeCell="A3" sqref="A3:B3"/>
    </sheetView>
  </sheetViews>
  <sheetFormatPr defaultRowHeight="12.75"/>
  <cols>
    <col min="1" max="1" width="89.42578125" style="3" customWidth="1"/>
    <col min="2" max="2" width="13.85546875" style="24" customWidth="1"/>
    <col min="3" max="3" width="11.140625" style="3" hidden="1" customWidth="1"/>
    <col min="4" max="4" width="12.28515625" style="3" hidden="1" customWidth="1"/>
    <col min="5" max="5" width="12.7109375" style="3" hidden="1" customWidth="1"/>
    <col min="6" max="7" width="9.140625" style="3" hidden="1" customWidth="1"/>
    <col min="8" max="8" width="17.28515625" style="3" hidden="1" customWidth="1"/>
    <col min="9" max="9" width="16.28515625" style="3" hidden="1" customWidth="1"/>
    <col min="10" max="10" width="11.140625" style="3" hidden="1" customWidth="1"/>
    <col min="11" max="11" width="9.140625" style="3" hidden="1" customWidth="1"/>
    <col min="12" max="12" width="16" style="3" customWidth="1"/>
    <col min="13" max="26" width="9.140625" style="3"/>
    <col min="27" max="27" width="10.7109375" style="3" customWidth="1"/>
    <col min="28" max="29" width="9.140625" style="3"/>
    <col min="30" max="30" width="9.7109375" style="3" bestFit="1" customWidth="1"/>
    <col min="31" max="31" width="10.140625" style="3" bestFit="1" customWidth="1"/>
    <col min="32" max="16384" width="9.140625" style="3"/>
  </cols>
  <sheetData>
    <row r="1" spans="1:9">
      <c r="A1" s="1"/>
      <c r="B1" s="1"/>
      <c r="C1" s="2"/>
      <c r="D1" s="2"/>
      <c r="E1" s="2"/>
      <c r="F1" s="2"/>
      <c r="G1" s="2"/>
      <c r="H1" s="2"/>
      <c r="I1" s="2"/>
    </row>
    <row r="2" spans="1:9">
      <c r="A2" s="2"/>
      <c r="B2" s="4"/>
      <c r="C2" s="2"/>
      <c r="D2" s="2"/>
      <c r="E2" s="2"/>
      <c r="F2" s="2"/>
      <c r="G2" s="2"/>
      <c r="H2" s="2"/>
      <c r="I2" s="2"/>
    </row>
    <row r="3" spans="1:9">
      <c r="A3" s="5" t="s">
        <v>0</v>
      </c>
      <c r="B3" s="5"/>
      <c r="C3" s="2"/>
      <c r="D3" s="2"/>
      <c r="E3" s="2"/>
      <c r="F3" s="2"/>
      <c r="G3" s="2"/>
      <c r="H3" s="2"/>
      <c r="I3" s="2"/>
    </row>
    <row r="4" spans="1:9">
      <c r="A4" s="5" t="s">
        <v>1</v>
      </c>
      <c r="B4" s="5"/>
      <c r="C4" s="2"/>
      <c r="D4" s="2"/>
      <c r="E4" s="2"/>
      <c r="F4" s="2"/>
      <c r="G4" s="2"/>
      <c r="H4" s="2"/>
      <c r="I4" s="2"/>
    </row>
    <row r="5" spans="1:9">
      <c r="A5" s="6" t="s">
        <v>2</v>
      </c>
      <c r="B5" s="6"/>
      <c r="C5" s="2"/>
      <c r="D5" s="2"/>
      <c r="E5" s="2"/>
      <c r="F5" s="2"/>
      <c r="G5" s="2"/>
      <c r="H5" s="2"/>
      <c r="I5" s="2"/>
    </row>
    <row r="6" spans="1:9">
      <c r="A6" s="2"/>
      <c r="B6" s="4"/>
      <c r="C6" s="2"/>
      <c r="D6" s="2"/>
      <c r="E6" s="2"/>
      <c r="F6" s="2"/>
      <c r="G6" s="2"/>
      <c r="H6" s="2"/>
      <c r="I6" s="2"/>
    </row>
    <row r="7" spans="1:9">
      <c r="A7" s="2"/>
      <c r="B7" s="4"/>
      <c r="C7" s="2"/>
      <c r="D7" s="2"/>
      <c r="E7" s="2"/>
      <c r="F7" s="2"/>
      <c r="G7" s="2"/>
      <c r="H7" s="2"/>
      <c r="I7" s="2"/>
    </row>
    <row r="8" spans="1:9" ht="17.25" customHeight="1">
      <c r="A8" s="7" t="s">
        <v>3</v>
      </c>
      <c r="B8" s="8"/>
      <c r="C8" s="2"/>
      <c r="D8" s="2"/>
      <c r="E8" s="2"/>
      <c r="F8" s="2"/>
      <c r="G8" s="2"/>
      <c r="H8" s="2"/>
      <c r="I8" s="2"/>
    </row>
    <row r="9" spans="1:9" ht="15.75" customHeight="1">
      <c r="A9" s="7" t="s">
        <v>4</v>
      </c>
      <c r="B9" s="9"/>
      <c r="C9" s="2"/>
      <c r="D9" s="2"/>
      <c r="E9" s="2"/>
      <c r="F9" s="2"/>
      <c r="G9" s="2"/>
      <c r="H9" s="2"/>
      <c r="I9" s="2"/>
    </row>
    <row r="10" spans="1:9" ht="15.75" customHeight="1">
      <c r="A10" s="7" t="s">
        <v>5</v>
      </c>
      <c r="B10" s="10"/>
      <c r="C10" s="2"/>
      <c r="D10" s="2"/>
      <c r="E10" s="2"/>
      <c r="F10" s="2"/>
      <c r="G10" s="2"/>
      <c r="H10" s="2"/>
      <c r="I10" s="2"/>
    </row>
    <row r="11" spans="1:9" ht="15.75" customHeight="1">
      <c r="A11" s="7"/>
      <c r="B11" s="7"/>
      <c r="C11" s="2"/>
      <c r="D11" s="2"/>
      <c r="E11" s="2"/>
      <c r="F11" s="2"/>
      <c r="G11" s="2"/>
      <c r="H11" s="2"/>
      <c r="I11" s="2"/>
    </row>
    <row r="12" spans="1:9">
      <c r="A12" s="11" t="s">
        <v>6</v>
      </c>
      <c r="B12" s="11"/>
      <c r="C12" s="2"/>
      <c r="D12" s="2"/>
      <c r="E12" s="2"/>
      <c r="F12" s="2"/>
      <c r="G12" s="2"/>
      <c r="H12" s="2"/>
      <c r="I12" s="2"/>
    </row>
    <row r="13" spans="1:9">
      <c r="A13" s="12"/>
      <c r="B13" s="4"/>
      <c r="C13" s="2"/>
      <c r="D13" s="2"/>
      <c r="E13" s="2"/>
      <c r="F13" s="2"/>
      <c r="G13" s="2"/>
      <c r="H13" s="2"/>
      <c r="I13" s="2"/>
    </row>
    <row r="14" spans="1:9">
      <c r="A14" s="13" t="s">
        <v>7</v>
      </c>
      <c r="B14" s="4"/>
      <c r="C14" s="2"/>
      <c r="D14" s="2"/>
      <c r="E14" s="2"/>
      <c r="F14" s="2"/>
      <c r="G14" s="2"/>
      <c r="H14" s="2"/>
      <c r="I14" s="2"/>
    </row>
    <row r="15" spans="1:9">
      <c r="A15" s="2" t="s">
        <v>8</v>
      </c>
      <c r="B15" s="4"/>
      <c r="C15" s="2"/>
      <c r="D15" s="2"/>
      <c r="E15" s="2"/>
      <c r="F15" s="2"/>
      <c r="G15" s="2"/>
      <c r="H15" s="2"/>
      <c r="I15" s="2"/>
    </row>
    <row r="16" spans="1:9">
      <c r="A16" s="2"/>
      <c r="B16" s="4"/>
      <c r="C16" s="2"/>
      <c r="D16" s="2"/>
      <c r="E16" s="2"/>
      <c r="F16" s="2"/>
      <c r="G16" s="2"/>
      <c r="H16" s="2"/>
      <c r="I16" s="2"/>
    </row>
    <row r="17" spans="1:9">
      <c r="A17" s="14" t="s">
        <v>9</v>
      </c>
      <c r="B17" s="15">
        <f>SUM(B18:B21)</f>
        <v>123685100</v>
      </c>
      <c r="C17" s="2"/>
      <c r="D17" s="2"/>
      <c r="E17" s="2"/>
      <c r="F17" s="2"/>
      <c r="G17" s="2"/>
      <c r="H17" s="2">
        <v>109621159</v>
      </c>
      <c r="I17" s="4">
        <f>B17-H17</f>
        <v>14063941</v>
      </c>
    </row>
    <row r="18" spans="1:9">
      <c r="A18" s="2" t="s">
        <v>10</v>
      </c>
      <c r="B18" s="4">
        <f>bevételek!B6</f>
        <v>80761380</v>
      </c>
      <c r="C18" s="2"/>
      <c r="D18" s="2"/>
      <c r="E18" s="2"/>
      <c r="F18" s="2"/>
      <c r="G18" s="2"/>
      <c r="H18" s="2"/>
      <c r="I18" s="2"/>
    </row>
    <row r="19" spans="1:9">
      <c r="A19" s="2" t="s">
        <v>11</v>
      </c>
      <c r="B19" s="4">
        <f>bevételek!B7</f>
        <v>9337980</v>
      </c>
      <c r="C19" s="2"/>
      <c r="D19" s="2"/>
      <c r="E19" s="2"/>
      <c r="F19" s="2"/>
      <c r="G19" s="2"/>
      <c r="H19" s="2"/>
      <c r="I19" s="2"/>
    </row>
    <row r="20" spans="1:9">
      <c r="A20" s="2" t="s">
        <v>12</v>
      </c>
      <c r="B20" s="4">
        <f>bevételek!B8</f>
        <v>18218530</v>
      </c>
      <c r="C20" s="2"/>
      <c r="D20" s="2"/>
      <c r="E20" s="2"/>
      <c r="F20" s="2"/>
      <c r="G20" s="2"/>
      <c r="H20" s="2"/>
      <c r="I20" s="2"/>
    </row>
    <row r="21" spans="1:9">
      <c r="A21" s="2" t="s">
        <v>13</v>
      </c>
      <c r="B21" s="4">
        <f>bevételek!B9</f>
        <v>15367210</v>
      </c>
      <c r="C21" s="2"/>
      <c r="D21" s="2"/>
      <c r="E21" s="2"/>
      <c r="F21" s="2"/>
      <c r="G21" s="2"/>
      <c r="H21" s="2"/>
      <c r="I21" s="2"/>
    </row>
    <row r="22" spans="1:9">
      <c r="A22" s="2"/>
      <c r="B22" s="4"/>
      <c r="C22" s="2"/>
      <c r="D22" s="2"/>
      <c r="E22" s="2"/>
      <c r="F22" s="2"/>
      <c r="G22" s="2"/>
      <c r="H22" s="2"/>
      <c r="I22" s="2"/>
    </row>
    <row r="23" spans="1:9">
      <c r="A23" s="16" t="s">
        <v>14</v>
      </c>
      <c r="B23" s="17">
        <f>B24+B28</f>
        <v>146350000</v>
      </c>
      <c r="C23" s="2"/>
      <c r="D23" s="2"/>
      <c r="E23" s="2"/>
      <c r="F23" s="2"/>
      <c r="G23" s="2"/>
      <c r="H23" s="2">
        <v>160470000</v>
      </c>
      <c r="I23" s="4">
        <f>B23-H23</f>
        <v>-14120000</v>
      </c>
    </row>
    <row r="24" spans="1:9">
      <c r="A24" s="18" t="s">
        <v>15</v>
      </c>
      <c r="B24" s="19">
        <f>B25+B26+B27</f>
        <v>146200000</v>
      </c>
      <c r="C24" s="2"/>
      <c r="D24" s="2"/>
      <c r="E24" s="2"/>
      <c r="F24" s="2"/>
      <c r="G24" s="2"/>
      <c r="H24" s="2"/>
      <c r="I24" s="2"/>
    </row>
    <row r="25" spans="1:9">
      <c r="A25" s="2" t="s">
        <v>16</v>
      </c>
      <c r="B25" s="4">
        <f>bevételek!B13</f>
        <v>135100000</v>
      </c>
      <c r="C25" s="2"/>
      <c r="D25" s="2"/>
      <c r="E25" s="2"/>
      <c r="F25" s="2"/>
      <c r="G25" s="2"/>
      <c r="H25" s="2"/>
      <c r="I25" s="2"/>
    </row>
    <row r="26" spans="1:9">
      <c r="A26" s="2" t="s">
        <v>17</v>
      </c>
      <c r="B26" s="4">
        <f>bevételek!B17</f>
        <v>10550000</v>
      </c>
      <c r="C26" s="2"/>
      <c r="D26" s="2"/>
      <c r="E26" s="2"/>
      <c r="F26" s="2"/>
      <c r="G26" s="2"/>
      <c r="H26" s="2"/>
      <c r="I26" s="2"/>
    </row>
    <row r="27" spans="1:9">
      <c r="A27" s="2" t="s">
        <v>18</v>
      </c>
      <c r="B27" s="4">
        <f>bevételek!B21+bevételek!B22</f>
        <v>550000</v>
      </c>
      <c r="C27" s="2"/>
      <c r="D27" s="2"/>
      <c r="E27" s="2"/>
      <c r="F27" s="2"/>
      <c r="G27" s="2"/>
      <c r="H27" s="2"/>
      <c r="I27" s="2"/>
    </row>
    <row r="28" spans="1:9">
      <c r="A28" s="18" t="s">
        <v>19</v>
      </c>
      <c r="B28" s="19">
        <f>B29</f>
        <v>150000</v>
      </c>
      <c r="C28" s="2"/>
      <c r="D28" s="2"/>
      <c r="E28" s="2"/>
      <c r="F28" s="2"/>
      <c r="G28" s="2"/>
      <c r="H28" s="2"/>
      <c r="I28" s="2"/>
    </row>
    <row r="29" spans="1:9">
      <c r="A29" s="2" t="s">
        <v>20</v>
      </c>
      <c r="B29" s="4">
        <f>bevételek!B25+bevételek!B26</f>
        <v>150000</v>
      </c>
      <c r="C29" s="2"/>
      <c r="D29" s="2"/>
      <c r="E29" s="2"/>
      <c r="F29" s="2"/>
      <c r="G29" s="2"/>
      <c r="H29" s="2"/>
      <c r="I29" s="2"/>
    </row>
    <row r="30" spans="1:9">
      <c r="A30" s="2"/>
      <c r="B30" s="4"/>
      <c r="C30" s="2"/>
      <c r="D30" s="2"/>
      <c r="E30" s="2"/>
      <c r="F30" s="2"/>
      <c r="G30" s="2"/>
      <c r="H30" s="2"/>
      <c r="I30" s="2"/>
    </row>
    <row r="31" spans="1:9">
      <c r="A31" s="14" t="s">
        <v>21</v>
      </c>
      <c r="B31" s="15">
        <f>B32+B34+B35+B36+B37</f>
        <v>381932249</v>
      </c>
      <c r="C31" s="2"/>
      <c r="D31" s="2"/>
      <c r="E31" s="2"/>
      <c r="F31" s="2"/>
      <c r="G31" s="2"/>
      <c r="H31" s="2">
        <v>326056174</v>
      </c>
      <c r="I31" s="4">
        <f>B31-H31</f>
        <v>55876075</v>
      </c>
    </row>
    <row r="32" spans="1:9">
      <c r="A32" s="2" t="s">
        <v>22</v>
      </c>
      <c r="B32" s="20">
        <f>bevételek!B29</f>
        <v>324684003</v>
      </c>
      <c r="C32" s="2"/>
      <c r="D32" s="2"/>
      <c r="E32" s="2"/>
      <c r="F32" s="2"/>
      <c r="G32" s="2"/>
      <c r="H32" s="2"/>
      <c r="I32" s="2"/>
    </row>
    <row r="33" spans="1:10">
      <c r="A33" s="21" t="s">
        <v>23</v>
      </c>
      <c r="B33" s="4"/>
      <c r="C33" s="2"/>
      <c r="D33" s="2"/>
      <c r="E33" s="2"/>
      <c r="F33" s="2"/>
      <c r="G33" s="2"/>
      <c r="H33" s="2"/>
      <c r="I33" s="2"/>
    </row>
    <row r="34" spans="1:10">
      <c r="A34" s="21" t="s">
        <v>24</v>
      </c>
      <c r="B34" s="4">
        <f>bevételek!B58</f>
        <v>39720799</v>
      </c>
      <c r="C34" s="2"/>
      <c r="D34" s="2"/>
      <c r="E34" s="2"/>
      <c r="F34" s="2"/>
      <c r="G34" s="2"/>
      <c r="H34" s="2"/>
      <c r="I34" s="2"/>
    </row>
    <row r="35" spans="1:10">
      <c r="A35" s="2" t="s">
        <v>25</v>
      </c>
      <c r="B35" s="4">
        <f>bevételek!B69</f>
        <v>584721</v>
      </c>
      <c r="C35" s="2"/>
      <c r="D35" s="2"/>
      <c r="E35" s="2"/>
      <c r="F35" s="2"/>
      <c r="G35" s="2"/>
      <c r="H35" s="2"/>
      <c r="I35" s="2"/>
    </row>
    <row r="36" spans="1:10">
      <c r="A36" s="2" t="s">
        <v>26</v>
      </c>
      <c r="B36" s="4">
        <f>bevételek!B71</f>
        <v>14798896</v>
      </c>
      <c r="C36" s="2"/>
      <c r="D36" s="2"/>
      <c r="E36" s="2"/>
      <c r="F36" s="2"/>
      <c r="G36" s="2"/>
      <c r="H36" s="2"/>
      <c r="I36" s="2"/>
    </row>
    <row r="37" spans="1:10">
      <c r="A37" s="2" t="s">
        <v>27</v>
      </c>
      <c r="B37" s="4">
        <f>bevételek!B73</f>
        <v>2143830</v>
      </c>
      <c r="C37" s="2"/>
      <c r="D37" s="2"/>
      <c r="E37" s="2"/>
      <c r="F37" s="2"/>
      <c r="G37" s="2"/>
      <c r="H37" s="2"/>
      <c r="I37" s="2"/>
    </row>
    <row r="38" spans="1:10">
      <c r="A38" s="22"/>
      <c r="B38" s="4"/>
      <c r="C38" s="2"/>
      <c r="D38" s="2"/>
      <c r="E38" s="2"/>
      <c r="F38" s="2"/>
      <c r="G38" s="2"/>
      <c r="H38" s="2"/>
      <c r="I38" s="2"/>
    </row>
    <row r="39" spans="1:10">
      <c r="A39" s="23" t="s">
        <v>28</v>
      </c>
      <c r="B39" s="17">
        <f>B17+B23+B31</f>
        <v>651967349</v>
      </c>
      <c r="C39" s="2"/>
      <c r="D39" s="2"/>
      <c r="E39" s="2"/>
      <c r="F39" s="2"/>
      <c r="G39" s="2"/>
      <c r="H39" s="2">
        <v>596147333</v>
      </c>
      <c r="I39" s="2">
        <f>SUM(I13:I36)</f>
        <v>55820016</v>
      </c>
      <c r="J39" s="24">
        <f>I40-I39</f>
        <v>0</v>
      </c>
    </row>
    <row r="40" spans="1:10">
      <c r="A40" s="2" t="s">
        <v>29</v>
      </c>
      <c r="B40" s="4"/>
      <c r="C40" s="2"/>
      <c r="D40" s="2"/>
      <c r="E40" s="2"/>
      <c r="F40" s="2"/>
      <c r="G40" s="2"/>
      <c r="H40" s="2"/>
      <c r="I40" s="4">
        <f>B39-H39</f>
        <v>55820016</v>
      </c>
    </row>
    <row r="41" spans="1:10">
      <c r="A41" s="22"/>
      <c r="B41" s="25"/>
      <c r="C41" s="2"/>
      <c r="D41" s="2"/>
      <c r="E41" s="2"/>
      <c r="F41" s="2"/>
      <c r="G41" s="2"/>
      <c r="H41" s="2"/>
      <c r="I41" s="2"/>
    </row>
    <row r="42" spans="1:10">
      <c r="A42" s="14" t="s">
        <v>30</v>
      </c>
      <c r="B42" s="26">
        <f>B43</f>
        <v>21907500</v>
      </c>
      <c r="C42" s="2"/>
      <c r="D42" s="2"/>
      <c r="E42" s="2"/>
      <c r="F42" s="2"/>
      <c r="G42" s="2"/>
      <c r="H42" s="2"/>
      <c r="I42" s="2"/>
    </row>
    <row r="43" spans="1:10">
      <c r="A43" s="2" t="s">
        <v>15</v>
      </c>
      <c r="B43" s="25">
        <f>B44</f>
        <v>21907500</v>
      </c>
      <c r="C43" s="2"/>
      <c r="D43" s="2"/>
      <c r="E43" s="2"/>
      <c r="F43" s="2"/>
      <c r="G43" s="2"/>
      <c r="H43" s="2"/>
      <c r="I43" s="2"/>
    </row>
    <row r="44" spans="1:10">
      <c r="A44" s="27" t="s">
        <v>31</v>
      </c>
      <c r="B44" s="25">
        <f>bevételek!B81</f>
        <v>21907500</v>
      </c>
      <c r="C44" s="2"/>
      <c r="D44" s="2"/>
      <c r="E44" s="2"/>
      <c r="F44" s="2"/>
      <c r="G44" s="2"/>
      <c r="H44" s="2"/>
      <c r="I44" s="2"/>
    </row>
    <row r="45" spans="1:10">
      <c r="A45" s="28"/>
      <c r="B45" s="25"/>
      <c r="C45" s="2"/>
      <c r="D45" s="2"/>
      <c r="E45" s="2"/>
      <c r="F45" s="2"/>
      <c r="G45" s="2"/>
      <c r="H45" s="2"/>
      <c r="I45" s="2"/>
    </row>
    <row r="46" spans="1:10">
      <c r="A46" s="29" t="s">
        <v>32</v>
      </c>
      <c r="B46" s="26">
        <f>B47</f>
        <v>10000000</v>
      </c>
      <c r="C46" s="2"/>
      <c r="D46" s="2"/>
      <c r="E46" s="2"/>
      <c r="F46" s="2"/>
      <c r="G46" s="2"/>
      <c r="H46" s="2"/>
      <c r="I46" s="2"/>
    </row>
    <row r="47" spans="1:10">
      <c r="A47" s="27" t="s">
        <v>33</v>
      </c>
      <c r="B47" s="25">
        <f>bevételek!B84</f>
        <v>10000000</v>
      </c>
      <c r="C47" s="2"/>
      <c r="D47" s="2"/>
      <c r="E47" s="2"/>
      <c r="F47" s="2"/>
      <c r="G47" s="2"/>
      <c r="H47" s="2"/>
      <c r="I47" s="2"/>
    </row>
    <row r="48" spans="1:10">
      <c r="A48" s="22"/>
      <c r="B48" s="25"/>
      <c r="C48" s="2"/>
      <c r="D48" s="2"/>
      <c r="E48" s="2"/>
      <c r="F48" s="2"/>
      <c r="G48" s="2"/>
      <c r="H48" s="2"/>
      <c r="I48" s="2"/>
    </row>
    <row r="49" spans="1:9">
      <c r="A49" s="23" t="s">
        <v>34</v>
      </c>
      <c r="B49" s="26">
        <f>B42+B46</f>
        <v>31907500</v>
      </c>
      <c r="C49" s="2"/>
      <c r="D49" s="2"/>
      <c r="E49" s="2"/>
      <c r="F49" s="2"/>
      <c r="G49" s="2"/>
      <c r="H49" s="2"/>
      <c r="I49" s="2"/>
    </row>
    <row r="50" spans="1:9">
      <c r="A50" s="2" t="s">
        <v>35</v>
      </c>
      <c r="B50" s="25"/>
      <c r="C50" s="2"/>
      <c r="D50" s="2"/>
      <c r="E50" s="2"/>
      <c r="F50" s="2"/>
      <c r="G50" s="2"/>
      <c r="H50" s="2"/>
      <c r="I50" s="2"/>
    </row>
    <row r="51" spans="1:9">
      <c r="A51" s="2"/>
      <c r="B51" s="25"/>
      <c r="C51" s="2"/>
      <c r="D51" s="2"/>
      <c r="E51" s="2"/>
      <c r="F51" s="2"/>
      <c r="G51" s="2"/>
      <c r="H51" s="2"/>
      <c r="I51" s="2"/>
    </row>
    <row r="52" spans="1:9">
      <c r="A52" s="23" t="s">
        <v>36</v>
      </c>
      <c r="B52" s="26">
        <f>B49+B39</f>
        <v>683874849</v>
      </c>
      <c r="C52" s="2"/>
      <c r="D52" s="2"/>
      <c r="E52" s="2"/>
      <c r="F52" s="2"/>
      <c r="G52" s="2"/>
      <c r="H52" s="2"/>
      <c r="I52" s="2"/>
    </row>
    <row r="53" spans="1:9">
      <c r="A53" s="2" t="s">
        <v>37</v>
      </c>
      <c r="B53" s="25"/>
      <c r="C53" s="2"/>
      <c r="D53" s="2"/>
      <c r="E53" s="2"/>
      <c r="F53" s="2"/>
      <c r="G53" s="2"/>
      <c r="H53" s="2"/>
      <c r="I53" s="2"/>
    </row>
    <row r="54" spans="1:9">
      <c r="A54" s="22"/>
      <c r="B54" s="25"/>
      <c r="C54" s="2"/>
      <c r="D54" s="2"/>
      <c r="E54" s="2"/>
      <c r="F54" s="2"/>
      <c r="G54" s="2"/>
      <c r="H54" s="2"/>
      <c r="I54" s="2"/>
    </row>
    <row r="55" spans="1:9">
      <c r="A55" s="30" t="s">
        <v>38</v>
      </c>
      <c r="B55" s="26">
        <f>B56+B57</f>
        <v>105000000</v>
      </c>
      <c r="C55" s="2"/>
      <c r="D55" s="2"/>
      <c r="E55" s="2"/>
      <c r="F55" s="2"/>
      <c r="G55" s="2"/>
      <c r="H55" s="2"/>
      <c r="I55" s="2"/>
    </row>
    <row r="56" spans="1:9">
      <c r="A56" s="31" t="s">
        <v>39</v>
      </c>
      <c r="B56" s="25">
        <f>bevételek!B91</f>
        <v>65000000</v>
      </c>
      <c r="C56" s="2"/>
      <c r="D56" s="2"/>
      <c r="E56" s="2"/>
      <c r="F56" s="2"/>
      <c r="G56" s="2"/>
      <c r="H56" s="2"/>
      <c r="I56" s="2"/>
    </row>
    <row r="57" spans="1:9">
      <c r="A57" s="31" t="s">
        <v>40</v>
      </c>
      <c r="B57" s="25">
        <f>bevételek!B92</f>
        <v>40000000</v>
      </c>
      <c r="C57" s="2"/>
      <c r="D57" s="2"/>
      <c r="E57" s="2"/>
      <c r="F57" s="2"/>
      <c r="G57" s="2"/>
      <c r="H57" s="2"/>
      <c r="I57" s="2"/>
    </row>
    <row r="58" spans="1:9">
      <c r="A58" s="22"/>
      <c r="B58" s="25"/>
      <c r="C58" s="2"/>
      <c r="D58" s="2"/>
      <c r="E58" s="2"/>
      <c r="F58" s="2"/>
      <c r="G58" s="2"/>
      <c r="H58" s="2"/>
      <c r="I58" s="2"/>
    </row>
    <row r="59" spans="1:9">
      <c r="A59" s="14" t="s">
        <v>41</v>
      </c>
      <c r="B59" s="15">
        <f>SUM(B60:B63)</f>
        <v>156396900</v>
      </c>
      <c r="C59" s="2"/>
      <c r="D59" s="14"/>
      <c r="E59" s="2"/>
      <c r="F59" s="2"/>
      <c r="G59" s="2"/>
      <c r="H59" s="2"/>
      <c r="I59" s="2"/>
    </row>
    <row r="60" spans="1:9">
      <c r="A60" s="2" t="s">
        <v>42</v>
      </c>
      <c r="B60" s="4">
        <f>bevételek!B95</f>
        <v>148168044</v>
      </c>
      <c r="C60" s="2"/>
      <c r="D60" s="2"/>
      <c r="E60" s="2"/>
      <c r="F60" s="2"/>
      <c r="G60" s="2"/>
      <c r="H60" s="2"/>
      <c r="I60" s="2"/>
    </row>
    <row r="61" spans="1:9">
      <c r="A61" s="2" t="s">
        <v>43</v>
      </c>
      <c r="B61" s="4">
        <f>bevételek!B96</f>
        <v>3767857</v>
      </c>
      <c r="C61" s="2"/>
      <c r="D61" s="2"/>
      <c r="E61" s="2"/>
      <c r="F61" s="2"/>
      <c r="G61" s="2"/>
      <c r="H61" s="2"/>
      <c r="I61" s="2"/>
    </row>
    <row r="62" spans="1:9">
      <c r="A62" s="2" t="s">
        <v>44</v>
      </c>
      <c r="B62" s="4">
        <f>bevételek!B97</f>
        <v>1228331</v>
      </c>
      <c r="C62" s="2"/>
      <c r="D62" s="2"/>
      <c r="E62" s="2"/>
      <c r="F62" s="2"/>
      <c r="G62" s="2"/>
      <c r="H62" s="2"/>
      <c r="I62" s="2"/>
    </row>
    <row r="63" spans="1:9">
      <c r="A63" s="2" t="s">
        <v>13</v>
      </c>
      <c r="B63" s="4">
        <f>bevételek!B98</f>
        <v>3232668</v>
      </c>
      <c r="C63" s="2"/>
      <c r="D63" s="2"/>
      <c r="E63" s="2"/>
      <c r="F63" s="2"/>
      <c r="G63" s="2"/>
      <c r="H63" s="2"/>
      <c r="I63" s="2"/>
    </row>
    <row r="64" spans="1:9">
      <c r="A64" s="2"/>
      <c r="B64" s="4"/>
      <c r="C64" s="2"/>
      <c r="D64" s="2"/>
      <c r="E64" s="2"/>
      <c r="F64" s="2"/>
      <c r="G64" s="2"/>
      <c r="H64" s="2"/>
      <c r="I64" s="2"/>
    </row>
    <row r="65" spans="1:30">
      <c r="A65" s="14" t="s">
        <v>45</v>
      </c>
      <c r="B65" s="15">
        <f>B39+B55+B59+B49</f>
        <v>945271749</v>
      </c>
      <c r="C65" s="4">
        <f>B65-B154</f>
        <v>0</v>
      </c>
      <c r="D65" s="4"/>
      <c r="E65" s="2"/>
      <c r="F65" s="2"/>
      <c r="G65" s="2"/>
      <c r="H65" s="4">
        <f>B65-bevételek!B100</f>
        <v>0</v>
      </c>
      <c r="I65" s="4">
        <f>B18+B19+B20+B21+B25+B26+B27+B29+B32+B33+B36+B37+B43+B60+B61+B62+B63</f>
        <v>789966229</v>
      </c>
      <c r="J65" s="24"/>
      <c r="L65" s="24"/>
      <c r="AA65" s="24"/>
      <c r="AD65" s="4"/>
    </row>
    <row r="66" spans="1:30">
      <c r="A66" s="2" t="s">
        <v>46</v>
      </c>
      <c r="B66" s="4"/>
      <c r="C66" s="2"/>
      <c r="D66" s="2"/>
      <c r="E66" s="2"/>
      <c r="F66" s="2"/>
      <c r="G66" s="2"/>
      <c r="H66" s="2"/>
      <c r="I66" s="2"/>
    </row>
    <row r="67" spans="1:30">
      <c r="A67" s="2" t="s">
        <v>47</v>
      </c>
      <c r="B67" s="4"/>
      <c r="C67" s="4">
        <f>bevételek!B100</f>
        <v>945271749</v>
      </c>
      <c r="D67" s="4">
        <f>B18+B19+B20+B21+B25+B26+B28+B29+B32+B33+B36+B37+B44+B60+B61+B62+B63+B27</f>
        <v>790116229</v>
      </c>
      <c r="E67" s="2"/>
      <c r="F67" s="2"/>
      <c r="G67" s="2"/>
      <c r="H67" s="2"/>
      <c r="I67" s="2"/>
    </row>
    <row r="68" spans="1:30">
      <c r="A68" s="2"/>
      <c r="B68" s="4"/>
      <c r="C68" s="2"/>
      <c r="D68" s="2"/>
      <c r="E68" s="2"/>
      <c r="F68" s="2"/>
      <c r="G68" s="2"/>
      <c r="H68" s="2"/>
      <c r="I68" s="2"/>
    </row>
    <row r="69" spans="1:30">
      <c r="A69" s="2"/>
      <c r="B69" s="4"/>
      <c r="C69" s="2"/>
      <c r="D69" s="2"/>
      <c r="E69" s="2"/>
      <c r="F69" s="2"/>
      <c r="G69" s="2"/>
      <c r="H69" s="2"/>
      <c r="I69" s="2"/>
    </row>
    <row r="70" spans="1:30">
      <c r="A70" s="2"/>
      <c r="B70" s="4"/>
      <c r="C70" s="2"/>
      <c r="D70" s="2"/>
      <c r="E70" s="2"/>
      <c r="F70" s="2"/>
      <c r="G70" s="2"/>
      <c r="H70" s="2"/>
      <c r="I70" s="2"/>
    </row>
    <row r="71" spans="1:30">
      <c r="A71" s="2"/>
      <c r="B71" s="4"/>
      <c r="C71" s="2"/>
      <c r="D71" s="2"/>
      <c r="E71" s="2"/>
      <c r="F71" s="2"/>
      <c r="G71" s="2"/>
      <c r="H71" s="2"/>
      <c r="I71" s="2"/>
    </row>
    <row r="72" spans="1:30">
      <c r="A72" s="32" t="s">
        <v>48</v>
      </c>
      <c r="B72" s="32"/>
      <c r="C72" s="2"/>
      <c r="D72" s="2"/>
      <c r="E72" s="2"/>
      <c r="F72" s="2"/>
      <c r="G72" s="2"/>
      <c r="H72" s="2"/>
      <c r="I72" s="2"/>
    </row>
    <row r="73" spans="1:30">
      <c r="A73" s="2"/>
      <c r="B73" s="4"/>
      <c r="C73" s="2"/>
      <c r="D73" s="2"/>
      <c r="E73" s="2"/>
      <c r="F73" s="2"/>
      <c r="G73" s="2"/>
      <c r="H73" s="2"/>
      <c r="I73" s="2"/>
    </row>
    <row r="74" spans="1:30">
      <c r="A74" s="2" t="s">
        <v>49</v>
      </c>
      <c r="B74" s="4"/>
      <c r="C74" s="2"/>
      <c r="D74" s="2"/>
      <c r="E74" s="2"/>
      <c r="F74" s="2"/>
      <c r="G74" s="2"/>
      <c r="H74" s="2"/>
      <c r="I74" s="2"/>
    </row>
    <row r="75" spans="1:30">
      <c r="A75" s="2" t="s">
        <v>50</v>
      </c>
      <c r="B75" s="4"/>
      <c r="C75" s="2"/>
      <c r="D75" s="2"/>
      <c r="E75" s="2"/>
      <c r="F75" s="2"/>
      <c r="G75" s="2"/>
      <c r="H75" s="2"/>
      <c r="I75" s="2"/>
    </row>
    <row r="76" spans="1:30">
      <c r="A76" s="2"/>
      <c r="B76" s="4"/>
      <c r="C76" s="2"/>
      <c r="D76" s="2"/>
      <c r="E76" s="2"/>
      <c r="F76" s="2"/>
      <c r="G76" s="2"/>
      <c r="H76" s="33"/>
      <c r="I76" s="33"/>
    </row>
    <row r="77" spans="1:30">
      <c r="A77" s="14" t="s">
        <v>51</v>
      </c>
      <c r="B77" s="15">
        <f>(B92+B98+B104+B110)</f>
        <v>666370106</v>
      </c>
      <c r="C77" s="4">
        <f>B92+B98+B104+B110</f>
        <v>666370106</v>
      </c>
      <c r="D77" s="2"/>
      <c r="E77" s="2"/>
      <c r="F77" s="2"/>
      <c r="G77" s="2"/>
      <c r="H77" s="33">
        <v>635398932</v>
      </c>
      <c r="I77" s="33">
        <f>B77-H77</f>
        <v>30971174</v>
      </c>
    </row>
    <row r="78" spans="1:30">
      <c r="A78" s="2" t="s">
        <v>52</v>
      </c>
      <c r="B78" s="4"/>
      <c r="C78" s="2"/>
      <c r="D78" s="2"/>
      <c r="E78" s="2"/>
      <c r="F78" s="2"/>
      <c r="G78" s="2"/>
      <c r="H78" s="33"/>
      <c r="I78" s="33">
        <f t="shared" ref="I78:I110" si="0">B78-H78</f>
        <v>0</v>
      </c>
    </row>
    <row r="79" spans="1:30">
      <c r="A79" s="2" t="s">
        <v>10</v>
      </c>
      <c r="B79" s="20">
        <f>B93+B99+B105+B112</f>
        <v>243171803</v>
      </c>
      <c r="C79" s="2"/>
      <c r="D79" s="2"/>
      <c r="E79" s="2"/>
      <c r="F79" s="2"/>
      <c r="G79" s="2"/>
      <c r="H79" s="33">
        <v>235487149</v>
      </c>
      <c r="I79" s="33">
        <f t="shared" si="0"/>
        <v>7684654</v>
      </c>
    </row>
    <row r="80" spans="1:30">
      <c r="A80" s="2" t="s">
        <v>53</v>
      </c>
      <c r="B80" s="34"/>
      <c r="C80" s="2"/>
      <c r="D80" s="2"/>
      <c r="E80" s="2"/>
      <c r="F80" s="2"/>
      <c r="G80" s="2"/>
      <c r="H80" s="33"/>
      <c r="I80" s="33">
        <f t="shared" si="0"/>
        <v>0</v>
      </c>
    </row>
    <row r="81" spans="1:10">
      <c r="A81" s="2" t="s">
        <v>54</v>
      </c>
      <c r="B81" s="34"/>
      <c r="C81" s="2"/>
      <c r="D81" s="2"/>
      <c r="E81" s="2"/>
      <c r="F81" s="2"/>
      <c r="G81" s="2"/>
      <c r="H81" s="33"/>
      <c r="I81" s="33"/>
    </row>
    <row r="82" spans="1:10">
      <c r="A82" s="2" t="s">
        <v>11</v>
      </c>
      <c r="B82" s="20">
        <f>B94+B100+B106</f>
        <v>113156655</v>
      </c>
      <c r="C82" s="2"/>
      <c r="D82" s="2"/>
      <c r="E82" s="2"/>
      <c r="F82" s="2"/>
      <c r="G82" s="2"/>
      <c r="H82" s="33">
        <v>109314394</v>
      </c>
      <c r="I82" s="33">
        <f t="shared" si="0"/>
        <v>3842261</v>
      </c>
    </row>
    <row r="83" spans="1:10">
      <c r="A83" s="2" t="s">
        <v>55</v>
      </c>
      <c r="B83" s="20"/>
      <c r="C83" s="2"/>
      <c r="D83" s="2"/>
      <c r="E83" s="2"/>
      <c r="F83" s="2"/>
      <c r="G83" s="2"/>
      <c r="H83" s="33"/>
      <c r="I83" s="33">
        <f t="shared" si="0"/>
        <v>0</v>
      </c>
    </row>
    <row r="84" spans="1:10">
      <c r="A84" s="2" t="s">
        <v>56</v>
      </c>
      <c r="B84" s="20"/>
      <c r="C84" s="2"/>
      <c r="D84" s="2"/>
      <c r="E84" s="2"/>
      <c r="F84" s="2"/>
      <c r="G84" s="2"/>
      <c r="H84" s="33"/>
      <c r="I84" s="33"/>
    </row>
    <row r="85" spans="1:10">
      <c r="A85" s="2" t="s">
        <v>12</v>
      </c>
      <c r="B85" s="20">
        <f>B95+B101+B107</f>
        <v>165819932</v>
      </c>
      <c r="C85" s="2"/>
      <c r="D85" s="2"/>
      <c r="E85" s="2"/>
      <c r="F85" s="2"/>
      <c r="G85" s="2"/>
      <c r="H85" s="33">
        <v>140350249</v>
      </c>
      <c r="I85" s="33">
        <f t="shared" si="0"/>
        <v>25469683</v>
      </c>
    </row>
    <row r="86" spans="1:10">
      <c r="A86" s="2" t="s">
        <v>57</v>
      </c>
      <c r="B86" s="20"/>
      <c r="C86" s="2"/>
      <c r="D86" s="2"/>
      <c r="E86" s="2"/>
      <c r="F86" s="2"/>
      <c r="G86" s="2"/>
      <c r="H86" s="33"/>
      <c r="I86" s="33">
        <f t="shared" si="0"/>
        <v>0</v>
      </c>
    </row>
    <row r="87" spans="1:10">
      <c r="A87" s="2" t="s">
        <v>58</v>
      </c>
      <c r="B87" s="20"/>
      <c r="C87" s="2"/>
      <c r="D87" s="2"/>
      <c r="E87" s="2"/>
      <c r="F87" s="2"/>
      <c r="G87" s="2"/>
      <c r="H87" s="33"/>
      <c r="I87" s="33"/>
    </row>
    <row r="88" spans="1:10">
      <c r="A88" s="2" t="s">
        <v>13</v>
      </c>
      <c r="B88" s="20">
        <f>B96+B102+B108</f>
        <v>144221716</v>
      </c>
      <c r="C88" s="2"/>
      <c r="D88" s="2"/>
      <c r="E88" s="2"/>
      <c r="F88" s="2"/>
      <c r="G88" s="2"/>
      <c r="H88" s="33">
        <v>150247140</v>
      </c>
      <c r="I88" s="33">
        <f t="shared" si="0"/>
        <v>-6025424</v>
      </c>
    </row>
    <row r="89" spans="1:10">
      <c r="A89" s="2" t="s">
        <v>59</v>
      </c>
      <c r="B89" s="20"/>
      <c r="C89" s="2"/>
      <c r="D89" s="2"/>
      <c r="E89" s="2"/>
      <c r="F89" s="2"/>
      <c r="G89" s="2"/>
      <c r="H89" s="33"/>
      <c r="I89" s="33">
        <f t="shared" si="0"/>
        <v>0</v>
      </c>
    </row>
    <row r="90" spans="1:10">
      <c r="A90" s="2" t="s">
        <v>60</v>
      </c>
      <c r="B90" s="4"/>
      <c r="C90" s="2"/>
      <c r="D90" s="2"/>
      <c r="E90" s="2"/>
      <c r="F90" s="2"/>
      <c r="G90" s="2"/>
      <c r="H90" s="33"/>
      <c r="I90" s="33">
        <f t="shared" si="0"/>
        <v>0</v>
      </c>
    </row>
    <row r="91" spans="1:10">
      <c r="A91" s="2"/>
      <c r="B91" s="4"/>
      <c r="C91" s="2"/>
      <c r="D91" s="2"/>
      <c r="E91" s="2"/>
      <c r="F91" s="2"/>
      <c r="G91" s="2"/>
      <c r="H91" s="33"/>
      <c r="I91" s="33">
        <f t="shared" si="0"/>
        <v>0</v>
      </c>
    </row>
    <row r="92" spans="1:10">
      <c r="A92" s="14" t="s">
        <v>61</v>
      </c>
      <c r="B92" s="15">
        <f>SUM(B93:B96)</f>
        <v>313384830</v>
      </c>
      <c r="C92" s="2"/>
      <c r="D92" s="2"/>
      <c r="E92" s="2"/>
      <c r="F92" s="2"/>
      <c r="G92" s="2"/>
      <c r="H92" s="33">
        <v>285186187</v>
      </c>
      <c r="I92" s="33">
        <f t="shared" si="0"/>
        <v>28198643</v>
      </c>
    </row>
    <row r="93" spans="1:10">
      <c r="A93" s="2" t="s">
        <v>42</v>
      </c>
      <c r="B93" s="20">
        <f>kiadások!B13</f>
        <v>64375141</v>
      </c>
      <c r="C93" s="2"/>
      <c r="D93" s="2"/>
      <c r="E93" s="2"/>
      <c r="F93" s="2"/>
      <c r="G93" s="2"/>
      <c r="H93" s="33">
        <v>64878623</v>
      </c>
      <c r="I93" s="33">
        <f t="shared" si="0"/>
        <v>-503482</v>
      </c>
      <c r="J93" s="3" t="s">
        <v>62</v>
      </c>
    </row>
    <row r="94" spans="1:10">
      <c r="A94" s="2" t="s">
        <v>43</v>
      </c>
      <c r="B94" s="20">
        <f>kiadások!B14</f>
        <v>69162770</v>
      </c>
      <c r="C94" s="2"/>
      <c r="D94" s="2"/>
      <c r="E94" s="2"/>
      <c r="F94" s="2"/>
      <c r="G94" s="2"/>
      <c r="H94" s="33">
        <v>62770819</v>
      </c>
      <c r="I94" s="33">
        <f t="shared" si="0"/>
        <v>6391951</v>
      </c>
    </row>
    <row r="95" spans="1:10">
      <c r="A95" s="2" t="s">
        <v>44</v>
      </c>
      <c r="B95" s="20">
        <f>kiadások!B15</f>
        <v>110652198</v>
      </c>
      <c r="C95" s="2"/>
      <c r="D95" s="2"/>
      <c r="E95" s="2"/>
      <c r="F95" s="2"/>
      <c r="G95" s="2"/>
      <c r="H95" s="33">
        <v>87302518</v>
      </c>
      <c r="I95" s="33">
        <f t="shared" si="0"/>
        <v>23349680</v>
      </c>
      <c r="J95" s="3" t="s">
        <v>63</v>
      </c>
    </row>
    <row r="96" spans="1:10">
      <c r="A96" s="2" t="s">
        <v>13</v>
      </c>
      <c r="B96" s="20">
        <f>kiadások!B16</f>
        <v>69194721</v>
      </c>
      <c r="C96" s="2"/>
      <c r="D96" s="2"/>
      <c r="E96" s="2"/>
      <c r="F96" s="2"/>
      <c r="G96" s="2"/>
      <c r="H96" s="33">
        <v>70234227</v>
      </c>
      <c r="I96" s="33">
        <f t="shared" si="0"/>
        <v>-1039506</v>
      </c>
    </row>
    <row r="97" spans="1:10">
      <c r="A97" s="2"/>
      <c r="B97" s="4"/>
      <c r="C97" s="2"/>
      <c r="D97" s="2"/>
      <c r="E97" s="2"/>
      <c r="F97" s="2"/>
      <c r="G97" s="2"/>
      <c r="H97" s="33"/>
      <c r="I97" s="33">
        <f t="shared" si="0"/>
        <v>0</v>
      </c>
    </row>
    <row r="98" spans="1:10">
      <c r="A98" s="14" t="s">
        <v>64</v>
      </c>
      <c r="B98" s="15">
        <f>SUM(B99:B102)</f>
        <v>62881055</v>
      </c>
      <c r="C98" s="2"/>
      <c r="D98" s="2"/>
      <c r="E98" s="2"/>
      <c r="F98" s="2"/>
      <c r="G98" s="2"/>
      <c r="H98" s="33">
        <v>65035317</v>
      </c>
      <c r="I98" s="33">
        <f t="shared" si="0"/>
        <v>-2154262</v>
      </c>
    </row>
    <row r="99" spans="1:10">
      <c r="A99" s="2" t="s">
        <v>42</v>
      </c>
      <c r="B99" s="20">
        <f>kiadások!B19</f>
        <v>11667708</v>
      </c>
      <c r="C99" s="2"/>
      <c r="D99" s="2"/>
      <c r="E99" s="2"/>
      <c r="F99" s="2"/>
      <c r="G99" s="2"/>
      <c r="H99" s="33">
        <v>12642506</v>
      </c>
      <c r="I99" s="33">
        <f t="shared" si="0"/>
        <v>-974798</v>
      </c>
    </row>
    <row r="100" spans="1:10">
      <c r="A100" s="2" t="s">
        <v>43</v>
      </c>
      <c r="B100" s="20">
        <f>kiadások!B20</f>
        <v>15427943</v>
      </c>
      <c r="C100" s="2"/>
      <c r="D100" s="2"/>
      <c r="E100" s="2"/>
      <c r="F100" s="2"/>
      <c r="G100" s="2"/>
      <c r="H100" s="33">
        <v>15631295</v>
      </c>
      <c r="I100" s="33">
        <f t="shared" si="0"/>
        <v>-203352</v>
      </c>
    </row>
    <row r="101" spans="1:10">
      <c r="A101" s="2" t="s">
        <v>44</v>
      </c>
      <c r="B101" s="20">
        <f>kiadások!B21</f>
        <v>21529189</v>
      </c>
      <c r="C101" s="2"/>
      <c r="D101" s="2"/>
      <c r="E101" s="2"/>
      <c r="F101" s="2"/>
      <c r="G101" s="2"/>
      <c r="H101" s="33">
        <v>19813511</v>
      </c>
      <c r="I101" s="33">
        <f t="shared" si="0"/>
        <v>1715678</v>
      </c>
    </row>
    <row r="102" spans="1:10">
      <c r="A102" s="2" t="s">
        <v>13</v>
      </c>
      <c r="B102" s="20">
        <f>kiadások!B22</f>
        <v>14256215</v>
      </c>
      <c r="C102" s="2"/>
      <c r="D102" s="2"/>
      <c r="E102" s="2"/>
      <c r="F102" s="2"/>
      <c r="G102" s="2"/>
      <c r="H102" s="33">
        <v>16948005</v>
      </c>
      <c r="I102" s="33">
        <f t="shared" si="0"/>
        <v>-2691790</v>
      </c>
    </row>
    <row r="103" spans="1:10">
      <c r="A103" s="2"/>
      <c r="B103" s="4"/>
      <c r="C103" s="2"/>
      <c r="D103" s="2"/>
      <c r="E103" s="2"/>
      <c r="F103" s="2"/>
      <c r="G103" s="2"/>
      <c r="H103" s="33"/>
      <c r="I103" s="33">
        <f t="shared" si="0"/>
        <v>0</v>
      </c>
    </row>
    <row r="104" spans="1:10">
      <c r="A104" s="14" t="s">
        <v>65</v>
      </c>
      <c r="B104" s="15">
        <f>SUM(B105:B108)</f>
        <v>202653797</v>
      </c>
      <c r="C104" s="2"/>
      <c r="D104" s="2"/>
      <c r="E104" s="2"/>
      <c r="F104" s="2"/>
      <c r="G104" s="2"/>
      <c r="H104" s="33">
        <v>202961668</v>
      </c>
      <c r="I104" s="33">
        <f t="shared" si="0"/>
        <v>-307871</v>
      </c>
    </row>
    <row r="105" spans="1:10">
      <c r="A105" s="2" t="s">
        <v>42</v>
      </c>
      <c r="B105" s="20">
        <f>kiadások!B27</f>
        <v>79678530</v>
      </c>
      <c r="C105" s="2"/>
      <c r="D105" s="2"/>
      <c r="E105" s="2"/>
      <c r="F105" s="2"/>
      <c r="G105" s="2"/>
      <c r="H105" s="33">
        <v>75750260</v>
      </c>
      <c r="I105" s="33">
        <f t="shared" si="0"/>
        <v>3928270</v>
      </c>
      <c r="J105" s="3" t="s">
        <v>66</v>
      </c>
    </row>
    <row r="106" spans="1:10">
      <c r="A106" s="2" t="s">
        <v>43</v>
      </c>
      <c r="B106" s="20">
        <f>kiadások!B28</f>
        <v>28565942</v>
      </c>
      <c r="C106" s="2"/>
      <c r="D106" s="2"/>
      <c r="E106" s="2"/>
      <c r="F106" s="2"/>
      <c r="G106" s="2"/>
      <c r="H106" s="33">
        <v>30912280</v>
      </c>
      <c r="I106" s="33">
        <f t="shared" si="0"/>
        <v>-2346338</v>
      </c>
      <c r="J106" s="3" t="s">
        <v>67</v>
      </c>
    </row>
    <row r="107" spans="1:10">
      <c r="A107" s="2" t="s">
        <v>44</v>
      </c>
      <c r="B107" s="20">
        <f>kiadások!B29</f>
        <v>33638545</v>
      </c>
      <c r="C107" s="2"/>
      <c r="D107" s="2"/>
      <c r="E107" s="2"/>
      <c r="F107" s="2"/>
      <c r="G107" s="2"/>
      <c r="H107" s="33">
        <v>33234220</v>
      </c>
      <c r="I107" s="33">
        <f t="shared" si="0"/>
        <v>404325</v>
      </c>
    </row>
    <row r="108" spans="1:10">
      <c r="A108" s="2" t="s">
        <v>13</v>
      </c>
      <c r="B108" s="20">
        <f>kiadások!B30</f>
        <v>60770780</v>
      </c>
      <c r="C108" s="2"/>
      <c r="D108" s="2"/>
      <c r="E108" s="2"/>
      <c r="F108" s="2"/>
      <c r="G108" s="2"/>
      <c r="H108" s="33">
        <v>63064908</v>
      </c>
      <c r="I108" s="33">
        <f t="shared" si="0"/>
        <v>-2294128</v>
      </c>
    </row>
    <row r="109" spans="1:10">
      <c r="A109" s="2"/>
      <c r="B109" s="4"/>
      <c r="C109" s="2"/>
      <c r="D109" s="2"/>
      <c r="E109" s="2"/>
      <c r="F109" s="2"/>
      <c r="G109" s="2"/>
      <c r="H109" s="33"/>
      <c r="I109" s="33"/>
    </row>
    <row r="110" spans="1:10">
      <c r="A110" s="14" t="s">
        <v>68</v>
      </c>
      <c r="B110" s="15">
        <f>B112</f>
        <v>87450424</v>
      </c>
      <c r="C110" s="2"/>
      <c r="D110" s="2"/>
      <c r="E110" s="2"/>
      <c r="F110" s="2"/>
      <c r="G110" s="2"/>
      <c r="H110" s="33">
        <v>82215760</v>
      </c>
      <c r="I110" s="33">
        <f t="shared" si="0"/>
        <v>5234664</v>
      </c>
    </row>
    <row r="111" spans="1:10">
      <c r="A111" s="2" t="s">
        <v>69</v>
      </c>
      <c r="B111" s="4"/>
      <c r="C111" s="2"/>
      <c r="D111" s="2"/>
      <c r="E111" s="2"/>
      <c r="F111" s="2"/>
      <c r="G111" s="2"/>
      <c r="H111" s="33"/>
      <c r="I111" s="33"/>
    </row>
    <row r="112" spans="1:10">
      <c r="A112" s="2" t="s">
        <v>42</v>
      </c>
      <c r="B112" s="4">
        <f>kiadások!B33</f>
        <v>87450424</v>
      </c>
      <c r="C112" s="2"/>
      <c r="D112" s="2"/>
      <c r="E112" s="2"/>
      <c r="F112" s="2"/>
      <c r="G112" s="2"/>
      <c r="H112" s="33"/>
      <c r="I112" s="33"/>
    </row>
    <row r="113" spans="1:27">
      <c r="A113" s="2"/>
      <c r="B113" s="4"/>
      <c r="C113" s="2"/>
      <c r="D113" s="2"/>
      <c r="E113" s="2"/>
      <c r="F113" s="2"/>
      <c r="G113" s="2"/>
      <c r="H113" s="33"/>
      <c r="I113" s="33"/>
    </row>
    <row r="114" spans="1:27">
      <c r="A114" s="14" t="s">
        <v>70</v>
      </c>
      <c r="B114" s="17">
        <f>B117+B129</f>
        <v>142102282</v>
      </c>
      <c r="C114" s="2"/>
      <c r="D114" s="2"/>
      <c r="E114" s="2"/>
      <c r="F114" s="2"/>
      <c r="G114" s="2"/>
      <c r="H114" s="33"/>
      <c r="I114" s="33"/>
    </row>
    <row r="115" spans="1:27">
      <c r="A115" s="2" t="s">
        <v>71</v>
      </c>
      <c r="B115" s="4"/>
      <c r="C115" s="2"/>
      <c r="D115" s="2"/>
      <c r="E115" s="2"/>
      <c r="F115" s="2"/>
      <c r="G115" s="2"/>
      <c r="H115" s="33"/>
      <c r="I115" s="33"/>
    </row>
    <row r="116" spans="1:27">
      <c r="A116" s="2"/>
      <c r="B116" s="4"/>
      <c r="C116" s="2"/>
      <c r="D116" s="2"/>
      <c r="E116" s="2"/>
      <c r="F116" s="2"/>
      <c r="G116" s="2"/>
      <c r="H116" s="33"/>
      <c r="I116" s="33"/>
    </row>
    <row r="117" spans="1:27">
      <c r="A117" s="14" t="s">
        <v>72</v>
      </c>
      <c r="B117" s="15">
        <f>B118+B124+B126</f>
        <v>134127276</v>
      </c>
      <c r="C117" s="2"/>
      <c r="D117" s="2"/>
      <c r="E117" s="2"/>
      <c r="F117" s="2"/>
      <c r="G117" s="2"/>
      <c r="H117" s="33"/>
      <c r="I117" s="33"/>
    </row>
    <row r="118" spans="1:27">
      <c r="A118" s="35" t="s">
        <v>15</v>
      </c>
      <c r="B118" s="34">
        <f>SUM(B119:B123)</f>
        <v>132869976</v>
      </c>
      <c r="C118" s="2"/>
      <c r="D118" s="2"/>
      <c r="E118" s="2"/>
      <c r="F118" s="2"/>
      <c r="G118" s="2"/>
      <c r="H118" s="33"/>
      <c r="I118" s="33"/>
    </row>
    <row r="119" spans="1:27">
      <c r="A119" s="36" t="s">
        <v>73</v>
      </c>
      <c r="B119" s="25">
        <f>kiadások!B44</f>
        <v>122861976</v>
      </c>
      <c r="C119" s="2"/>
      <c r="D119" s="2"/>
      <c r="E119" s="2"/>
      <c r="F119" s="2"/>
      <c r="G119" s="2"/>
      <c r="H119" s="33"/>
      <c r="I119" s="33"/>
    </row>
    <row r="120" spans="1:27">
      <c r="A120" s="36" t="s">
        <v>74</v>
      </c>
      <c r="B120" s="25">
        <f>kiadások!B45</f>
        <v>7000000</v>
      </c>
      <c r="C120" s="2"/>
      <c r="D120" s="2"/>
      <c r="E120" s="2"/>
      <c r="F120" s="2"/>
      <c r="G120" s="2"/>
      <c r="H120" s="33"/>
      <c r="I120" s="33"/>
    </row>
    <row r="121" spans="1:27">
      <c r="A121" s="36" t="s">
        <v>75</v>
      </c>
      <c r="B121" s="25">
        <f>kiadások!B46</f>
        <v>508000</v>
      </c>
      <c r="C121" s="2"/>
      <c r="D121" s="2"/>
      <c r="E121" s="2"/>
      <c r="F121" s="2"/>
      <c r="G121" s="2"/>
      <c r="H121" s="33"/>
      <c r="I121" s="33"/>
    </row>
    <row r="122" spans="1:27">
      <c r="A122" s="36" t="s">
        <v>76</v>
      </c>
      <c r="B122" s="25">
        <f>kiadások!B47</f>
        <v>1500000</v>
      </c>
      <c r="C122" s="2"/>
      <c r="D122" s="2"/>
      <c r="E122" s="2"/>
      <c r="F122" s="2"/>
      <c r="G122" s="2"/>
      <c r="H122" s="33"/>
      <c r="I122" s="33"/>
    </row>
    <row r="123" spans="1:27">
      <c r="A123" s="36" t="s">
        <v>77</v>
      </c>
      <c r="B123" s="25">
        <f>kiadások!B48</f>
        <v>1000000</v>
      </c>
      <c r="C123" s="2"/>
      <c r="D123" s="2"/>
      <c r="E123" s="2"/>
      <c r="F123" s="2"/>
      <c r="G123" s="2"/>
      <c r="H123" s="33"/>
      <c r="I123" s="33"/>
    </row>
    <row r="124" spans="1:27">
      <c r="A124" s="37" t="s">
        <v>78</v>
      </c>
      <c r="B124" s="38">
        <f>B125</f>
        <v>977900</v>
      </c>
      <c r="C124" s="2"/>
      <c r="D124" s="2"/>
      <c r="E124" s="2"/>
      <c r="F124" s="2"/>
      <c r="G124" s="2"/>
      <c r="H124" s="33"/>
      <c r="I124" s="33"/>
    </row>
    <row r="125" spans="1:27">
      <c r="A125" s="36" t="s">
        <v>79</v>
      </c>
      <c r="B125" s="25">
        <f>kiadások!B50</f>
        <v>977900</v>
      </c>
      <c r="C125" s="2"/>
      <c r="D125" s="2"/>
      <c r="E125" s="2"/>
      <c r="F125" s="2"/>
      <c r="G125" s="2"/>
      <c r="H125" s="33"/>
      <c r="I125" s="33"/>
    </row>
    <row r="126" spans="1:27">
      <c r="A126" s="37" t="s">
        <v>80</v>
      </c>
      <c r="B126" s="38">
        <f>B127</f>
        <v>279400</v>
      </c>
      <c r="C126" s="2"/>
      <c r="D126" s="2"/>
      <c r="E126" s="2"/>
      <c r="F126" s="2"/>
      <c r="G126" s="2"/>
      <c r="H126" s="33"/>
      <c r="I126" s="33"/>
    </row>
    <row r="127" spans="1:27">
      <c r="A127" s="36" t="s">
        <v>81</v>
      </c>
      <c r="B127" s="25">
        <f>kiadások!B52</f>
        <v>279400</v>
      </c>
      <c r="C127" s="2"/>
      <c r="D127" s="2"/>
      <c r="E127" s="2"/>
      <c r="F127" s="2"/>
      <c r="G127" s="2"/>
      <c r="H127" s="33"/>
      <c r="I127" s="33"/>
      <c r="AA127" s="24"/>
    </row>
    <row r="128" spans="1:27">
      <c r="A128" s="36" t="s">
        <v>82</v>
      </c>
      <c r="B128" s="25"/>
      <c r="C128" s="2"/>
      <c r="D128" s="2"/>
      <c r="E128" s="2"/>
      <c r="F128" s="2"/>
      <c r="G128" s="2"/>
      <c r="H128" s="33"/>
      <c r="I128" s="33"/>
    </row>
    <row r="129" spans="1:32">
      <c r="A129" s="14" t="s">
        <v>83</v>
      </c>
      <c r="B129" s="15">
        <f>B130</f>
        <v>7975006</v>
      </c>
      <c r="C129" s="2"/>
      <c r="D129" s="2"/>
      <c r="E129" s="2"/>
      <c r="F129" s="2"/>
      <c r="G129" s="2"/>
      <c r="H129" s="33"/>
      <c r="I129" s="33"/>
    </row>
    <row r="130" spans="1:32">
      <c r="A130" s="35" t="s">
        <v>84</v>
      </c>
      <c r="B130" s="34">
        <f>B131+B132+B133+B134+B135+B136</f>
        <v>7975006</v>
      </c>
      <c r="C130" s="2"/>
      <c r="D130" s="2"/>
      <c r="E130" s="2"/>
      <c r="F130" s="2"/>
      <c r="G130" s="2"/>
      <c r="H130" s="33"/>
      <c r="I130" s="33"/>
    </row>
    <row r="131" spans="1:32">
      <c r="A131" s="39" t="s">
        <v>85</v>
      </c>
      <c r="B131" s="25">
        <f>kiadások!B57</f>
        <v>571500</v>
      </c>
      <c r="C131" s="2"/>
      <c r="D131" s="2"/>
      <c r="E131" s="2"/>
      <c r="F131" s="2"/>
      <c r="G131" s="2"/>
      <c r="H131" s="33"/>
      <c r="I131" s="33"/>
      <c r="AF131" s="40"/>
    </row>
    <row r="132" spans="1:32">
      <c r="A132" s="39" t="s">
        <v>86</v>
      </c>
      <c r="B132" s="25">
        <f>kiadások!B58</f>
        <v>1000000</v>
      </c>
      <c r="C132" s="2"/>
      <c r="D132" s="2"/>
      <c r="E132" s="2"/>
      <c r="F132" s="2"/>
      <c r="G132" s="2"/>
      <c r="H132" s="33"/>
      <c r="I132" s="33"/>
      <c r="AF132" s="40"/>
    </row>
    <row r="133" spans="1:32">
      <c r="A133" s="39" t="s">
        <v>87</v>
      </c>
      <c r="B133" s="25">
        <f>kiadások!B59</f>
        <v>300000</v>
      </c>
      <c r="C133" s="2"/>
      <c r="D133" s="2"/>
      <c r="E133" s="2"/>
      <c r="F133" s="2"/>
      <c r="G133" s="2"/>
      <c r="H133" s="33"/>
      <c r="I133" s="33"/>
      <c r="AF133" s="40"/>
    </row>
    <row r="134" spans="1:32">
      <c r="A134" s="28" t="s">
        <v>88</v>
      </c>
      <c r="B134" s="25">
        <f>kiadások!B60</f>
        <v>5203506</v>
      </c>
      <c r="C134" s="2"/>
      <c r="D134" s="2"/>
      <c r="E134" s="2"/>
      <c r="F134" s="2"/>
      <c r="G134" s="2"/>
      <c r="H134" s="33"/>
      <c r="I134" s="33"/>
      <c r="AF134" s="40"/>
    </row>
    <row r="135" spans="1:32">
      <c r="A135" s="27" t="s">
        <v>89</v>
      </c>
      <c r="B135" s="25">
        <f>kiadások!B61</f>
        <v>400000</v>
      </c>
      <c r="C135" s="2"/>
      <c r="D135" s="2"/>
      <c r="E135" s="2"/>
      <c r="F135" s="2"/>
      <c r="G135" s="2"/>
      <c r="H135" s="33"/>
      <c r="I135" s="33"/>
      <c r="AF135" s="40"/>
    </row>
    <row r="136" spans="1:32">
      <c r="A136" s="27" t="s">
        <v>90</v>
      </c>
      <c r="B136" s="25">
        <f>kiadások!B62</f>
        <v>500000</v>
      </c>
      <c r="C136" s="2"/>
      <c r="D136" s="2"/>
      <c r="E136" s="2"/>
      <c r="F136" s="2"/>
      <c r="G136" s="2"/>
      <c r="H136" s="33"/>
      <c r="I136" s="33"/>
      <c r="AF136" s="40"/>
    </row>
    <row r="137" spans="1:32">
      <c r="A137" s="41"/>
      <c r="B137" s="25"/>
      <c r="C137" s="2"/>
      <c r="D137" s="2"/>
      <c r="E137" s="2"/>
      <c r="F137" s="2"/>
      <c r="G137" s="2"/>
      <c r="H137" s="33"/>
      <c r="I137" s="33"/>
    </row>
    <row r="138" spans="1:32">
      <c r="A138" s="14" t="s">
        <v>91</v>
      </c>
      <c r="B138" s="15">
        <f>SUM(B139:B140)</f>
        <v>65000000</v>
      </c>
      <c r="C138" s="2"/>
      <c r="D138" s="2"/>
      <c r="E138" s="2"/>
      <c r="F138" s="2"/>
      <c r="G138" s="2"/>
      <c r="H138" s="33"/>
      <c r="I138" s="33"/>
    </row>
    <row r="139" spans="1:32">
      <c r="A139" s="2" t="s">
        <v>92</v>
      </c>
      <c r="B139" s="20">
        <f>kiadások!B65</f>
        <v>5000000</v>
      </c>
      <c r="C139" s="2"/>
      <c r="D139" s="2"/>
      <c r="E139" s="2"/>
      <c r="F139" s="2"/>
      <c r="G139" s="2"/>
      <c r="H139" s="33"/>
      <c r="I139" s="33"/>
    </row>
    <row r="140" spans="1:32">
      <c r="A140" s="2" t="s">
        <v>93</v>
      </c>
      <c r="B140" s="4">
        <f>kiadások!B66</f>
        <v>60000000</v>
      </c>
      <c r="C140" s="2"/>
      <c r="D140" s="2"/>
      <c r="E140" s="2"/>
      <c r="F140" s="2"/>
      <c r="G140" s="2"/>
      <c r="H140" s="33"/>
      <c r="I140" s="33"/>
    </row>
    <row r="141" spans="1:32">
      <c r="A141" s="2"/>
      <c r="B141" s="4"/>
      <c r="C141" s="2"/>
      <c r="D141" s="2"/>
      <c r="E141" s="2"/>
      <c r="F141" s="2"/>
      <c r="G141" s="2"/>
      <c r="H141" s="33"/>
      <c r="I141" s="33"/>
    </row>
    <row r="142" spans="1:32">
      <c r="A142" s="23" t="s">
        <v>94</v>
      </c>
      <c r="B142" s="15">
        <f>B138+B114+B77</f>
        <v>873472388</v>
      </c>
      <c r="C142" s="2"/>
      <c r="D142" s="2"/>
      <c r="E142" s="2"/>
      <c r="F142" s="2"/>
      <c r="G142" s="2"/>
      <c r="H142" s="33"/>
      <c r="I142" s="33"/>
    </row>
    <row r="143" spans="1:32">
      <c r="A143" s="2" t="s">
        <v>95</v>
      </c>
      <c r="B143" s="4"/>
      <c r="C143" s="2"/>
      <c r="D143" s="2"/>
      <c r="E143" s="2"/>
      <c r="F143" s="2"/>
      <c r="G143" s="2"/>
      <c r="H143" s="33"/>
      <c r="I143" s="33"/>
    </row>
    <row r="144" spans="1:32">
      <c r="A144" s="14" t="s">
        <v>96</v>
      </c>
      <c r="B144" s="17">
        <f>B145+B146</f>
        <v>31799361</v>
      </c>
      <c r="C144" s="2"/>
      <c r="D144" s="2"/>
      <c r="E144" s="2"/>
      <c r="F144" s="2"/>
      <c r="G144" s="2"/>
      <c r="H144" s="33">
        <v>25000000</v>
      </c>
      <c r="I144" s="33">
        <f>B144-H144</f>
        <v>6799361</v>
      </c>
    </row>
    <row r="145" spans="1:27">
      <c r="A145" s="2" t="s">
        <v>97</v>
      </c>
      <c r="B145" s="4">
        <v>12023361</v>
      </c>
      <c r="C145" s="2"/>
      <c r="D145" s="2"/>
      <c r="E145" s="2"/>
      <c r="F145" s="2"/>
      <c r="G145" s="2"/>
      <c r="H145" s="2"/>
      <c r="I145" s="2"/>
    </row>
    <row r="146" spans="1:27">
      <c r="A146" s="42" t="s">
        <v>98</v>
      </c>
      <c r="B146" s="4">
        <f>kiadások!B72</f>
        <v>19776000</v>
      </c>
      <c r="C146" s="2"/>
      <c r="D146" s="2"/>
      <c r="E146" s="2"/>
      <c r="F146" s="2"/>
      <c r="G146" s="2"/>
      <c r="H146" s="2"/>
      <c r="I146" s="2"/>
    </row>
    <row r="147" spans="1:27">
      <c r="A147" s="42"/>
      <c r="B147" s="4"/>
      <c r="C147" s="2"/>
      <c r="D147" s="2"/>
      <c r="E147" s="2"/>
      <c r="F147" s="2"/>
      <c r="G147" s="2"/>
      <c r="H147" s="2"/>
      <c r="I147" s="2"/>
    </row>
    <row r="148" spans="1:27">
      <c r="A148" s="14" t="s">
        <v>99</v>
      </c>
      <c r="B148" s="17">
        <f>B149</f>
        <v>40000000</v>
      </c>
      <c r="C148" s="2"/>
      <c r="D148" s="2"/>
      <c r="E148" s="2"/>
      <c r="F148" s="2"/>
      <c r="G148" s="2"/>
      <c r="H148" s="2"/>
      <c r="I148" s="2"/>
    </row>
    <row r="149" spans="1:27">
      <c r="A149" s="42" t="s">
        <v>100</v>
      </c>
      <c r="B149" s="4">
        <v>40000000</v>
      </c>
      <c r="C149" s="2"/>
      <c r="D149" s="2"/>
      <c r="E149" s="2"/>
      <c r="F149" s="2"/>
      <c r="G149" s="2"/>
      <c r="H149" s="2"/>
      <c r="I149" s="2"/>
    </row>
    <row r="150" spans="1:27">
      <c r="A150" s="43"/>
      <c r="B150" s="4"/>
      <c r="C150" s="2"/>
      <c r="D150" s="2"/>
      <c r="E150" s="2"/>
      <c r="F150" s="2"/>
      <c r="G150" s="2"/>
      <c r="H150" s="2"/>
      <c r="I150" s="2"/>
    </row>
    <row r="151" spans="1:27">
      <c r="A151" s="23" t="s">
        <v>101</v>
      </c>
      <c r="B151" s="17">
        <f>B144+B149</f>
        <v>71799361</v>
      </c>
      <c r="C151" s="2"/>
      <c r="D151" s="2"/>
      <c r="E151" s="2"/>
      <c r="F151" s="2"/>
      <c r="G151" s="2"/>
      <c r="H151" s="2"/>
      <c r="I151" s="2"/>
    </row>
    <row r="152" spans="1:27">
      <c r="A152" s="2" t="s">
        <v>102</v>
      </c>
      <c r="B152" s="4"/>
      <c r="C152" s="2"/>
      <c r="D152" s="2"/>
      <c r="E152" s="2"/>
      <c r="F152" s="2"/>
      <c r="G152" s="2"/>
      <c r="H152" s="2"/>
      <c r="I152" s="2"/>
    </row>
    <row r="153" spans="1:27">
      <c r="A153" s="2"/>
      <c r="B153" s="4"/>
      <c r="C153" s="2"/>
      <c r="D153" s="2"/>
      <c r="E153" s="2"/>
      <c r="F153" s="2"/>
      <c r="G153" s="2"/>
      <c r="H153" s="2"/>
      <c r="I153" s="2"/>
    </row>
    <row r="154" spans="1:27">
      <c r="A154" s="14" t="s">
        <v>103</v>
      </c>
      <c r="B154" s="15">
        <f>B151+B142</f>
        <v>945271749</v>
      </c>
      <c r="C154" s="4">
        <f>kiadások!B75</f>
        <v>945271749</v>
      </c>
      <c r="D154" s="4">
        <f>B93+B94+B95+B96+B99+B100+B101+B102+B105+B106+B107+B108+B112+B119+B120+B121+B122+B123+B125+B127+B131+B132+B133+B145+B146+B134</f>
        <v>839371749</v>
      </c>
      <c r="E154" s="4">
        <f>C77+B117+B129+B138+B151</f>
        <v>945271749</v>
      </c>
      <c r="F154" s="2"/>
      <c r="G154" s="2"/>
      <c r="H154" s="4">
        <f>B154-kiadások!B75</f>
        <v>0</v>
      </c>
      <c r="I154" s="4">
        <f>B93+B94+B95+B96+B99+B100+B101+B102+B105+B106+B107+B108+B112+B119+B120+B121+B122+B123+B124+B127+B131+B132+B133+B145+B146</f>
        <v>834168243</v>
      </c>
      <c r="L154" s="24"/>
      <c r="AA154" s="24"/>
    </row>
    <row r="155" spans="1:27">
      <c r="A155" s="2" t="s">
        <v>104</v>
      </c>
      <c r="B155" s="4"/>
      <c r="C155" s="2"/>
      <c r="D155" s="2"/>
      <c r="E155" s="2"/>
      <c r="F155" s="2"/>
      <c r="G155" s="2"/>
      <c r="H155" s="2"/>
      <c r="I155" s="2"/>
    </row>
    <row r="156" spans="1:27">
      <c r="A156" s="2" t="s">
        <v>105</v>
      </c>
      <c r="B156" s="4"/>
      <c r="C156" s="2"/>
      <c r="D156" s="2"/>
      <c r="E156" s="2"/>
      <c r="F156" s="2"/>
      <c r="G156" s="2"/>
      <c r="H156" s="4">
        <f>B65-B154</f>
        <v>0</v>
      </c>
      <c r="I156" s="2"/>
    </row>
    <row r="157" spans="1:27">
      <c r="A157" s="32" t="s">
        <v>106</v>
      </c>
      <c r="B157" s="32"/>
      <c r="C157" s="2"/>
      <c r="D157" s="2"/>
      <c r="E157" s="2"/>
      <c r="F157" s="2"/>
      <c r="G157" s="2"/>
      <c r="H157" s="2"/>
      <c r="I157" s="2"/>
    </row>
    <row r="158" spans="1:27">
      <c r="A158" s="2"/>
      <c r="B158" s="4"/>
      <c r="C158" s="2"/>
      <c r="D158" s="2"/>
      <c r="E158" s="2"/>
      <c r="F158" s="2"/>
      <c r="G158" s="2"/>
      <c r="H158" s="2"/>
      <c r="I158" s="2"/>
    </row>
    <row r="159" spans="1:27">
      <c r="A159" s="44" t="s">
        <v>107</v>
      </c>
      <c r="B159" s="44"/>
      <c r="C159" s="2"/>
      <c r="D159" s="2"/>
      <c r="E159" s="2"/>
      <c r="F159" s="2"/>
      <c r="G159" s="2"/>
      <c r="H159" s="2"/>
      <c r="I159" s="2"/>
    </row>
    <row r="160" spans="1:27">
      <c r="A160" s="44" t="s">
        <v>108</v>
      </c>
      <c r="B160" s="44"/>
      <c r="C160" s="2"/>
      <c r="D160" s="2"/>
      <c r="E160" s="2"/>
      <c r="F160" s="2"/>
      <c r="G160" s="2"/>
      <c r="H160" s="2"/>
      <c r="I160" s="2"/>
    </row>
    <row r="161" spans="1:9">
      <c r="A161" s="2"/>
      <c r="B161" s="4"/>
      <c r="C161" s="2"/>
      <c r="D161" s="2"/>
      <c r="E161" s="2"/>
      <c r="F161" s="2"/>
      <c r="G161" s="2"/>
      <c r="H161" s="2"/>
      <c r="I161" s="2"/>
    </row>
    <row r="162" spans="1:9" ht="25.5">
      <c r="A162" s="45" t="s">
        <v>109</v>
      </c>
      <c r="B162" s="15">
        <f>B39-B77-B138</f>
        <v>-79402757</v>
      </c>
      <c r="C162" s="2"/>
      <c r="D162" s="2"/>
      <c r="E162" s="2"/>
      <c r="F162" s="2"/>
      <c r="G162" s="2"/>
      <c r="H162" s="2"/>
      <c r="I162" s="2"/>
    </row>
    <row r="163" spans="1:9">
      <c r="A163" s="2" t="s">
        <v>110</v>
      </c>
      <c r="B163" s="4"/>
      <c r="C163" s="2"/>
      <c r="D163" s="2"/>
      <c r="E163" s="2"/>
      <c r="F163" s="2"/>
      <c r="G163" s="2"/>
      <c r="H163" s="2"/>
      <c r="I163" s="2"/>
    </row>
    <row r="164" spans="1:9">
      <c r="A164" s="2"/>
      <c r="B164" s="4"/>
      <c r="C164" s="2"/>
      <c r="D164" s="2"/>
      <c r="E164" s="2"/>
      <c r="F164" s="2"/>
      <c r="G164" s="2"/>
      <c r="H164" s="2"/>
      <c r="I164" s="2"/>
    </row>
    <row r="165" spans="1:9">
      <c r="A165" s="45" t="s">
        <v>111</v>
      </c>
      <c r="B165" s="17">
        <f>B49-B114</f>
        <v>-110194782</v>
      </c>
      <c r="C165" s="2"/>
      <c r="D165" s="2"/>
      <c r="E165" s="2"/>
      <c r="F165" s="2"/>
      <c r="G165" s="2"/>
      <c r="H165" s="2"/>
      <c r="I165" s="2"/>
    </row>
    <row r="166" spans="1:9">
      <c r="A166" s="2" t="s">
        <v>112</v>
      </c>
      <c r="B166" s="4"/>
      <c r="C166" s="2"/>
      <c r="D166" s="2"/>
      <c r="E166" s="2"/>
      <c r="F166" s="2"/>
      <c r="G166" s="2"/>
      <c r="H166" s="2"/>
      <c r="I166" s="2"/>
    </row>
    <row r="167" spans="1:9">
      <c r="A167" s="2"/>
      <c r="B167" s="4"/>
      <c r="C167" s="2"/>
      <c r="D167" s="2"/>
      <c r="E167" s="2"/>
      <c r="F167" s="2"/>
      <c r="G167" s="2"/>
      <c r="H167" s="2"/>
      <c r="I167" s="2"/>
    </row>
    <row r="168" spans="1:9" ht="25.5">
      <c r="A168" s="46" t="s">
        <v>113</v>
      </c>
      <c r="B168" s="17">
        <f>B52-B142</f>
        <v>-189597539</v>
      </c>
      <c r="C168" s="2"/>
      <c r="D168" s="2"/>
      <c r="E168" s="2"/>
      <c r="F168" s="2"/>
      <c r="G168" s="2"/>
      <c r="H168" s="2"/>
      <c r="I168" s="2"/>
    </row>
    <row r="169" spans="1:9">
      <c r="A169" s="2" t="s">
        <v>114</v>
      </c>
      <c r="B169" s="4"/>
      <c r="C169" s="2"/>
      <c r="D169" s="2"/>
      <c r="E169" s="2"/>
      <c r="F169" s="2"/>
      <c r="G169" s="2"/>
      <c r="H169" s="2"/>
      <c r="I169" s="2"/>
    </row>
    <row r="170" spans="1:9">
      <c r="A170" s="2"/>
      <c r="B170" s="4"/>
      <c r="C170" s="2"/>
      <c r="D170" s="2"/>
      <c r="E170" s="2"/>
      <c r="F170" s="2"/>
      <c r="G170" s="2"/>
      <c r="H170" s="2"/>
      <c r="I170" s="2"/>
    </row>
    <row r="171" spans="1:9">
      <c r="A171" s="14" t="s">
        <v>115</v>
      </c>
      <c r="B171" s="15">
        <f>B59</f>
        <v>156396900</v>
      </c>
      <c r="C171" s="4"/>
      <c r="D171" s="2"/>
      <c r="E171" s="2"/>
      <c r="F171" s="2"/>
      <c r="G171" s="2"/>
      <c r="H171" s="2"/>
      <c r="I171" s="2"/>
    </row>
    <row r="172" spans="1:9">
      <c r="A172" s="2" t="s">
        <v>116</v>
      </c>
      <c r="B172" s="15"/>
      <c r="C172" s="2"/>
      <c r="D172" s="2"/>
      <c r="E172" s="2"/>
      <c r="F172" s="2"/>
      <c r="G172" s="2"/>
      <c r="H172" s="2"/>
      <c r="I172" s="2"/>
    </row>
    <row r="173" spans="1:9">
      <c r="A173" s="2"/>
      <c r="B173" s="4"/>
      <c r="C173" s="2"/>
      <c r="D173" s="2"/>
      <c r="E173" s="2"/>
      <c r="F173" s="2"/>
      <c r="G173" s="2"/>
      <c r="H173" s="2"/>
      <c r="I173" s="2"/>
    </row>
    <row r="174" spans="1:9">
      <c r="A174" s="23" t="s">
        <v>117</v>
      </c>
      <c r="B174" s="15">
        <f>B55-B145-B149</f>
        <v>52976639</v>
      </c>
      <c r="C174" s="2"/>
      <c r="D174" s="2"/>
      <c r="E174" s="2"/>
      <c r="F174" s="2"/>
      <c r="G174" s="2"/>
      <c r="H174" s="2"/>
      <c r="I174" s="4"/>
    </row>
    <row r="175" spans="1:9">
      <c r="A175" s="31" t="s">
        <v>118</v>
      </c>
      <c r="B175" s="15"/>
      <c r="C175" s="2"/>
      <c r="D175" s="2"/>
      <c r="E175" s="2"/>
      <c r="F175" s="2"/>
      <c r="G175" s="2"/>
      <c r="H175" s="2"/>
      <c r="I175" s="2"/>
    </row>
    <row r="176" spans="1:9">
      <c r="A176" s="23"/>
      <c r="B176" s="4"/>
      <c r="C176" s="2"/>
      <c r="D176" s="2"/>
      <c r="E176" s="2"/>
      <c r="F176" s="2"/>
      <c r="G176" s="2"/>
      <c r="H176" s="2"/>
      <c r="I176" s="2"/>
    </row>
    <row r="177" spans="1:31">
      <c r="A177" s="23" t="s">
        <v>119</v>
      </c>
      <c r="B177" s="15">
        <f>-B146</f>
        <v>-19776000</v>
      </c>
      <c r="C177" s="2"/>
      <c r="D177" s="2"/>
      <c r="E177" s="2"/>
      <c r="F177" s="2"/>
      <c r="G177" s="2"/>
      <c r="H177" s="2"/>
      <c r="I177" s="2"/>
    </row>
    <row r="178" spans="1:31">
      <c r="A178" s="31" t="s">
        <v>120</v>
      </c>
      <c r="B178" s="15"/>
      <c r="C178" s="2"/>
      <c r="D178" s="2"/>
      <c r="E178" s="2"/>
      <c r="F178" s="2"/>
      <c r="G178" s="2"/>
      <c r="H178" s="2"/>
      <c r="I178" s="2"/>
    </row>
    <row r="179" spans="1:31">
      <c r="A179" s="2"/>
      <c r="B179" s="4"/>
      <c r="C179" s="2"/>
      <c r="D179" s="2"/>
      <c r="E179" s="2"/>
      <c r="F179" s="2"/>
      <c r="G179" s="2"/>
      <c r="H179" s="2"/>
      <c r="I179" s="2"/>
    </row>
    <row r="180" spans="1:31">
      <c r="A180" s="14" t="s">
        <v>121</v>
      </c>
      <c r="B180" s="15">
        <f>B171+B174+B177</f>
        <v>189597539</v>
      </c>
      <c r="C180" s="2"/>
      <c r="D180" s="4">
        <f>B168+B180</f>
        <v>0</v>
      </c>
      <c r="E180" s="2"/>
      <c r="F180" s="2"/>
      <c r="G180" s="2"/>
      <c r="H180" s="4">
        <f>B168+B180</f>
        <v>0</v>
      </c>
      <c r="I180" s="4">
        <f>bevételek!B101</f>
        <v>0</v>
      </c>
      <c r="L180" s="24"/>
    </row>
    <row r="181" spans="1:31">
      <c r="A181" s="2" t="s">
        <v>122</v>
      </c>
      <c r="B181" s="4"/>
      <c r="C181" s="2"/>
      <c r="D181" s="4" t="e">
        <f>kiadások!#REF!</f>
        <v>#REF!</v>
      </c>
      <c r="E181" s="2"/>
      <c r="F181" s="2"/>
      <c r="G181" s="2"/>
      <c r="H181" s="2"/>
      <c r="I181" s="2"/>
    </row>
    <row r="182" spans="1:31" ht="15" customHeight="1">
      <c r="A182" s="32" t="s">
        <v>123</v>
      </c>
      <c r="B182" s="32"/>
      <c r="C182" s="2"/>
      <c r="D182" s="2"/>
      <c r="E182" s="2"/>
      <c r="F182" s="2"/>
      <c r="G182" s="2"/>
      <c r="H182" s="2"/>
      <c r="I182" s="2"/>
    </row>
    <row r="183" spans="1:31" ht="15" customHeight="1">
      <c r="A183" s="12"/>
      <c r="B183" s="4"/>
      <c r="C183" s="2"/>
      <c r="D183" s="2"/>
      <c r="E183" s="2"/>
      <c r="F183" s="2"/>
      <c r="G183" s="2"/>
      <c r="H183" s="2"/>
      <c r="I183" s="2"/>
      <c r="AE183" s="24"/>
    </row>
    <row r="184" spans="1:31" ht="40.5" customHeight="1">
      <c r="A184" s="47" t="s">
        <v>124</v>
      </c>
      <c r="B184" s="47"/>
      <c r="C184" s="2"/>
      <c r="D184" s="2"/>
      <c r="E184" s="2"/>
      <c r="F184" s="2"/>
      <c r="G184" s="2"/>
      <c r="H184" s="2"/>
      <c r="I184" s="2"/>
    </row>
    <row r="185" spans="1:31" ht="53.45" customHeight="1">
      <c r="A185" s="48" t="s">
        <v>125</v>
      </c>
      <c r="B185" s="48"/>
      <c r="C185" s="2"/>
      <c r="D185" s="2"/>
      <c r="E185" s="2"/>
      <c r="F185" s="2"/>
      <c r="G185" s="2"/>
      <c r="H185" s="2"/>
      <c r="I185" s="2"/>
    </row>
    <row r="186" spans="1:31" ht="27.75" customHeight="1">
      <c r="A186" s="49" t="s">
        <v>126</v>
      </c>
      <c r="B186" s="49"/>
      <c r="C186" s="2"/>
      <c r="D186" s="2"/>
      <c r="E186" s="2"/>
      <c r="F186" s="2"/>
      <c r="G186" s="2"/>
      <c r="H186" s="2"/>
      <c r="I186" s="2"/>
    </row>
    <row r="187" spans="1:31" ht="41.25" customHeight="1">
      <c r="A187" s="49" t="s">
        <v>127</v>
      </c>
      <c r="B187" s="49"/>
      <c r="C187" s="2"/>
      <c r="D187" s="2"/>
      <c r="E187" s="2"/>
      <c r="F187" s="2"/>
      <c r="G187" s="2"/>
      <c r="H187" s="2"/>
      <c r="I187" s="2"/>
    </row>
    <row r="188" spans="1:31" ht="43.5" customHeight="1">
      <c r="A188" s="49" t="s">
        <v>128</v>
      </c>
      <c r="B188" s="9"/>
      <c r="C188" s="2"/>
      <c r="D188" s="2"/>
      <c r="E188" s="2"/>
      <c r="F188" s="2"/>
      <c r="G188" s="2"/>
      <c r="H188" s="2"/>
      <c r="I188" s="2"/>
    </row>
    <row r="189" spans="1:31" ht="33" customHeight="1">
      <c r="A189" s="49" t="s">
        <v>129</v>
      </c>
      <c r="B189" s="49"/>
      <c r="C189" s="2"/>
      <c r="D189" s="2"/>
      <c r="E189" s="2"/>
      <c r="F189" s="2"/>
      <c r="G189" s="2"/>
      <c r="H189" s="2"/>
      <c r="I189" s="2"/>
    </row>
    <row r="190" spans="1:31" ht="15" customHeight="1">
      <c r="A190" s="50" t="s">
        <v>130</v>
      </c>
      <c r="B190" s="50"/>
      <c r="C190" s="2"/>
      <c r="D190" s="2"/>
      <c r="E190" s="2"/>
      <c r="F190" s="2"/>
      <c r="G190" s="2"/>
      <c r="H190" s="2"/>
      <c r="I190" s="2"/>
    </row>
    <row r="191" spans="1:31" ht="15" customHeight="1">
      <c r="A191" s="14"/>
      <c r="B191" s="4"/>
      <c r="C191" s="2"/>
      <c r="D191" s="2"/>
      <c r="E191" s="2"/>
      <c r="F191" s="2"/>
      <c r="G191" s="2"/>
      <c r="H191" s="2"/>
      <c r="I191" s="2"/>
    </row>
    <row r="192" spans="1:31">
      <c r="A192" s="2" t="s">
        <v>131</v>
      </c>
      <c r="B192" s="4"/>
      <c r="C192" s="2"/>
      <c r="D192" s="2"/>
      <c r="E192" s="2"/>
      <c r="F192" s="2"/>
      <c r="G192" s="2"/>
      <c r="H192" s="2"/>
      <c r="I192" s="2"/>
    </row>
    <row r="193" spans="1:9">
      <c r="A193" s="51" t="s">
        <v>132</v>
      </c>
      <c r="B193" s="9"/>
      <c r="C193" s="2"/>
      <c r="D193" s="2"/>
      <c r="E193" s="2"/>
      <c r="F193" s="2"/>
      <c r="G193" s="2"/>
      <c r="H193" s="2"/>
      <c r="I193" s="2"/>
    </row>
    <row r="194" spans="1:9">
      <c r="A194" s="51" t="s">
        <v>133</v>
      </c>
      <c r="B194" s="9"/>
      <c r="C194" s="2"/>
      <c r="D194" s="2"/>
      <c r="E194" s="2"/>
      <c r="F194" s="2"/>
      <c r="G194" s="2"/>
      <c r="H194" s="2"/>
      <c r="I194" s="2"/>
    </row>
    <row r="195" spans="1:9">
      <c r="A195" s="2"/>
      <c r="B195" s="4"/>
    </row>
    <row r="196" spans="1:9">
      <c r="A196" s="3" t="s">
        <v>134</v>
      </c>
    </row>
    <row r="197" spans="1:9">
      <c r="A197" s="3" t="s">
        <v>135</v>
      </c>
    </row>
    <row r="198" spans="1:9">
      <c r="A198" s="3" t="s">
        <v>136</v>
      </c>
    </row>
  </sheetData>
  <mergeCells count="23">
    <mergeCell ref="A188:B188"/>
    <mergeCell ref="A189:B189"/>
    <mergeCell ref="A190:B190"/>
    <mergeCell ref="A193:B193"/>
    <mergeCell ref="A194:B194"/>
    <mergeCell ref="A160:B160"/>
    <mergeCell ref="A182:B182"/>
    <mergeCell ref="A184:B184"/>
    <mergeCell ref="A185:B185"/>
    <mergeCell ref="A186:B186"/>
    <mergeCell ref="A187:B187"/>
    <mergeCell ref="A10:B10"/>
    <mergeCell ref="A11:B11"/>
    <mergeCell ref="A12:B12"/>
    <mergeCell ref="A72:B72"/>
    <mergeCell ref="A157:B157"/>
    <mergeCell ref="A159:B159"/>
    <mergeCell ref="A1:B1"/>
    <mergeCell ref="A3:B3"/>
    <mergeCell ref="A4:B4"/>
    <mergeCell ref="A5:B5"/>
    <mergeCell ref="A8:B8"/>
    <mergeCell ref="A9:B9"/>
  </mergeCells>
  <printOptions horizontalCentered="1"/>
  <pageMargins left="0.78740157480314965" right="0.78740157480314965" top="0.82677165354330717" bottom="0.82677165354330717" header="0.51181102362204722" footer="0.51181102362204722"/>
  <pageSetup paperSize="9" scale="81" firstPageNumber="0" orientation="portrait" r:id="rId1"/>
  <headerFooter alignWithMargins="0">
    <oddFooter xml:space="preserve">&amp;C&amp;P.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3" sqref="A3"/>
    </sheetView>
  </sheetViews>
  <sheetFormatPr defaultRowHeight="12.75"/>
  <cols>
    <col min="1" max="1" width="40" customWidth="1"/>
    <col min="2" max="2" width="18.8554687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>
      <c r="A1" s="3" t="s">
        <v>502</v>
      </c>
      <c r="B1" s="3"/>
      <c r="C1" s="3"/>
      <c r="D1" s="351" t="s">
        <v>724</v>
      </c>
      <c r="E1" s="352"/>
      <c r="F1" s="352"/>
      <c r="G1" s="352"/>
    </row>
    <row r="2" spans="1:7">
      <c r="A2" s="3" t="s">
        <v>542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14" t="s">
        <v>725</v>
      </c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13.5" thickBot="1">
      <c r="A6" s="3"/>
      <c r="B6" s="353"/>
      <c r="C6" s="3"/>
      <c r="D6" s="3"/>
      <c r="E6" s="3"/>
      <c r="F6" s="2" t="s">
        <v>726</v>
      </c>
      <c r="G6" s="3"/>
    </row>
    <row r="7" spans="1:7">
      <c r="A7" s="354" t="s">
        <v>507</v>
      </c>
      <c r="B7" s="355" t="s">
        <v>727</v>
      </c>
      <c r="C7" s="356"/>
      <c r="D7" s="357" t="s">
        <v>728</v>
      </c>
      <c r="E7" s="358"/>
      <c r="F7" s="359"/>
      <c r="G7" s="360" t="s">
        <v>729</v>
      </c>
    </row>
    <row r="8" spans="1:7">
      <c r="A8" s="361"/>
      <c r="B8" s="362"/>
      <c r="C8" s="363"/>
      <c r="D8" s="364" t="s">
        <v>730</v>
      </c>
      <c r="E8" s="365"/>
      <c r="F8" s="366"/>
      <c r="G8" s="367"/>
    </row>
    <row r="9" spans="1:7">
      <c r="A9" s="361"/>
      <c r="B9" s="362"/>
      <c r="C9" s="363"/>
      <c r="D9" s="364"/>
      <c r="E9" s="365"/>
      <c r="F9" s="366"/>
      <c r="G9" s="367"/>
    </row>
    <row r="10" spans="1:7">
      <c r="A10" s="368"/>
      <c r="B10" s="369" t="s">
        <v>731</v>
      </c>
      <c r="C10" s="370" t="s">
        <v>732</v>
      </c>
      <c r="D10" s="371" t="s">
        <v>731</v>
      </c>
      <c r="E10" s="369" t="s">
        <v>732</v>
      </c>
      <c r="F10" s="372" t="s">
        <v>731</v>
      </c>
      <c r="G10" s="373" t="s">
        <v>732</v>
      </c>
    </row>
    <row r="11" spans="1:7" ht="13.5" thickBot="1">
      <c r="A11" s="374"/>
      <c r="B11" s="375"/>
      <c r="C11" s="376"/>
      <c r="D11" s="377"/>
      <c r="E11" s="375"/>
      <c r="F11" s="378"/>
      <c r="G11" s="379"/>
    </row>
    <row r="12" spans="1:7">
      <c r="A12" s="380" t="s">
        <v>733</v>
      </c>
      <c r="B12" s="381"/>
      <c r="C12" s="382"/>
      <c r="D12" s="383"/>
      <c r="E12" s="382"/>
      <c r="F12" s="384"/>
      <c r="G12" s="385"/>
    </row>
    <row r="13" spans="1:7">
      <c r="A13" s="361" t="s">
        <v>734</v>
      </c>
      <c r="B13" s="386"/>
      <c r="C13" s="387"/>
      <c r="D13" s="388"/>
      <c r="E13" s="389"/>
      <c r="F13" s="390"/>
      <c r="G13" s="391"/>
    </row>
    <row r="14" spans="1:7">
      <c r="A14" s="361" t="s">
        <v>735</v>
      </c>
      <c r="B14" s="392">
        <v>727</v>
      </c>
      <c r="C14" s="387">
        <v>4362000</v>
      </c>
      <c r="D14" s="393">
        <v>0</v>
      </c>
      <c r="E14" s="394">
        <v>0</v>
      </c>
      <c r="F14" s="395">
        <f>B14+D14</f>
        <v>727</v>
      </c>
      <c r="G14" s="396">
        <f>C14+E14</f>
        <v>4362000</v>
      </c>
    </row>
    <row r="15" spans="1:7">
      <c r="A15" s="361"/>
      <c r="C15" s="397"/>
      <c r="D15" s="398"/>
      <c r="E15" s="399">
        <v>0</v>
      </c>
      <c r="F15" s="400"/>
      <c r="G15" s="397"/>
    </row>
    <row r="16" spans="1:7">
      <c r="A16" s="361" t="s">
        <v>736</v>
      </c>
      <c r="B16" s="392">
        <v>2</v>
      </c>
      <c r="C16" s="387">
        <v>24000</v>
      </c>
      <c r="D16" s="388">
        <v>0</v>
      </c>
      <c r="E16" s="389"/>
      <c r="F16" s="395">
        <f>B16+D16</f>
        <v>2</v>
      </c>
      <c r="G16" s="401">
        <f>C16+E16</f>
        <v>24000</v>
      </c>
    </row>
    <row r="17" spans="1:7">
      <c r="A17" s="402" t="s">
        <v>737</v>
      </c>
      <c r="B17" s="403"/>
      <c r="C17" s="404"/>
      <c r="D17" s="405"/>
      <c r="E17" s="406"/>
      <c r="F17" s="407"/>
      <c r="G17" s="408"/>
    </row>
    <row r="18" spans="1:7">
      <c r="A18" s="361"/>
      <c r="B18" s="392"/>
      <c r="C18" s="387"/>
      <c r="D18" s="388"/>
      <c r="E18" s="389"/>
      <c r="F18" s="409"/>
      <c r="G18" s="410"/>
    </row>
    <row r="19" spans="1:7">
      <c r="A19" s="361" t="s">
        <v>736</v>
      </c>
      <c r="B19" s="411">
        <v>0</v>
      </c>
      <c r="C19" s="412">
        <v>0</v>
      </c>
      <c r="D19" s="388">
        <v>0</v>
      </c>
      <c r="E19" s="394">
        <v>0</v>
      </c>
      <c r="F19" s="390">
        <f>B19+D19</f>
        <v>0</v>
      </c>
      <c r="G19" s="413">
        <f>E19</f>
        <v>0</v>
      </c>
    </row>
    <row r="20" spans="1:7">
      <c r="A20" s="414"/>
      <c r="B20" s="415"/>
      <c r="C20" s="416"/>
      <c r="D20" s="417"/>
      <c r="E20" s="418"/>
      <c r="F20" s="419"/>
      <c r="G20" s="420"/>
    </row>
    <row r="21" spans="1:7">
      <c r="A21" s="402" t="s">
        <v>738</v>
      </c>
      <c r="B21" s="392"/>
      <c r="C21" s="387"/>
      <c r="D21" s="421"/>
      <c r="E21" s="412"/>
      <c r="F21" s="409"/>
      <c r="G21" s="410"/>
    </row>
    <row r="22" spans="1:7">
      <c r="A22" s="361"/>
      <c r="B22" s="422"/>
      <c r="C22" s="387"/>
      <c r="D22" s="423"/>
      <c r="E22" s="412"/>
      <c r="F22" s="424"/>
      <c r="G22" s="410"/>
    </row>
    <row r="23" spans="1:7">
      <c r="A23" s="361" t="s">
        <v>736</v>
      </c>
      <c r="B23" s="425">
        <v>0</v>
      </c>
      <c r="C23" s="412">
        <v>0</v>
      </c>
      <c r="D23" s="388">
        <v>0</v>
      </c>
      <c r="E23" s="394">
        <v>0</v>
      </c>
      <c r="F23" s="426">
        <f>B23+D23</f>
        <v>0</v>
      </c>
      <c r="G23" s="413">
        <f>C23+E23</f>
        <v>0</v>
      </c>
    </row>
    <row r="24" spans="1:7" ht="13.5" thickBot="1">
      <c r="A24" s="427"/>
      <c r="B24" s="392"/>
      <c r="C24" s="387"/>
      <c r="D24" s="421"/>
      <c r="E24" s="412"/>
      <c r="F24" s="428"/>
      <c r="G24" s="429"/>
    </row>
    <row r="25" spans="1:7">
      <c r="A25" s="430" t="s">
        <v>739</v>
      </c>
      <c r="B25" s="431"/>
      <c r="C25" s="432"/>
      <c r="D25" s="433"/>
      <c r="E25" s="434"/>
      <c r="F25" s="384"/>
      <c r="G25" s="432"/>
    </row>
    <row r="26" spans="1:7">
      <c r="A26" s="430" t="s">
        <v>740</v>
      </c>
      <c r="B26" s="435">
        <f t="shared" ref="B26:G26" si="0">B14</f>
        <v>727</v>
      </c>
      <c r="C26" s="436">
        <f t="shared" si="0"/>
        <v>4362000</v>
      </c>
      <c r="D26" s="436">
        <f t="shared" si="0"/>
        <v>0</v>
      </c>
      <c r="E26" s="436">
        <f t="shared" si="0"/>
        <v>0</v>
      </c>
      <c r="F26" s="437">
        <f t="shared" si="0"/>
        <v>727</v>
      </c>
      <c r="G26" s="436">
        <f t="shared" si="0"/>
        <v>4362000</v>
      </c>
    </row>
    <row r="27" spans="1:7">
      <c r="A27" s="438"/>
      <c r="B27" s="439"/>
      <c r="C27" s="440"/>
      <c r="D27" s="441"/>
      <c r="E27" s="442"/>
      <c r="F27" s="443"/>
      <c r="G27" s="440"/>
    </row>
    <row r="28" spans="1:7">
      <c r="A28" s="430"/>
      <c r="B28" s="444"/>
      <c r="C28" s="445"/>
      <c r="D28" s="446"/>
      <c r="E28" s="447"/>
      <c r="F28" s="372"/>
      <c r="G28" s="445"/>
    </row>
    <row r="29" spans="1:7" ht="13.5" thickBot="1">
      <c r="A29" s="448" t="s">
        <v>741</v>
      </c>
      <c r="B29" s="449">
        <f>B23+B16</f>
        <v>2</v>
      </c>
      <c r="C29" s="450">
        <f>C23+C16+C19</f>
        <v>24000</v>
      </c>
      <c r="D29" s="451">
        <f>D16+D19+D23</f>
        <v>0</v>
      </c>
      <c r="E29" s="451">
        <f>E16+E19+E23</f>
        <v>0</v>
      </c>
      <c r="F29" s="452">
        <f>F16+F19+F23</f>
        <v>2</v>
      </c>
      <c r="G29" s="451">
        <f>G16+G19+G23</f>
        <v>24000</v>
      </c>
    </row>
    <row r="30" spans="1:7">
      <c r="G30" s="101"/>
    </row>
    <row r="31" spans="1:7">
      <c r="A31" s="323" t="s">
        <v>742</v>
      </c>
    </row>
    <row r="32" spans="1:7">
      <c r="A32" s="323" t="s">
        <v>743</v>
      </c>
      <c r="G32" s="453" t="s">
        <v>510</v>
      </c>
    </row>
    <row r="33" spans="1:3">
      <c r="A33" s="454"/>
      <c r="B33" s="454"/>
    </row>
    <row r="34" spans="1:3" ht="12.75" customHeight="1">
      <c r="A34" s="455" t="s">
        <v>507</v>
      </c>
      <c r="B34" s="456" t="s">
        <v>744</v>
      </c>
      <c r="C34" s="456"/>
    </row>
    <row r="35" spans="1:3">
      <c r="A35" s="457"/>
      <c r="B35" s="456"/>
      <c r="C35" s="456"/>
    </row>
    <row r="36" spans="1:3" ht="25.5" customHeight="1">
      <c r="A36" s="458" t="s">
        <v>745</v>
      </c>
      <c r="B36" s="459" t="s">
        <v>746</v>
      </c>
      <c r="C36" s="459"/>
    </row>
    <row r="37" spans="1:3" ht="24.75" customHeight="1">
      <c r="A37" s="460" t="s">
        <v>747</v>
      </c>
      <c r="B37" s="461">
        <v>725000</v>
      </c>
      <c r="C37" s="461"/>
    </row>
    <row r="39" spans="1:3" hidden="1">
      <c r="A39" t="s">
        <v>748</v>
      </c>
      <c r="B39">
        <f>43*10*3500</f>
        <v>1505000</v>
      </c>
      <c r="C39" t="s">
        <v>749</v>
      </c>
    </row>
    <row r="40" spans="1:3" hidden="1">
      <c r="A40" t="s">
        <v>750</v>
      </c>
      <c r="B40">
        <f>43*7*3000</f>
        <v>903000</v>
      </c>
      <c r="C40" t="s">
        <v>751</v>
      </c>
    </row>
    <row r="41" spans="1:3" hidden="1">
      <c r="A41" t="s">
        <v>752</v>
      </c>
      <c r="B41">
        <f>52*24*3000</f>
        <v>3744000</v>
      </c>
      <c r="C41" t="s">
        <v>751</v>
      </c>
    </row>
    <row r="42" spans="1:3" hidden="1">
      <c r="A42" t="s">
        <v>753</v>
      </c>
      <c r="B42">
        <f>52*6*3000</f>
        <v>936000</v>
      </c>
    </row>
    <row r="43" spans="1:3" hidden="1"/>
    <row r="44" spans="1:3" hidden="1">
      <c r="A44" t="s">
        <v>754</v>
      </c>
      <c r="B44">
        <f>B39+B40+B42</f>
        <v>3344000</v>
      </c>
    </row>
  </sheetData>
  <mergeCells count="5">
    <mergeCell ref="B7:C7"/>
    <mergeCell ref="A34:A35"/>
    <mergeCell ref="B34:C35"/>
    <mergeCell ref="B36:C36"/>
    <mergeCell ref="B37:C37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A3" sqref="A3"/>
    </sheetView>
  </sheetViews>
  <sheetFormatPr defaultRowHeight="12.75"/>
  <cols>
    <col min="1" max="1" width="16.5703125" customWidth="1"/>
    <col min="2" max="2" width="13.7109375" customWidth="1"/>
    <col min="3" max="3" width="12.7109375" customWidth="1"/>
    <col min="4" max="4" width="13.140625" customWidth="1"/>
    <col min="5" max="5" width="12.140625" customWidth="1"/>
    <col min="6" max="6" width="12" customWidth="1"/>
    <col min="7" max="7" width="13" customWidth="1"/>
    <col min="8" max="8" width="13.85546875" customWidth="1"/>
    <col min="9" max="9" width="14.7109375" customWidth="1"/>
    <col min="10" max="10" width="12.7109375" bestFit="1" customWidth="1"/>
  </cols>
  <sheetData>
    <row r="1" spans="1:11">
      <c r="A1" s="3" t="s">
        <v>502</v>
      </c>
      <c r="B1" s="3"/>
      <c r="C1" s="3"/>
      <c r="D1" s="3"/>
      <c r="E1" s="3"/>
      <c r="F1" s="351" t="s">
        <v>755</v>
      </c>
      <c r="H1" s="3"/>
      <c r="I1" s="462"/>
    </row>
    <row r="2" spans="1:11">
      <c r="A2" s="3" t="s">
        <v>542</v>
      </c>
      <c r="B2" s="3"/>
      <c r="C2" s="3"/>
      <c r="D2" s="3"/>
      <c r="E2" s="3"/>
      <c r="F2" s="3"/>
      <c r="G2" s="3"/>
      <c r="H2" s="3"/>
      <c r="I2" s="462"/>
    </row>
    <row r="3" spans="1:11">
      <c r="A3" s="3"/>
      <c r="B3" s="463" t="s">
        <v>756</v>
      </c>
      <c r="C3" s="463"/>
      <c r="D3" s="463"/>
      <c r="E3" s="463"/>
      <c r="F3" s="463"/>
      <c r="G3" s="463"/>
      <c r="H3" s="463"/>
      <c r="I3" s="3"/>
    </row>
    <row r="4" spans="1:11">
      <c r="A4" s="3"/>
      <c r="B4" s="3"/>
      <c r="C4" s="182"/>
      <c r="D4" s="3"/>
      <c r="E4" s="3"/>
      <c r="F4" s="3"/>
      <c r="G4" s="464"/>
      <c r="H4" s="464"/>
      <c r="I4" s="3"/>
    </row>
    <row r="5" spans="1:11">
      <c r="A5" s="465" t="s">
        <v>757</v>
      </c>
      <c r="B5" s="3"/>
      <c r="C5" s="3"/>
      <c r="D5" s="3"/>
      <c r="E5" s="3"/>
      <c r="F5" s="3"/>
      <c r="G5" s="3"/>
      <c r="H5" s="3"/>
      <c r="I5" s="3"/>
    </row>
    <row r="6" spans="1:11">
      <c r="A6" s="465"/>
      <c r="B6" s="3"/>
      <c r="C6" s="3"/>
      <c r="D6" s="3"/>
      <c r="E6" s="3"/>
      <c r="F6" s="3"/>
      <c r="G6" s="3"/>
      <c r="H6" s="3"/>
      <c r="I6" s="466" t="s">
        <v>758</v>
      </c>
    </row>
    <row r="7" spans="1:11" ht="33.75">
      <c r="A7" s="467" t="s">
        <v>759</v>
      </c>
      <c r="B7" s="468" t="s">
        <v>514</v>
      </c>
      <c r="C7" s="468" t="s">
        <v>760</v>
      </c>
      <c r="D7" s="468" t="s">
        <v>761</v>
      </c>
      <c r="E7" s="468" t="s">
        <v>762</v>
      </c>
      <c r="F7" s="468" t="s">
        <v>518</v>
      </c>
      <c r="G7" s="468" t="s">
        <v>763</v>
      </c>
      <c r="H7" s="469" t="s">
        <v>764</v>
      </c>
      <c r="I7" s="470" t="s">
        <v>765</v>
      </c>
    </row>
    <row r="8" spans="1:11">
      <c r="A8" s="467" t="s">
        <v>766</v>
      </c>
      <c r="B8" s="471">
        <v>9100</v>
      </c>
      <c r="C8" s="471">
        <v>1000</v>
      </c>
      <c r="D8" s="471">
        <v>43000</v>
      </c>
      <c r="E8" s="471">
        <v>0</v>
      </c>
      <c r="F8" s="471">
        <v>0</v>
      </c>
      <c r="G8" s="471">
        <v>156397</v>
      </c>
      <c r="H8" s="471">
        <f>SUM(B8:G8)</f>
        <v>209497</v>
      </c>
      <c r="I8" s="472">
        <f>H8-I41</f>
        <v>132230</v>
      </c>
      <c r="K8" s="108"/>
    </row>
    <row r="9" spans="1:11">
      <c r="A9" s="467" t="s">
        <v>767</v>
      </c>
      <c r="B9" s="471">
        <v>9100</v>
      </c>
      <c r="C9" s="471">
        <v>1000</v>
      </c>
      <c r="D9" s="471">
        <f>28400+280</f>
        <v>28680</v>
      </c>
      <c r="E9" s="471">
        <v>0</v>
      </c>
      <c r="F9" s="471">
        <v>0</v>
      </c>
      <c r="G9" s="471">
        <v>0</v>
      </c>
      <c r="H9" s="471">
        <f>SUM(B9:G9)</f>
        <v>38780</v>
      </c>
      <c r="I9" s="472">
        <f>H9-I42</f>
        <v>-25120</v>
      </c>
    </row>
    <row r="10" spans="1:11">
      <c r="A10" s="467" t="s">
        <v>768</v>
      </c>
      <c r="B10" s="471">
        <f>SUM(B8:B9)</f>
        <v>18200</v>
      </c>
      <c r="C10" s="471">
        <f>SUM(C8:C9)</f>
        <v>2000</v>
      </c>
      <c r="D10" s="471">
        <f>SUM(D8:D9)</f>
        <v>71680</v>
      </c>
      <c r="E10" s="471">
        <f>SUM(E8:E9)</f>
        <v>0</v>
      </c>
      <c r="F10" s="471">
        <f>F9+F8</f>
        <v>0</v>
      </c>
      <c r="G10" s="471">
        <f>SUM(G8:G9)</f>
        <v>156397</v>
      </c>
      <c r="H10" s="471">
        <f t="shared" ref="H10:H24" si="0">SUM(B10:G10)</f>
        <v>248277</v>
      </c>
      <c r="I10" s="473">
        <f>SUM(I8:I9)</f>
        <v>107110</v>
      </c>
    </row>
    <row r="11" spans="1:11">
      <c r="A11" s="467" t="s">
        <v>769</v>
      </c>
      <c r="B11" s="471">
        <v>9100</v>
      </c>
      <c r="C11" s="471">
        <v>56000</v>
      </c>
      <c r="D11" s="471">
        <f>28400+280</f>
        <v>28680</v>
      </c>
      <c r="E11" s="471">
        <v>0</v>
      </c>
      <c r="F11" s="471">
        <v>0</v>
      </c>
      <c r="G11" s="471">
        <v>0</v>
      </c>
      <c r="H11" s="471">
        <f>SUM(B11:G11)</f>
        <v>93780</v>
      </c>
      <c r="I11" s="472">
        <f>H11-I44</f>
        <v>22336</v>
      </c>
    </row>
    <row r="12" spans="1:11">
      <c r="A12" s="467" t="s">
        <v>768</v>
      </c>
      <c r="B12" s="471">
        <f>SUM(B10:B11)</f>
        <v>27300</v>
      </c>
      <c r="C12" s="471">
        <f>SUM(C10:C11)</f>
        <v>58000</v>
      </c>
      <c r="D12" s="471">
        <f>SUM(D10:D11)</f>
        <v>100360</v>
      </c>
      <c r="E12" s="471">
        <f>SUM(E10:E11)</f>
        <v>0</v>
      </c>
      <c r="F12" s="471">
        <f>F10+F11</f>
        <v>0</v>
      </c>
      <c r="G12" s="471">
        <f>SUM(G10:G11)</f>
        <v>156397</v>
      </c>
      <c r="H12" s="471">
        <f t="shared" si="0"/>
        <v>342057</v>
      </c>
      <c r="I12" s="473">
        <f>SUM(I10:I11)</f>
        <v>129446</v>
      </c>
    </row>
    <row r="13" spans="1:11">
      <c r="A13" s="467" t="s">
        <v>770</v>
      </c>
      <c r="B13" s="471">
        <v>9100</v>
      </c>
      <c r="C13" s="471">
        <v>1000</v>
      </c>
      <c r="D13" s="471">
        <f>31000+280</f>
        <v>31280</v>
      </c>
      <c r="E13" s="471">
        <v>0</v>
      </c>
      <c r="F13" s="471">
        <v>0</v>
      </c>
      <c r="G13" s="471">
        <v>0</v>
      </c>
      <c r="H13" s="471">
        <f>SUM(B13:G13)</f>
        <v>41380</v>
      </c>
      <c r="I13" s="472">
        <f>H13-I46</f>
        <v>-94920</v>
      </c>
    </row>
    <row r="14" spans="1:11">
      <c r="A14" s="467" t="s">
        <v>768</v>
      </c>
      <c r="B14" s="471">
        <f>SUM(B12:B13)</f>
        <v>36400</v>
      </c>
      <c r="C14" s="471">
        <f>SUM(C12:C13)</f>
        <v>59000</v>
      </c>
      <c r="D14" s="471">
        <f>SUM(D12:D13)</f>
        <v>131640</v>
      </c>
      <c r="E14" s="471">
        <f>SUM(E12:E13)</f>
        <v>0</v>
      </c>
      <c r="F14" s="471">
        <f>F12+F13</f>
        <v>0</v>
      </c>
      <c r="G14" s="471">
        <f>SUM(G12:G13)</f>
        <v>156397</v>
      </c>
      <c r="H14" s="471">
        <f t="shared" si="0"/>
        <v>383437</v>
      </c>
      <c r="I14" s="473">
        <f>SUM(I12:I13)</f>
        <v>34526</v>
      </c>
    </row>
    <row r="15" spans="1:11">
      <c r="A15" s="467" t="s">
        <v>771</v>
      </c>
      <c r="B15" s="471">
        <v>9100</v>
      </c>
      <c r="C15" s="471">
        <v>10000</v>
      </c>
      <c r="D15" s="471">
        <f>31000+280</f>
        <v>31280</v>
      </c>
      <c r="E15" s="471">
        <v>0</v>
      </c>
      <c r="F15" s="474">
        <v>0</v>
      </c>
      <c r="G15" s="475">
        <v>0</v>
      </c>
      <c r="H15" s="471">
        <f>SUM(B15:G15)</f>
        <v>50380</v>
      </c>
      <c r="I15" s="472">
        <f>H15-I48</f>
        <v>-4220</v>
      </c>
    </row>
    <row r="16" spans="1:11">
      <c r="A16" s="467" t="s">
        <v>768</v>
      </c>
      <c r="B16" s="471">
        <f>SUM(B14:B15)</f>
        <v>45500</v>
      </c>
      <c r="C16" s="471">
        <f>SUM(C14:C15)</f>
        <v>69000</v>
      </c>
      <c r="D16" s="471">
        <f>SUM(D14:D15)</f>
        <v>162920</v>
      </c>
      <c r="E16" s="471">
        <f>SUM(E14:E15)</f>
        <v>0</v>
      </c>
      <c r="F16" s="471">
        <f>F14+F15</f>
        <v>0</v>
      </c>
      <c r="G16" s="471">
        <f>SUM(G14:G15)</f>
        <v>156397</v>
      </c>
      <c r="H16" s="471">
        <f t="shared" si="0"/>
        <v>433817</v>
      </c>
      <c r="I16" s="473">
        <f>SUM(I14:I15)</f>
        <v>30306</v>
      </c>
    </row>
    <row r="17" spans="1:12">
      <c r="A17" s="467" t="s">
        <v>772</v>
      </c>
      <c r="B17" s="471">
        <v>9100</v>
      </c>
      <c r="C17" s="471">
        <v>1000</v>
      </c>
      <c r="D17" s="471">
        <f>31000+280</f>
        <v>31280</v>
      </c>
      <c r="E17" s="471">
        <v>0</v>
      </c>
      <c r="F17" s="471">
        <f>28000+20000</f>
        <v>48000</v>
      </c>
      <c r="G17" s="471">
        <v>0</v>
      </c>
      <c r="H17" s="471">
        <f>SUM(B17:G17)</f>
        <v>89380</v>
      </c>
      <c r="I17" s="472">
        <f>H17-I50</f>
        <v>-29706</v>
      </c>
      <c r="K17" s="324"/>
      <c r="L17" s="324"/>
    </row>
    <row r="18" spans="1:12">
      <c r="A18" s="467" t="s">
        <v>768</v>
      </c>
      <c r="B18" s="471">
        <f>SUM(B16:B17)</f>
        <v>54600</v>
      </c>
      <c r="C18" s="471">
        <f>SUM(C16:C17)</f>
        <v>70000</v>
      </c>
      <c r="D18" s="471">
        <f>SUM(D16:D17)</f>
        <v>194200</v>
      </c>
      <c r="E18" s="471">
        <f>SUM(E16:E17)</f>
        <v>0</v>
      </c>
      <c r="F18" s="471">
        <f>F16+F17</f>
        <v>48000</v>
      </c>
      <c r="G18" s="471">
        <f>SUM(G16:G17)</f>
        <v>156397</v>
      </c>
      <c r="H18" s="471">
        <f t="shared" si="0"/>
        <v>523197</v>
      </c>
      <c r="I18" s="473">
        <f>SUM(I16:I17)</f>
        <v>600</v>
      </c>
      <c r="K18" s="476"/>
    </row>
    <row r="19" spans="1:12">
      <c r="A19" s="467" t="s">
        <v>773</v>
      </c>
      <c r="B19" s="471">
        <v>9100</v>
      </c>
      <c r="C19" s="471">
        <v>1000</v>
      </c>
      <c r="D19" s="471">
        <f>31000+280</f>
        <v>31280</v>
      </c>
      <c r="E19" s="471">
        <v>21908</v>
      </c>
      <c r="F19" s="471">
        <v>0</v>
      </c>
      <c r="G19" s="471">
        <v>0</v>
      </c>
      <c r="H19" s="471">
        <f>SUM(B19:G19)</f>
        <v>63288</v>
      </c>
      <c r="I19" s="472">
        <f>H19-I52</f>
        <v>12208</v>
      </c>
      <c r="K19" s="476"/>
    </row>
    <row r="20" spans="1:12">
      <c r="A20" s="467" t="s">
        <v>768</v>
      </c>
      <c r="B20" s="471">
        <f>SUM(B18:B19)</f>
        <v>63700</v>
      </c>
      <c r="C20" s="471">
        <f>SUM(C18:C19)</f>
        <v>71000</v>
      </c>
      <c r="D20" s="471">
        <f>SUM(D18:D19)</f>
        <v>225480</v>
      </c>
      <c r="E20" s="471">
        <f>SUM(E18:E19)</f>
        <v>21908</v>
      </c>
      <c r="F20" s="471">
        <f>F18+F19</f>
        <v>48000</v>
      </c>
      <c r="G20" s="471">
        <f>SUM(G18:G19)</f>
        <v>156397</v>
      </c>
      <c r="H20" s="471">
        <f>SUM(B20:G20)</f>
        <v>586485</v>
      </c>
      <c r="I20" s="473">
        <f>SUM(I18:I19)</f>
        <v>12808</v>
      </c>
      <c r="K20" s="476"/>
    </row>
    <row r="21" spans="1:12">
      <c r="A21" s="467" t="s">
        <v>774</v>
      </c>
      <c r="B21" s="471">
        <v>9100</v>
      </c>
      <c r="C21" s="471">
        <v>1000</v>
      </c>
      <c r="D21" s="471">
        <f>31000+280</f>
        <v>31280</v>
      </c>
      <c r="E21" s="471"/>
      <c r="F21" s="471">
        <v>3000</v>
      </c>
      <c r="G21" s="471">
        <v>0</v>
      </c>
      <c r="H21" s="471">
        <f>SUM(B21:G21)</f>
        <v>44380</v>
      </c>
      <c r="I21" s="472">
        <f>H21-I54</f>
        <v>-12700</v>
      </c>
      <c r="K21" s="476"/>
    </row>
    <row r="22" spans="1:12">
      <c r="A22" s="467" t="s">
        <v>768</v>
      </c>
      <c r="B22" s="471">
        <f>SUM(B20:B21)</f>
        <v>72800</v>
      </c>
      <c r="C22" s="471">
        <f>SUM(C20:C21)</f>
        <v>72000</v>
      </c>
      <c r="D22" s="471">
        <f>SUM(D20:D21)</f>
        <v>256760</v>
      </c>
      <c r="E22" s="471">
        <f>SUM(E20:E21)</f>
        <v>21908</v>
      </c>
      <c r="F22" s="471">
        <f>F20+F21</f>
        <v>51000</v>
      </c>
      <c r="G22" s="471">
        <f>SUM(G20:G21)</f>
        <v>156397</v>
      </c>
      <c r="H22" s="471">
        <f t="shared" si="0"/>
        <v>630865</v>
      </c>
      <c r="I22" s="473">
        <f>SUM(I20:I21)</f>
        <v>108</v>
      </c>
      <c r="K22" s="476"/>
    </row>
    <row r="23" spans="1:12">
      <c r="A23" s="467" t="s">
        <v>775</v>
      </c>
      <c r="B23" s="471">
        <v>9100</v>
      </c>
      <c r="C23" s="471">
        <v>56000</v>
      </c>
      <c r="D23" s="471">
        <f>31000+280</f>
        <v>31280</v>
      </c>
      <c r="E23" s="471">
        <v>0</v>
      </c>
      <c r="F23" s="471">
        <v>0</v>
      </c>
      <c r="G23" s="471">
        <v>0</v>
      </c>
      <c r="H23" s="471">
        <f>SUM(B23:G23)</f>
        <v>96380</v>
      </c>
      <c r="I23" s="472">
        <f>H23-I56</f>
        <v>17835</v>
      </c>
      <c r="K23" s="477"/>
      <c r="L23" s="323"/>
    </row>
    <row r="24" spans="1:12">
      <c r="A24" s="467" t="s">
        <v>768</v>
      </c>
      <c r="B24" s="471">
        <f>SUM(B22:B23)</f>
        <v>81900</v>
      </c>
      <c r="C24" s="471">
        <f>SUM(C22:C23)</f>
        <v>128000</v>
      </c>
      <c r="D24" s="471">
        <f>SUM(D22:D23)</f>
        <v>288040</v>
      </c>
      <c r="E24" s="471">
        <f>SUM(E22:E23)</f>
        <v>21908</v>
      </c>
      <c r="F24" s="471">
        <f>F22+F23</f>
        <v>51000</v>
      </c>
      <c r="G24" s="471">
        <f>SUM(G22:G23)</f>
        <v>156397</v>
      </c>
      <c r="H24" s="471">
        <f t="shared" si="0"/>
        <v>727245</v>
      </c>
      <c r="I24" s="473">
        <f>SUM(I22:I23)</f>
        <v>17943</v>
      </c>
    </row>
    <row r="25" spans="1:12">
      <c r="A25" s="467" t="s">
        <v>776</v>
      </c>
      <c r="B25" s="471">
        <v>9300</v>
      </c>
      <c r="C25" s="471">
        <v>3000</v>
      </c>
      <c r="D25" s="471">
        <f>31000+280</f>
        <v>31280</v>
      </c>
      <c r="E25" s="471">
        <v>10000</v>
      </c>
      <c r="F25" s="471">
        <v>0</v>
      </c>
      <c r="G25" s="471">
        <v>0</v>
      </c>
      <c r="H25" s="471">
        <f>SUM(B25:G25)</f>
        <v>53580</v>
      </c>
      <c r="I25" s="472">
        <f>H25-I58</f>
        <v>-4260</v>
      </c>
    </row>
    <row r="26" spans="1:12">
      <c r="A26" s="467" t="s">
        <v>768</v>
      </c>
      <c r="B26" s="471">
        <f t="shared" ref="B26:I26" si="1">SUM(B24:B25)</f>
        <v>91200</v>
      </c>
      <c r="C26" s="471">
        <f t="shared" si="1"/>
        <v>131000</v>
      </c>
      <c r="D26" s="471">
        <f t="shared" si="1"/>
        <v>319320</v>
      </c>
      <c r="E26" s="471">
        <f t="shared" si="1"/>
        <v>31908</v>
      </c>
      <c r="F26" s="471">
        <f t="shared" si="1"/>
        <v>51000</v>
      </c>
      <c r="G26" s="471">
        <f t="shared" si="1"/>
        <v>156397</v>
      </c>
      <c r="H26" s="471">
        <f t="shared" si="1"/>
        <v>780825</v>
      </c>
      <c r="I26" s="473">
        <f t="shared" si="1"/>
        <v>13683</v>
      </c>
    </row>
    <row r="27" spans="1:12">
      <c r="A27" s="467" t="s">
        <v>777</v>
      </c>
      <c r="B27" s="471">
        <v>15000</v>
      </c>
      <c r="C27" s="471">
        <v>3000</v>
      </c>
      <c r="D27" s="471">
        <f>31000+280</f>
        <v>31280</v>
      </c>
      <c r="E27" s="471">
        <v>0</v>
      </c>
      <c r="F27" s="471">
        <v>0</v>
      </c>
      <c r="G27" s="471">
        <v>0</v>
      </c>
      <c r="H27" s="471">
        <f>SUM(B27:G27)</f>
        <v>49280</v>
      </c>
      <c r="I27" s="472">
        <f>H27-I60</f>
        <v>-6320</v>
      </c>
    </row>
    <row r="28" spans="1:12">
      <c r="A28" s="467" t="s">
        <v>768</v>
      </c>
      <c r="B28" s="471">
        <f t="shared" ref="B28:I28" si="2">SUM(B26:B27)</f>
        <v>106200</v>
      </c>
      <c r="C28" s="471">
        <f t="shared" si="2"/>
        <v>134000</v>
      </c>
      <c r="D28" s="471">
        <f t="shared" si="2"/>
        <v>350600</v>
      </c>
      <c r="E28" s="471">
        <f t="shared" si="2"/>
        <v>31908</v>
      </c>
      <c r="F28" s="471">
        <f t="shared" si="2"/>
        <v>51000</v>
      </c>
      <c r="G28" s="471">
        <f t="shared" si="2"/>
        <v>156397</v>
      </c>
      <c r="H28" s="471">
        <f t="shared" si="2"/>
        <v>830105</v>
      </c>
      <c r="I28" s="473">
        <f t="shared" si="2"/>
        <v>7363</v>
      </c>
    </row>
    <row r="29" spans="1:12">
      <c r="A29" s="467" t="s">
        <v>778</v>
      </c>
      <c r="B29" s="471">
        <f>B30-B28</f>
        <v>17485</v>
      </c>
      <c r="C29" s="471">
        <f>C30-C28</f>
        <v>12350</v>
      </c>
      <c r="D29" s="471">
        <f>D30-D28</f>
        <v>31332</v>
      </c>
      <c r="E29" s="471">
        <v>0</v>
      </c>
      <c r="F29" s="471">
        <f>F30-F28</f>
        <v>54000</v>
      </c>
      <c r="G29" s="471">
        <f>G30-G28</f>
        <v>0</v>
      </c>
      <c r="H29" s="471">
        <f>SUM(B29:G29)</f>
        <v>115167</v>
      </c>
      <c r="I29" s="472">
        <f>H29-I62</f>
        <v>-7363</v>
      </c>
    </row>
    <row r="30" spans="1:12">
      <c r="A30" s="478" t="s">
        <v>768</v>
      </c>
      <c r="B30" s="473">
        <v>123685</v>
      </c>
      <c r="C30" s="473">
        <v>146350</v>
      </c>
      <c r="D30" s="473">
        <v>381932</v>
      </c>
      <c r="E30" s="473">
        <v>31908</v>
      </c>
      <c r="F30" s="473">
        <v>105000</v>
      </c>
      <c r="G30" s="473">
        <v>156397</v>
      </c>
      <c r="H30" s="473">
        <f>SUM(B30:G30)</f>
        <v>945272</v>
      </c>
      <c r="I30" s="479">
        <f>I28+I29</f>
        <v>0</v>
      </c>
      <c r="K30" s="108"/>
    </row>
    <row r="31" spans="1:12">
      <c r="A31" s="3"/>
      <c r="B31" s="480"/>
      <c r="C31" s="480"/>
      <c r="D31" s="480"/>
      <c r="E31" s="480"/>
      <c r="F31" s="480"/>
      <c r="G31" s="480"/>
      <c r="H31" s="480"/>
      <c r="I31" s="480"/>
      <c r="J31" s="108"/>
    </row>
    <row r="32" spans="1:12">
      <c r="A32" s="3"/>
      <c r="B32" s="481"/>
      <c r="C32" s="481"/>
      <c r="D32" s="481"/>
      <c r="E32" s="481"/>
      <c r="F32" s="481"/>
      <c r="G32" s="481"/>
      <c r="H32" s="480"/>
      <c r="I32" s="481"/>
    </row>
    <row r="33" spans="1:9">
      <c r="A33" s="3"/>
      <c r="B33" s="481"/>
      <c r="C33" s="24"/>
      <c r="D33" s="24"/>
      <c r="E33" s="24"/>
      <c r="F33" s="24"/>
      <c r="G33" s="24"/>
      <c r="H33" s="24"/>
      <c r="I33" s="24"/>
    </row>
    <row r="34" spans="1:9">
      <c r="A34" s="3"/>
      <c r="B34" s="481"/>
      <c r="C34" s="3"/>
      <c r="D34" s="3"/>
      <c r="E34" s="3"/>
      <c r="F34" s="3"/>
      <c r="G34" s="2"/>
      <c r="H34" s="2"/>
      <c r="I34" s="3"/>
    </row>
    <row r="35" spans="1:9">
      <c r="A35" s="3"/>
      <c r="B35" s="481"/>
      <c r="C35" s="24"/>
      <c r="D35" s="3"/>
      <c r="E35" s="3"/>
      <c r="F35" s="3"/>
      <c r="G35" s="24"/>
      <c r="H35" s="24"/>
      <c r="I35" s="3"/>
    </row>
    <row r="36" spans="1:9">
      <c r="A36" s="3"/>
      <c r="B36" s="481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482" t="s">
        <v>779</v>
      </c>
      <c r="B38" s="483"/>
      <c r="C38" s="483"/>
      <c r="D38" s="483"/>
      <c r="E38" s="483"/>
      <c r="F38" s="483"/>
      <c r="G38" s="483"/>
      <c r="H38" s="483"/>
      <c r="I38" s="466" t="s">
        <v>758</v>
      </c>
    </row>
    <row r="39" spans="1:9">
      <c r="A39" s="482"/>
      <c r="B39" s="483"/>
      <c r="C39" s="483"/>
      <c r="D39" s="483"/>
      <c r="E39" s="483"/>
      <c r="F39" s="483"/>
      <c r="G39" s="483"/>
      <c r="H39" s="483"/>
      <c r="I39" s="466"/>
    </row>
    <row r="40" spans="1:9" ht="22.5">
      <c r="A40" s="467" t="s">
        <v>759</v>
      </c>
      <c r="B40" s="468" t="s">
        <v>521</v>
      </c>
      <c r="C40" s="468" t="s">
        <v>522</v>
      </c>
      <c r="D40" s="468" t="s">
        <v>523</v>
      </c>
      <c r="E40" s="468" t="s">
        <v>780</v>
      </c>
      <c r="F40" s="468" t="s">
        <v>781</v>
      </c>
      <c r="G40" s="468" t="s">
        <v>782</v>
      </c>
      <c r="H40" s="484" t="s">
        <v>783</v>
      </c>
      <c r="I40" s="485" t="s">
        <v>764</v>
      </c>
    </row>
    <row r="41" spans="1:9">
      <c r="A41" s="467" t="s">
        <v>766</v>
      </c>
      <c r="B41" s="471">
        <v>25500</v>
      </c>
      <c r="C41" s="471">
        <v>5100</v>
      </c>
      <c r="D41" s="471">
        <v>20000</v>
      </c>
      <c r="E41" s="471">
        <v>7000</v>
      </c>
      <c r="F41" s="471">
        <f>700+2000</f>
        <v>2700</v>
      </c>
      <c r="G41" s="471">
        <v>0</v>
      </c>
      <c r="H41" s="486">
        <f>4944+12023</f>
        <v>16967</v>
      </c>
      <c r="I41" s="487">
        <f>SUM(B41:H41)</f>
        <v>77267</v>
      </c>
    </row>
    <row r="42" spans="1:9">
      <c r="A42" s="467" t="s">
        <v>767</v>
      </c>
      <c r="B42" s="471">
        <v>25500</v>
      </c>
      <c r="C42" s="471">
        <v>5100</v>
      </c>
      <c r="D42" s="471">
        <v>20000</v>
      </c>
      <c r="E42" s="471">
        <v>7000</v>
      </c>
      <c r="F42" s="471">
        <f>6300</f>
        <v>6300</v>
      </c>
      <c r="G42" s="471">
        <v>0</v>
      </c>
      <c r="H42" s="486">
        <v>0</v>
      </c>
      <c r="I42" s="487">
        <f t="shared" ref="I42:I62" si="3">SUM(B42:H42)</f>
        <v>63900</v>
      </c>
    </row>
    <row r="43" spans="1:9">
      <c r="A43" s="467" t="s">
        <v>768</v>
      </c>
      <c r="B43" s="471">
        <f>B41+B42</f>
        <v>51000</v>
      </c>
      <c r="C43" s="471">
        <f>C41+C42</f>
        <v>10200</v>
      </c>
      <c r="D43" s="471">
        <f>SUM(D41:D42)</f>
        <v>40000</v>
      </c>
      <c r="E43" s="471">
        <f>SUM(E41:E42)</f>
        <v>14000</v>
      </c>
      <c r="F43" s="471">
        <f>SUM(F41:F42)</f>
        <v>9000</v>
      </c>
      <c r="G43" s="471">
        <f>SUM(G41:G42)</f>
        <v>0</v>
      </c>
      <c r="H43" s="486">
        <f>SUM(H41:H42)</f>
        <v>16967</v>
      </c>
      <c r="I43" s="487">
        <f t="shared" si="3"/>
        <v>141167</v>
      </c>
    </row>
    <row r="44" spans="1:9">
      <c r="A44" s="467" t="s">
        <v>769</v>
      </c>
      <c r="B44" s="471">
        <f>25500+3000</f>
        <v>28500</v>
      </c>
      <c r="C44" s="471">
        <f>5700+200</f>
        <v>5900</v>
      </c>
      <c r="D44" s="471">
        <v>19000</v>
      </c>
      <c r="E44" s="471">
        <v>10100</v>
      </c>
      <c r="F44" s="471">
        <f>3000</f>
        <v>3000</v>
      </c>
      <c r="G44" s="471">
        <v>0</v>
      </c>
      <c r="H44" s="486">
        <v>4944</v>
      </c>
      <c r="I44" s="487">
        <f t="shared" si="3"/>
        <v>71444</v>
      </c>
    </row>
    <row r="45" spans="1:9">
      <c r="A45" s="467" t="s">
        <v>768</v>
      </c>
      <c r="B45" s="471">
        <f t="shared" ref="B45:H45" si="4">SUM(B43:B44)</f>
        <v>79500</v>
      </c>
      <c r="C45" s="471">
        <f t="shared" si="4"/>
        <v>16100</v>
      </c>
      <c r="D45" s="471">
        <f t="shared" si="4"/>
        <v>59000</v>
      </c>
      <c r="E45" s="471">
        <f t="shared" si="4"/>
        <v>24100</v>
      </c>
      <c r="F45" s="471">
        <f t="shared" si="4"/>
        <v>12000</v>
      </c>
      <c r="G45" s="471">
        <f t="shared" si="4"/>
        <v>0</v>
      </c>
      <c r="H45" s="486">
        <f t="shared" si="4"/>
        <v>21911</v>
      </c>
      <c r="I45" s="487">
        <f t="shared" si="3"/>
        <v>212611</v>
      </c>
    </row>
    <row r="46" spans="1:9">
      <c r="A46" s="467" t="s">
        <v>770</v>
      </c>
      <c r="B46" s="471">
        <v>25500</v>
      </c>
      <c r="C46" s="471">
        <v>5100</v>
      </c>
      <c r="D46" s="471">
        <v>18000</v>
      </c>
      <c r="E46" s="471">
        <v>7700</v>
      </c>
      <c r="F46" s="471">
        <f>60000</f>
        <v>60000</v>
      </c>
      <c r="G46" s="471">
        <v>0</v>
      </c>
      <c r="H46" s="486">
        <v>20000</v>
      </c>
      <c r="I46" s="487">
        <f t="shared" si="3"/>
        <v>136300</v>
      </c>
    </row>
    <row r="47" spans="1:9">
      <c r="A47" s="467" t="s">
        <v>768</v>
      </c>
      <c r="B47" s="471">
        <f t="shared" ref="B47:H47" si="5">SUM(B45:B46)</f>
        <v>105000</v>
      </c>
      <c r="C47" s="471">
        <f t="shared" si="5"/>
        <v>21200</v>
      </c>
      <c r="D47" s="471">
        <f t="shared" si="5"/>
        <v>77000</v>
      </c>
      <c r="E47" s="471">
        <f t="shared" si="5"/>
        <v>31800</v>
      </c>
      <c r="F47" s="471">
        <f t="shared" si="5"/>
        <v>72000</v>
      </c>
      <c r="G47" s="471">
        <f t="shared" si="5"/>
        <v>0</v>
      </c>
      <c r="H47" s="486">
        <f t="shared" si="5"/>
        <v>41911</v>
      </c>
      <c r="I47" s="487">
        <f t="shared" si="3"/>
        <v>348911</v>
      </c>
    </row>
    <row r="48" spans="1:9">
      <c r="A48" s="467" t="s">
        <v>771</v>
      </c>
      <c r="B48" s="471">
        <v>25500</v>
      </c>
      <c r="C48" s="471">
        <v>5100</v>
      </c>
      <c r="D48" s="471">
        <v>17000</v>
      </c>
      <c r="E48" s="471">
        <v>7000</v>
      </c>
      <c r="F48" s="471">
        <v>0</v>
      </c>
      <c r="G48" s="471">
        <v>0</v>
      </c>
      <c r="H48" s="486">
        <v>0</v>
      </c>
      <c r="I48" s="487">
        <f t="shared" si="3"/>
        <v>54600</v>
      </c>
    </row>
    <row r="49" spans="1:11">
      <c r="A49" s="467" t="s">
        <v>768</v>
      </c>
      <c r="B49" s="471">
        <f t="shared" ref="B49:H49" si="6">SUM(B47:B48)</f>
        <v>130500</v>
      </c>
      <c r="C49" s="471">
        <f t="shared" si="6"/>
        <v>26300</v>
      </c>
      <c r="D49" s="471">
        <f t="shared" si="6"/>
        <v>94000</v>
      </c>
      <c r="E49" s="471">
        <f t="shared" si="6"/>
        <v>38800</v>
      </c>
      <c r="F49" s="471">
        <f t="shared" si="6"/>
        <v>72000</v>
      </c>
      <c r="G49" s="471">
        <f t="shared" si="6"/>
        <v>0</v>
      </c>
      <c r="H49" s="486">
        <f t="shared" si="6"/>
        <v>41911</v>
      </c>
      <c r="I49" s="487">
        <f t="shared" si="3"/>
        <v>403511</v>
      </c>
    </row>
    <row r="50" spans="1:11">
      <c r="A50" s="467" t="s">
        <v>772</v>
      </c>
      <c r="B50" s="471">
        <f>25500+1400</f>
        <v>26900</v>
      </c>
      <c r="C50" s="471">
        <v>5380</v>
      </c>
      <c r="D50" s="471">
        <v>14000</v>
      </c>
      <c r="E50" s="471">
        <v>7000</v>
      </c>
      <c r="F50" s="471">
        <v>60862</v>
      </c>
      <c r="G50" s="471">
        <v>0</v>
      </c>
      <c r="H50" s="486">
        <v>4944</v>
      </c>
      <c r="I50" s="487">
        <f t="shared" si="3"/>
        <v>119086</v>
      </c>
    </row>
    <row r="51" spans="1:11">
      <c r="A51" s="467" t="s">
        <v>768</v>
      </c>
      <c r="B51" s="471">
        <f t="shared" ref="B51:H51" si="7">SUM(B49:B50)</f>
        <v>157400</v>
      </c>
      <c r="C51" s="471">
        <f t="shared" si="7"/>
        <v>31680</v>
      </c>
      <c r="D51" s="471">
        <f t="shared" si="7"/>
        <v>108000</v>
      </c>
      <c r="E51" s="471">
        <f t="shared" si="7"/>
        <v>45800</v>
      </c>
      <c r="F51" s="471">
        <f t="shared" si="7"/>
        <v>132862</v>
      </c>
      <c r="G51" s="471">
        <f t="shared" si="7"/>
        <v>0</v>
      </c>
      <c r="H51" s="486">
        <f t="shared" si="7"/>
        <v>46855</v>
      </c>
      <c r="I51" s="487">
        <f t="shared" si="3"/>
        <v>522597</v>
      </c>
    </row>
    <row r="52" spans="1:11">
      <c r="A52" s="467" t="s">
        <v>773</v>
      </c>
      <c r="B52" s="471">
        <f>25500+400</f>
        <v>25900</v>
      </c>
      <c r="C52" s="471">
        <v>5180</v>
      </c>
      <c r="D52" s="471">
        <v>13000</v>
      </c>
      <c r="E52" s="471">
        <v>7000</v>
      </c>
      <c r="F52" s="471">
        <v>0</v>
      </c>
      <c r="G52" s="471">
        <v>0</v>
      </c>
      <c r="H52" s="486">
        <v>0</v>
      </c>
      <c r="I52" s="487">
        <f t="shared" si="3"/>
        <v>51080</v>
      </c>
      <c r="J52" s="488"/>
    </row>
    <row r="53" spans="1:11">
      <c r="A53" s="467" t="s">
        <v>768</v>
      </c>
      <c r="B53" s="471">
        <f t="shared" ref="B53:H53" si="8">SUM(B51:B52)</f>
        <v>183300</v>
      </c>
      <c r="C53" s="471">
        <f t="shared" si="8"/>
        <v>36860</v>
      </c>
      <c r="D53" s="471">
        <f t="shared" si="8"/>
        <v>121000</v>
      </c>
      <c r="E53" s="471">
        <f t="shared" si="8"/>
        <v>52800</v>
      </c>
      <c r="F53" s="471">
        <f t="shared" si="8"/>
        <v>132862</v>
      </c>
      <c r="G53" s="471">
        <f t="shared" si="8"/>
        <v>0</v>
      </c>
      <c r="H53" s="486">
        <f t="shared" si="8"/>
        <v>46855</v>
      </c>
      <c r="I53" s="487">
        <f t="shared" si="3"/>
        <v>573677</v>
      </c>
    </row>
    <row r="54" spans="1:11">
      <c r="A54" s="467" t="s">
        <v>774</v>
      </c>
      <c r="B54" s="471">
        <f>25500+400</f>
        <v>25900</v>
      </c>
      <c r="C54" s="471">
        <v>5180</v>
      </c>
      <c r="D54" s="471">
        <v>13000</v>
      </c>
      <c r="E54" s="471">
        <v>9000</v>
      </c>
      <c r="F54" s="471">
        <v>4000</v>
      </c>
      <c r="G54" s="471">
        <v>0</v>
      </c>
      <c r="H54" s="486">
        <v>0</v>
      </c>
      <c r="I54" s="487">
        <f t="shared" si="3"/>
        <v>57080</v>
      </c>
    </row>
    <row r="55" spans="1:11">
      <c r="A55" s="467" t="s">
        <v>768</v>
      </c>
      <c r="B55" s="471">
        <f t="shared" ref="B55:H55" si="9">SUM(B53:B54)</f>
        <v>209200</v>
      </c>
      <c r="C55" s="471">
        <f t="shared" si="9"/>
        <v>42040</v>
      </c>
      <c r="D55" s="471">
        <f t="shared" si="9"/>
        <v>134000</v>
      </c>
      <c r="E55" s="471">
        <f t="shared" si="9"/>
        <v>61800</v>
      </c>
      <c r="F55" s="471">
        <f t="shared" si="9"/>
        <v>136862</v>
      </c>
      <c r="G55" s="471">
        <f t="shared" si="9"/>
        <v>0</v>
      </c>
      <c r="H55" s="486">
        <f t="shared" si="9"/>
        <v>46855</v>
      </c>
      <c r="I55" s="487">
        <f t="shared" si="3"/>
        <v>630757</v>
      </c>
    </row>
    <row r="56" spans="1:11">
      <c r="A56" s="467" t="s">
        <v>775</v>
      </c>
      <c r="B56" s="471">
        <v>25500</v>
      </c>
      <c r="C56" s="471">
        <v>5100</v>
      </c>
      <c r="D56" s="471">
        <v>14000</v>
      </c>
      <c r="E56" s="471">
        <v>7000</v>
      </c>
      <c r="F56" s="471">
        <v>2000</v>
      </c>
      <c r="G56" s="471">
        <v>0</v>
      </c>
      <c r="H56" s="486">
        <v>24945</v>
      </c>
      <c r="I56" s="487">
        <f t="shared" si="3"/>
        <v>78545</v>
      </c>
    </row>
    <row r="57" spans="1:11">
      <c r="A57" s="467" t="s">
        <v>768</v>
      </c>
      <c r="B57" s="471">
        <f t="shared" ref="B57:H57" si="10">SUM(B55:B56)</f>
        <v>234700</v>
      </c>
      <c r="C57" s="471">
        <f t="shared" si="10"/>
        <v>47140</v>
      </c>
      <c r="D57" s="471">
        <f t="shared" si="10"/>
        <v>148000</v>
      </c>
      <c r="E57" s="471">
        <f t="shared" si="10"/>
        <v>68800</v>
      </c>
      <c r="F57" s="471">
        <f t="shared" si="10"/>
        <v>138862</v>
      </c>
      <c r="G57" s="471">
        <f t="shared" si="10"/>
        <v>0</v>
      </c>
      <c r="H57" s="486">
        <f t="shared" si="10"/>
        <v>71800</v>
      </c>
      <c r="I57" s="487">
        <f t="shared" si="3"/>
        <v>709302</v>
      </c>
    </row>
    <row r="58" spans="1:11">
      <c r="A58" s="467" t="s">
        <v>776</v>
      </c>
      <c r="B58" s="471">
        <v>25500</v>
      </c>
      <c r="C58" s="471">
        <v>5100</v>
      </c>
      <c r="D58" s="471">
        <v>17000</v>
      </c>
      <c r="E58" s="471">
        <v>7000</v>
      </c>
      <c r="F58" s="471">
        <v>3240</v>
      </c>
      <c r="G58" s="471">
        <v>0</v>
      </c>
      <c r="H58" s="486">
        <v>0</v>
      </c>
      <c r="I58" s="487">
        <f t="shared" si="3"/>
        <v>57840</v>
      </c>
    </row>
    <row r="59" spans="1:11">
      <c r="A59" s="467" t="s">
        <v>768</v>
      </c>
      <c r="B59" s="471">
        <f t="shared" ref="B59:H59" si="11">SUM(B57:B58)</f>
        <v>260200</v>
      </c>
      <c r="C59" s="471">
        <f t="shared" si="11"/>
        <v>52240</v>
      </c>
      <c r="D59" s="471">
        <f t="shared" si="11"/>
        <v>165000</v>
      </c>
      <c r="E59" s="471">
        <f t="shared" si="11"/>
        <v>75800</v>
      </c>
      <c r="F59" s="471">
        <f t="shared" si="11"/>
        <v>142102</v>
      </c>
      <c r="G59" s="471">
        <f t="shared" si="11"/>
        <v>0</v>
      </c>
      <c r="H59" s="486">
        <f t="shared" si="11"/>
        <v>71800</v>
      </c>
      <c r="I59" s="487">
        <f t="shared" si="3"/>
        <v>767142</v>
      </c>
    </row>
    <row r="60" spans="1:11">
      <c r="A60" s="467" t="s">
        <v>777</v>
      </c>
      <c r="B60" s="471">
        <v>25500</v>
      </c>
      <c r="C60" s="471">
        <v>5100</v>
      </c>
      <c r="D60" s="471">
        <v>18000</v>
      </c>
      <c r="E60" s="471">
        <v>7000</v>
      </c>
      <c r="F60" s="471">
        <v>0</v>
      </c>
      <c r="G60" s="471">
        <v>0</v>
      </c>
      <c r="H60" s="486">
        <v>0</v>
      </c>
      <c r="I60" s="487">
        <f t="shared" si="3"/>
        <v>55600</v>
      </c>
    </row>
    <row r="61" spans="1:11">
      <c r="A61" s="467" t="s">
        <v>768</v>
      </c>
      <c r="B61" s="471">
        <f t="shared" ref="B61:H61" si="12">SUM(B59:B60)</f>
        <v>285700</v>
      </c>
      <c r="C61" s="471">
        <f t="shared" si="12"/>
        <v>57340</v>
      </c>
      <c r="D61" s="471">
        <f t="shared" si="12"/>
        <v>183000</v>
      </c>
      <c r="E61" s="471">
        <f t="shared" si="12"/>
        <v>82800</v>
      </c>
      <c r="F61" s="471">
        <f t="shared" si="12"/>
        <v>142102</v>
      </c>
      <c r="G61" s="471">
        <f t="shared" si="12"/>
        <v>0</v>
      </c>
      <c r="H61" s="486">
        <f t="shared" si="12"/>
        <v>71800</v>
      </c>
      <c r="I61" s="487">
        <f t="shared" si="3"/>
        <v>822742</v>
      </c>
    </row>
    <row r="62" spans="1:11">
      <c r="A62" s="467" t="s">
        <v>778</v>
      </c>
      <c r="B62" s="471">
        <f t="shared" ref="B62:H62" si="13">B63-B61</f>
        <v>27685</v>
      </c>
      <c r="C62" s="471">
        <f t="shared" si="13"/>
        <v>5541</v>
      </c>
      <c r="D62" s="471">
        <f t="shared" si="13"/>
        <v>19654</v>
      </c>
      <c r="E62" s="471">
        <f t="shared" si="13"/>
        <v>4650</v>
      </c>
      <c r="F62" s="471">
        <f t="shared" si="13"/>
        <v>0</v>
      </c>
      <c r="G62" s="471">
        <v>65000</v>
      </c>
      <c r="H62" s="486">
        <f t="shared" si="13"/>
        <v>0</v>
      </c>
      <c r="I62" s="487">
        <f t="shared" si="3"/>
        <v>122530</v>
      </c>
    </row>
    <row r="63" spans="1:11">
      <c r="A63" s="467" t="s">
        <v>768</v>
      </c>
      <c r="B63" s="473">
        <v>313385</v>
      </c>
      <c r="C63" s="473">
        <v>62881</v>
      </c>
      <c r="D63" s="473">
        <v>202654</v>
      </c>
      <c r="E63" s="473">
        <v>87450</v>
      </c>
      <c r="F63" s="473">
        <v>142102</v>
      </c>
      <c r="G63" s="473">
        <v>65000</v>
      </c>
      <c r="H63" s="489">
        <v>71800</v>
      </c>
      <c r="I63" s="490">
        <f>SUM(B63:H63)</f>
        <v>945272</v>
      </c>
      <c r="J63" s="108"/>
    </row>
    <row r="64" spans="1:11">
      <c r="B64" s="349"/>
      <c r="C64" s="349"/>
      <c r="D64" s="349"/>
      <c r="E64" s="349"/>
      <c r="F64" s="349"/>
      <c r="G64" s="349"/>
      <c r="H64" s="491"/>
      <c r="I64" s="349"/>
      <c r="J64" s="53"/>
      <c r="K64" s="53"/>
    </row>
    <row r="65" spans="2:9">
      <c r="B65" s="492"/>
      <c r="C65" s="492"/>
      <c r="D65" s="493"/>
      <c r="E65" s="492"/>
      <c r="F65" s="492"/>
      <c r="G65" s="492"/>
      <c r="H65" s="492"/>
      <c r="I65" s="492"/>
    </row>
    <row r="66" spans="2:9">
      <c r="D66" s="481"/>
    </row>
  </sheetData>
  <mergeCells count="1">
    <mergeCell ref="B3:H3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 alignWithMargins="0"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7"/>
  <sheetViews>
    <sheetView topLeftCell="A91" workbookViewId="0">
      <selection activeCell="A3" sqref="A3"/>
    </sheetView>
  </sheetViews>
  <sheetFormatPr defaultRowHeight="12.75"/>
  <cols>
    <col min="1" max="1" width="43.85546875" customWidth="1"/>
    <col min="2" max="2" width="17.5703125" customWidth="1"/>
    <col min="3" max="3" width="18.42578125" customWidth="1"/>
    <col min="4" max="4" width="17" customWidth="1"/>
    <col min="5" max="5" width="17.85546875" customWidth="1"/>
    <col min="6" max="6" width="16.5703125" customWidth="1"/>
  </cols>
  <sheetData>
    <row r="1" spans="1:6">
      <c r="A1" s="3" t="s">
        <v>502</v>
      </c>
      <c r="B1" s="3"/>
      <c r="C1" s="3"/>
      <c r="D1" s="351" t="s">
        <v>784</v>
      </c>
      <c r="E1" s="3"/>
      <c r="F1" s="462"/>
    </row>
    <row r="2" spans="1:6">
      <c r="A2" s="3" t="s">
        <v>542</v>
      </c>
      <c r="B2" s="3"/>
      <c r="C2" s="3"/>
      <c r="D2" s="3"/>
      <c r="E2" s="3"/>
      <c r="F2" s="3"/>
    </row>
    <row r="3" spans="1:6">
      <c r="A3" s="32" t="s">
        <v>785</v>
      </c>
      <c r="B3" s="32"/>
      <c r="C3" s="32"/>
      <c r="D3" s="32"/>
      <c r="E3" s="32"/>
      <c r="F3" s="32"/>
    </row>
    <row r="4" spans="1:6">
      <c r="A4" s="3"/>
      <c r="B4" s="3"/>
      <c r="C4" s="3"/>
      <c r="D4" s="3"/>
      <c r="E4" s="3"/>
      <c r="F4" s="3"/>
    </row>
    <row r="5" spans="1:6">
      <c r="A5" s="494" t="s">
        <v>786</v>
      </c>
      <c r="B5" s="495" t="s">
        <v>787</v>
      </c>
      <c r="C5" s="496" t="s">
        <v>788</v>
      </c>
      <c r="D5" s="497" t="s">
        <v>789</v>
      </c>
      <c r="E5" s="498" t="s">
        <v>790</v>
      </c>
      <c r="F5" s="499" t="s">
        <v>791</v>
      </c>
    </row>
    <row r="6" spans="1:6">
      <c r="A6" s="500"/>
      <c r="B6" s="501"/>
      <c r="C6" s="502"/>
      <c r="D6" s="503"/>
      <c r="E6" s="504" t="s">
        <v>792</v>
      </c>
      <c r="F6" s="505" t="s">
        <v>793</v>
      </c>
    </row>
    <row r="7" spans="1:6">
      <c r="A7" s="506"/>
      <c r="B7" s="507"/>
      <c r="C7" s="508"/>
      <c r="D7" s="507"/>
      <c r="E7" s="507"/>
      <c r="F7" s="509"/>
    </row>
    <row r="8" spans="1:6">
      <c r="A8" s="510" t="s">
        <v>794</v>
      </c>
      <c r="B8" s="510"/>
      <c r="C8" s="511"/>
      <c r="D8" s="510"/>
      <c r="E8" s="512"/>
      <c r="F8" s="513"/>
    </row>
    <row r="9" spans="1:6">
      <c r="A9" s="510" t="s">
        <v>795</v>
      </c>
      <c r="B9" s="514">
        <v>42356</v>
      </c>
      <c r="C9" s="511">
        <v>296054260</v>
      </c>
      <c r="D9" s="514">
        <v>47207</v>
      </c>
      <c r="E9" s="513">
        <v>223448344</v>
      </c>
      <c r="F9" s="513">
        <v>19776000</v>
      </c>
    </row>
    <row r="10" spans="1:6">
      <c r="A10" s="515"/>
      <c r="B10" s="515"/>
      <c r="D10" s="515"/>
      <c r="E10" s="515"/>
      <c r="F10" s="515"/>
    </row>
    <row r="11" spans="1:6">
      <c r="A11" s="510" t="s">
        <v>796</v>
      </c>
      <c r="B11" s="514"/>
      <c r="C11" s="511"/>
      <c r="D11" s="514"/>
      <c r="E11" s="512"/>
      <c r="F11" s="513">
        <v>9083796</v>
      </c>
    </row>
    <row r="12" spans="1:6">
      <c r="A12" s="516"/>
      <c r="B12" s="516"/>
      <c r="C12" s="517"/>
      <c r="D12" s="516"/>
      <c r="E12" s="518"/>
      <c r="F12" s="519"/>
    </row>
    <row r="13" spans="1:6">
      <c r="A13" s="520"/>
      <c r="B13" s="520"/>
      <c r="C13" s="521"/>
      <c r="D13" s="522"/>
      <c r="E13" s="521"/>
      <c r="F13" s="521"/>
    </row>
    <row r="14" spans="1:6">
      <c r="A14" s="2"/>
      <c r="B14" s="36"/>
      <c r="C14" s="36"/>
      <c r="D14" s="36"/>
      <c r="E14" s="36"/>
      <c r="F14" s="36"/>
    </row>
    <row r="15" spans="1:6">
      <c r="A15" s="2" t="s">
        <v>797</v>
      </c>
      <c r="B15" s="520"/>
      <c r="C15" s="521"/>
      <c r="D15" s="520"/>
      <c r="E15" s="521"/>
      <c r="F15" s="521"/>
    </row>
    <row r="16" spans="1:6">
      <c r="A16" s="2"/>
      <c r="B16" s="3"/>
      <c r="C16" s="3"/>
      <c r="D16" s="3"/>
      <c r="E16" s="3"/>
      <c r="F16" s="3"/>
    </row>
    <row r="17" spans="1:1">
      <c r="A17" s="2"/>
    </row>
  </sheetData>
  <mergeCells count="1">
    <mergeCell ref="A3:F3"/>
  </mergeCells>
  <pageMargins left="0.74803149606299213" right="0.74803149606299213" top="0.78740157480314965" bottom="0.78740157480314965" header="0.51181102362204722" footer="0.51181102362204722"/>
  <pageSetup paperSize="9" firstPageNumber="0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80"/>
  <sheetViews>
    <sheetView workbookViewId="0">
      <selection activeCell="A3" sqref="A3"/>
    </sheetView>
  </sheetViews>
  <sheetFormatPr defaultRowHeight="12.75"/>
  <cols>
    <col min="1" max="1" width="71.42578125" customWidth="1"/>
    <col min="2" max="2" width="16.5703125" style="54" customWidth="1"/>
    <col min="3" max="3" width="19" bestFit="1" customWidth="1"/>
  </cols>
  <sheetData>
    <row r="1" spans="1:2">
      <c r="A1" s="52" t="s">
        <v>137</v>
      </c>
      <c r="B1" s="52"/>
    </row>
    <row r="2" spans="1:2">
      <c r="A2" s="53"/>
    </row>
    <row r="3" spans="1:2">
      <c r="A3" s="55" t="s">
        <v>138</v>
      </c>
      <c r="B3" s="55"/>
    </row>
    <row r="4" spans="1:2" ht="13.5" thickBot="1">
      <c r="A4" s="56"/>
      <c r="B4" s="57"/>
    </row>
    <row r="5" spans="1:2" ht="13.5" thickBot="1">
      <c r="A5" s="58" t="s">
        <v>139</v>
      </c>
      <c r="B5" s="59">
        <f>B6+B7+B8+B9</f>
        <v>123685100</v>
      </c>
    </row>
    <row r="6" spans="1:2">
      <c r="A6" s="60" t="s">
        <v>140</v>
      </c>
      <c r="B6" s="54">
        <f>'3_melléklet'!B5</f>
        <v>80761380</v>
      </c>
    </row>
    <row r="7" spans="1:2">
      <c r="A7" s="61" t="s">
        <v>141</v>
      </c>
      <c r="B7" s="54">
        <f>'3_melléklet'!B56</f>
        <v>9337980</v>
      </c>
    </row>
    <row r="8" spans="1:2">
      <c r="A8" s="61" t="s">
        <v>142</v>
      </c>
      <c r="B8" s="54">
        <f>'3_melléklet'!B73</f>
        <v>18218530</v>
      </c>
    </row>
    <row r="9" spans="1:2">
      <c r="A9" s="61" t="s">
        <v>143</v>
      </c>
      <c r="B9" s="54">
        <f>'3_melléklet'!B91</f>
        <v>15367210</v>
      </c>
    </row>
    <row r="10" spans="1:2" ht="13.5" thickBot="1">
      <c r="A10" s="61"/>
      <c r="B10" s="62"/>
    </row>
    <row r="11" spans="1:2" ht="13.5" thickBot="1">
      <c r="A11" s="58" t="s">
        <v>144</v>
      </c>
      <c r="B11" s="59">
        <f>B12+B23</f>
        <v>146350000</v>
      </c>
    </row>
    <row r="12" spans="1:2">
      <c r="A12" s="63" t="s">
        <v>145</v>
      </c>
      <c r="B12" s="64">
        <f>B13+B17+B20</f>
        <v>146200000</v>
      </c>
    </row>
    <row r="13" spans="1:2">
      <c r="A13" s="65" t="s">
        <v>146</v>
      </c>
      <c r="B13" s="66">
        <f>SUM(B14:B16)</f>
        <v>135100000</v>
      </c>
    </row>
    <row r="14" spans="1:2">
      <c r="A14" s="60" t="s">
        <v>147</v>
      </c>
      <c r="B14" s="54">
        <v>125000000</v>
      </c>
    </row>
    <row r="15" spans="1:2">
      <c r="A15" s="60" t="s">
        <v>148</v>
      </c>
      <c r="B15" s="54">
        <v>9500000</v>
      </c>
    </row>
    <row r="16" spans="1:2">
      <c r="A16" s="60" t="s">
        <v>149</v>
      </c>
      <c r="B16" s="54">
        <v>600000</v>
      </c>
    </row>
    <row r="17" spans="1:2">
      <c r="A17" s="65" t="s">
        <v>150</v>
      </c>
      <c r="B17" s="66">
        <f>B18+B19</f>
        <v>10550000</v>
      </c>
    </row>
    <row r="18" spans="1:2">
      <c r="A18" s="60" t="s">
        <v>151</v>
      </c>
      <c r="B18" s="54">
        <f>10000000+500000</f>
        <v>10500000</v>
      </c>
    </row>
    <row r="19" spans="1:2">
      <c r="A19" s="60" t="s">
        <v>152</v>
      </c>
      <c r="B19" s="54">
        <v>50000</v>
      </c>
    </row>
    <row r="20" spans="1:2">
      <c r="A20" s="65" t="s">
        <v>153</v>
      </c>
      <c r="B20" s="66">
        <f>B21+B22</f>
        <v>550000</v>
      </c>
    </row>
    <row r="21" spans="1:2">
      <c r="A21" s="60" t="s">
        <v>154</v>
      </c>
      <c r="B21" s="54">
        <v>500000</v>
      </c>
    </row>
    <row r="22" spans="1:2">
      <c r="A22" s="60" t="s">
        <v>155</v>
      </c>
      <c r="B22" s="54">
        <v>50000</v>
      </c>
    </row>
    <row r="23" spans="1:2">
      <c r="A23" s="63" t="s">
        <v>156</v>
      </c>
      <c r="B23" s="67">
        <f>B24</f>
        <v>150000</v>
      </c>
    </row>
    <row r="24" spans="1:2">
      <c r="A24" s="65" t="s">
        <v>157</v>
      </c>
      <c r="B24" s="66">
        <f>B25+B26</f>
        <v>150000</v>
      </c>
    </row>
    <row r="25" spans="1:2">
      <c r="A25" s="68" t="s">
        <v>158</v>
      </c>
      <c r="B25" s="54">
        <v>50000</v>
      </c>
    </row>
    <row r="26" spans="1:2">
      <c r="A26" s="68" t="s">
        <v>159</v>
      </c>
      <c r="B26" s="54">
        <v>100000</v>
      </c>
    </row>
    <row r="27" spans="1:2" ht="13.5" thickBot="1">
      <c r="A27" s="61"/>
      <c r="B27" s="69"/>
    </row>
    <row r="28" spans="1:2" ht="13.5" thickBot="1">
      <c r="A28" s="58" t="s">
        <v>160</v>
      </c>
      <c r="B28" s="70">
        <f>B29+B58+B71+B73+B69</f>
        <v>381932249</v>
      </c>
    </row>
    <row r="29" spans="1:2">
      <c r="A29" s="71" t="s">
        <v>161</v>
      </c>
      <c r="B29" s="72">
        <f>B30+B36+B44+B55</f>
        <v>324684003</v>
      </c>
    </row>
    <row r="30" spans="1:2">
      <c r="A30" s="63" t="s">
        <v>162</v>
      </c>
      <c r="B30" s="67">
        <f>SUM(B31:B35)</f>
        <v>107160857</v>
      </c>
    </row>
    <row r="31" spans="1:2">
      <c r="A31" s="73" t="s">
        <v>163</v>
      </c>
      <c r="B31" s="54">
        <v>73371600</v>
      </c>
    </row>
    <row r="32" spans="1:2" ht="22.5">
      <c r="A32" s="74" t="s">
        <v>164</v>
      </c>
      <c r="B32" s="54">
        <f>9907890+14080000+100000+7422900</f>
        <v>31510790</v>
      </c>
    </row>
    <row r="33" spans="1:2">
      <c r="A33" s="73" t="s">
        <v>165</v>
      </c>
      <c r="B33" s="54">
        <v>351217</v>
      </c>
    </row>
    <row r="34" spans="1:2">
      <c r="A34" s="73" t="s">
        <v>166</v>
      </c>
      <c r="B34" s="54">
        <v>170850</v>
      </c>
    </row>
    <row r="35" spans="1:2">
      <c r="A35" s="73" t="s">
        <v>167</v>
      </c>
      <c r="B35" s="54">
        <v>1756400</v>
      </c>
    </row>
    <row r="36" spans="1:2">
      <c r="A36" s="63" t="s">
        <v>168</v>
      </c>
      <c r="B36" s="75">
        <f>B37+B42+B43</f>
        <v>70695900</v>
      </c>
    </row>
    <row r="37" spans="1:2">
      <c r="A37" s="65" t="s">
        <v>169</v>
      </c>
      <c r="B37" s="76">
        <f>SUM(B38:B41)</f>
        <v>61397100</v>
      </c>
    </row>
    <row r="38" spans="1:2">
      <c r="A38" s="61" t="s">
        <v>170</v>
      </c>
      <c r="B38" s="77">
        <v>29165400</v>
      </c>
    </row>
    <row r="39" spans="1:2">
      <c r="A39" s="61" t="s">
        <v>171</v>
      </c>
      <c r="B39" s="77">
        <f>8820000+2946000</f>
        <v>11766000</v>
      </c>
    </row>
    <row r="40" spans="1:2">
      <c r="A40" s="61" t="s">
        <v>172</v>
      </c>
      <c r="B40" s="77">
        <v>14582700</v>
      </c>
    </row>
    <row r="41" spans="1:2">
      <c r="A41" s="61" t="s">
        <v>173</v>
      </c>
      <c r="B41" s="77">
        <f>4410000+1473000</f>
        <v>5883000</v>
      </c>
    </row>
    <row r="42" spans="1:2">
      <c r="A42" s="65" t="s">
        <v>174</v>
      </c>
      <c r="B42" s="76">
        <f>5664533+2832267</f>
        <v>8496800</v>
      </c>
    </row>
    <row r="43" spans="1:2">
      <c r="A43" s="78" t="s">
        <v>175</v>
      </c>
      <c r="B43" s="76">
        <v>802000</v>
      </c>
    </row>
    <row r="44" spans="1:2">
      <c r="A44" s="63" t="s">
        <v>176</v>
      </c>
      <c r="B44" s="75">
        <f>B45+B47+B54+B53</f>
        <v>140762726</v>
      </c>
    </row>
    <row r="45" spans="1:2">
      <c r="A45" s="65" t="s">
        <v>177</v>
      </c>
      <c r="B45" s="66">
        <v>39592000</v>
      </c>
    </row>
    <row r="46" spans="1:2" hidden="1">
      <c r="A46" s="61" t="s">
        <v>178</v>
      </c>
      <c r="B46" s="66"/>
    </row>
    <row r="47" spans="1:2">
      <c r="A47" s="65" t="s">
        <v>179</v>
      </c>
      <c r="B47" s="66">
        <f>B48+B49+B50+B51+B52</f>
        <v>59871780</v>
      </c>
    </row>
    <row r="48" spans="1:2">
      <c r="A48" s="61" t="s">
        <v>180</v>
      </c>
      <c r="B48" s="54">
        <v>3400000</v>
      </c>
    </row>
    <row r="49" spans="1:2">
      <c r="A49" s="61" t="s">
        <v>181</v>
      </c>
      <c r="B49" s="54">
        <v>4871680</v>
      </c>
    </row>
    <row r="50" spans="1:2">
      <c r="A50" s="61" t="s">
        <v>182</v>
      </c>
      <c r="B50" s="54">
        <f>625000+15510000</f>
        <v>16135000</v>
      </c>
    </row>
    <row r="51" spans="1:2">
      <c r="A51" s="61" t="s">
        <v>183</v>
      </c>
      <c r="B51" s="54">
        <v>11227000</v>
      </c>
    </row>
    <row r="52" spans="1:2">
      <c r="A52" s="61" t="s">
        <v>184</v>
      </c>
      <c r="B52" s="54">
        <f>8081100+7319000+8838000</f>
        <v>24238100</v>
      </c>
    </row>
    <row r="53" spans="1:2">
      <c r="A53" s="79" t="s">
        <v>185</v>
      </c>
      <c r="B53" s="66">
        <f>15808000+24644496</f>
        <v>40452496</v>
      </c>
    </row>
    <row r="54" spans="1:2">
      <c r="A54" s="79" t="s">
        <v>186</v>
      </c>
      <c r="B54" s="66">
        <v>846450</v>
      </c>
    </row>
    <row r="55" spans="1:2">
      <c r="A55" s="63" t="s">
        <v>187</v>
      </c>
      <c r="B55" s="67">
        <v>6064520</v>
      </c>
    </row>
    <row r="56" spans="1:2">
      <c r="A56" s="63"/>
    </row>
    <row r="57" spans="1:2">
      <c r="A57" s="63"/>
    </row>
    <row r="58" spans="1:2" ht="22.5">
      <c r="A58" s="80" t="s">
        <v>188</v>
      </c>
      <c r="B58" s="81">
        <f>B59+B63+B65</f>
        <v>39720799</v>
      </c>
    </row>
    <row r="59" spans="1:2">
      <c r="A59" s="82" t="s">
        <v>189</v>
      </c>
      <c r="B59" s="83">
        <f>SUM(B60:B62)</f>
        <v>21364800</v>
      </c>
    </row>
    <row r="60" spans="1:2">
      <c r="A60" s="61" t="s">
        <v>190</v>
      </c>
      <c r="B60" s="84">
        <v>9558000</v>
      </c>
    </row>
    <row r="61" spans="1:2">
      <c r="A61" s="61" t="s">
        <v>191</v>
      </c>
      <c r="B61" s="84">
        <v>206400</v>
      </c>
    </row>
    <row r="62" spans="1:2">
      <c r="A62" s="61" t="s">
        <v>192</v>
      </c>
      <c r="B62" s="84">
        <v>11600400</v>
      </c>
    </row>
    <row r="63" spans="1:2">
      <c r="A63" s="85" t="s">
        <v>193</v>
      </c>
      <c r="B63" s="83">
        <f>SUM(B64:B64)</f>
        <v>7789999</v>
      </c>
    </row>
    <row r="64" spans="1:2">
      <c r="A64" s="86" t="s">
        <v>194</v>
      </c>
      <c r="B64" s="84">
        <v>7789999</v>
      </c>
    </row>
    <row r="65" spans="1:2">
      <c r="A65" s="85" t="s">
        <v>195</v>
      </c>
      <c r="B65" s="83">
        <f>B66+B68+B67</f>
        <v>10566000</v>
      </c>
    </row>
    <row r="66" spans="1:2">
      <c r="A66" s="86" t="s">
        <v>196</v>
      </c>
      <c r="B66" s="84">
        <v>8015000</v>
      </c>
    </row>
    <row r="67" spans="1:2">
      <c r="A67" s="86" t="s">
        <v>197</v>
      </c>
      <c r="B67" s="84">
        <v>2260000</v>
      </c>
    </row>
    <row r="68" spans="1:2">
      <c r="A68" s="86" t="s">
        <v>198</v>
      </c>
      <c r="B68" s="84">
        <f>'[1]082042 Könyvtár'!$G$5</f>
        <v>291000</v>
      </c>
    </row>
    <row r="69" spans="1:2">
      <c r="A69" s="87" t="s">
        <v>199</v>
      </c>
      <c r="B69" s="81">
        <f>B70</f>
        <v>584721</v>
      </c>
    </row>
    <row r="70" spans="1:2">
      <c r="A70" s="86" t="s">
        <v>200</v>
      </c>
      <c r="B70" s="84">
        <v>584721</v>
      </c>
    </row>
    <row r="71" spans="1:2">
      <c r="A71" s="87" t="s">
        <v>201</v>
      </c>
      <c r="B71" s="81">
        <f>B72</f>
        <v>14798896</v>
      </c>
    </row>
    <row r="72" spans="1:2">
      <c r="A72" s="86" t="s">
        <v>202</v>
      </c>
      <c r="B72" s="54">
        <v>14798896</v>
      </c>
    </row>
    <row r="73" spans="1:2">
      <c r="A73" s="87" t="s">
        <v>203</v>
      </c>
      <c r="B73" s="81">
        <f>SUM(B74)</f>
        <v>2143830</v>
      </c>
    </row>
    <row r="74" spans="1:2">
      <c r="A74" s="86" t="s">
        <v>204</v>
      </c>
      <c r="B74" s="54">
        <v>2143830</v>
      </c>
    </row>
    <row r="75" spans="1:2">
      <c r="A75" s="86"/>
    </row>
    <row r="76" spans="1:2" ht="13.5" thickBot="1">
      <c r="A76" s="61"/>
      <c r="B76" s="84"/>
    </row>
    <row r="77" spans="1:2" ht="13.5" thickBot="1">
      <c r="A77" s="58" t="s">
        <v>205</v>
      </c>
      <c r="B77" s="88">
        <f>B5+B11+B28</f>
        <v>651967349</v>
      </c>
    </row>
    <row r="78" spans="1:2" ht="13.5" thickBot="1">
      <c r="A78" s="89"/>
      <c r="B78" s="90"/>
    </row>
    <row r="79" spans="1:2" ht="13.5" thickBot="1">
      <c r="A79" s="58" t="s">
        <v>206</v>
      </c>
      <c r="B79" s="88">
        <f>B80+B87</f>
        <v>21907500</v>
      </c>
    </row>
    <row r="80" spans="1:2">
      <c r="A80" s="82" t="s">
        <v>207</v>
      </c>
      <c r="B80" s="83">
        <f>B81</f>
        <v>21907500</v>
      </c>
    </row>
    <row r="81" spans="1:3">
      <c r="A81" s="61" t="s">
        <v>208</v>
      </c>
      <c r="B81" s="84">
        <v>21907500</v>
      </c>
    </row>
    <row r="82" spans="1:3" ht="13.5" thickBot="1">
      <c r="A82" s="61"/>
      <c r="B82" s="91"/>
    </row>
    <row r="83" spans="1:3" ht="13.5" thickBot="1">
      <c r="A83" s="58" t="s">
        <v>209</v>
      </c>
      <c r="B83" s="92">
        <f>B84</f>
        <v>10000000</v>
      </c>
    </row>
    <row r="84" spans="1:3">
      <c r="A84" s="61" t="s">
        <v>210</v>
      </c>
      <c r="B84" s="93">
        <v>10000000</v>
      </c>
    </row>
    <row r="85" spans="1:3" ht="13.5" thickBot="1">
      <c r="A85" s="89"/>
      <c r="B85" s="90"/>
    </row>
    <row r="86" spans="1:3" ht="13.5" thickBot="1">
      <c r="A86" s="58" t="s">
        <v>211</v>
      </c>
      <c r="B86" s="88">
        <f>B79+B83</f>
        <v>31907500</v>
      </c>
    </row>
    <row r="87" spans="1:3" ht="13.5" thickBot="1">
      <c r="A87" s="61"/>
      <c r="B87" s="93"/>
    </row>
    <row r="88" spans="1:3" ht="13.5" thickBot="1">
      <c r="A88" s="58" t="s">
        <v>212</v>
      </c>
      <c r="B88" s="88">
        <f>B77+B86</f>
        <v>683874849</v>
      </c>
    </row>
    <row r="89" spans="1:3" ht="13.5" thickBot="1">
      <c r="A89" s="61"/>
      <c r="B89" s="93"/>
    </row>
    <row r="90" spans="1:3" ht="13.5" thickBot="1">
      <c r="A90" s="94" t="s">
        <v>213</v>
      </c>
      <c r="B90" s="95">
        <f>B91+B92</f>
        <v>105000000</v>
      </c>
    </row>
    <row r="91" spans="1:3">
      <c r="A91" s="96" t="s">
        <v>214</v>
      </c>
      <c r="B91" s="97">
        <v>65000000</v>
      </c>
    </row>
    <row r="92" spans="1:3">
      <c r="A92" s="96" t="s">
        <v>215</v>
      </c>
      <c r="B92" s="97">
        <v>40000000</v>
      </c>
    </row>
    <row r="93" spans="1:3" ht="13.5" thickBot="1">
      <c r="A93" s="98"/>
      <c r="B93" s="91"/>
      <c r="C93" s="33"/>
    </row>
    <row r="94" spans="1:3" ht="13.5" thickBot="1">
      <c r="A94" s="99" t="s">
        <v>216</v>
      </c>
      <c r="B94" s="92">
        <f>SUM(B95:B98)</f>
        <v>156396900</v>
      </c>
      <c r="C94" s="33"/>
    </row>
    <row r="95" spans="1:3">
      <c r="A95" s="60" t="s">
        <v>140</v>
      </c>
      <c r="B95" s="93">
        <v>148168044</v>
      </c>
      <c r="C95" s="33"/>
    </row>
    <row r="96" spans="1:3">
      <c r="A96" s="61" t="s">
        <v>141</v>
      </c>
      <c r="B96" s="84">
        <v>3767857</v>
      </c>
      <c r="C96" s="33"/>
    </row>
    <row r="97" spans="1:3">
      <c r="A97" s="61" t="s">
        <v>142</v>
      </c>
      <c r="B97" s="93">
        <v>1228331</v>
      </c>
      <c r="C97" s="33"/>
    </row>
    <row r="98" spans="1:3">
      <c r="A98" s="61" t="s">
        <v>143</v>
      </c>
      <c r="B98" s="93">
        <v>3232668</v>
      </c>
      <c r="C98" s="33"/>
    </row>
    <row r="99" spans="1:3" ht="13.5" thickBot="1">
      <c r="A99" s="61"/>
      <c r="C99" s="33"/>
    </row>
    <row r="100" spans="1:3" ht="13.5" thickBot="1">
      <c r="A100" s="58" t="s">
        <v>217</v>
      </c>
      <c r="B100" s="100">
        <f>B88+B90+B94</f>
        <v>945271749</v>
      </c>
      <c r="C100" s="101"/>
    </row>
    <row r="101" spans="1:3" hidden="1">
      <c r="A101" s="89"/>
      <c r="B101" s="90">
        <f>B100-kiadások!B75</f>
        <v>0</v>
      </c>
      <c r="C101" s="101"/>
    </row>
    <row r="102" spans="1:3" hidden="1">
      <c r="A102" s="53"/>
      <c r="B102" s="54">
        <f>kiadások!B86+kiadások!B96</f>
        <v>0</v>
      </c>
    </row>
    <row r="103" spans="1:3" hidden="1">
      <c r="A103" s="53"/>
    </row>
    <row r="104" spans="1:3" hidden="1">
      <c r="A104" s="53"/>
      <c r="B104" s="54" t="e">
        <f>B6+B7+B8+B9+B14+B15+B16+B18+B19+B21+B22+B25+B26+B31+B32+B33+B34+B35+B38+B39+B40+B41+B42+B43+B45+B48+B49+B50+B51+B52+B53+B54+B55+B60+B61+B62+B64+B72+B74+B81+B95+B96+B97+B98+B66+B68+#REF!</f>
        <v>#REF!</v>
      </c>
    </row>
    <row r="105" spans="1:3" hidden="1">
      <c r="A105" s="53"/>
      <c r="B105" s="54" t="e">
        <f>B100-B104</f>
        <v>#REF!</v>
      </c>
    </row>
    <row r="106" spans="1:3" hidden="1">
      <c r="A106" s="102"/>
      <c r="B106" s="26"/>
    </row>
    <row r="107" spans="1:3" hidden="1">
      <c r="A107" s="103" t="s">
        <v>218</v>
      </c>
    </row>
    <row r="108" spans="1:3" hidden="1">
      <c r="A108" s="53"/>
      <c r="B108" s="54">
        <v>-18621511</v>
      </c>
    </row>
    <row r="109" spans="1:3" hidden="1">
      <c r="A109" s="53"/>
      <c r="B109" s="54">
        <f>B102-B108</f>
        <v>18621511</v>
      </c>
    </row>
    <row r="110" spans="1:3">
      <c r="A110" s="53"/>
    </row>
    <row r="111" spans="1:3">
      <c r="A111" s="104"/>
      <c r="B111" s="105"/>
    </row>
    <row r="112" spans="1:3" ht="13.5" hidden="1" thickBot="1">
      <c r="A112" s="106" t="s">
        <v>219</v>
      </c>
      <c r="B112" s="107">
        <f>B100-kiadások!B75</f>
        <v>0</v>
      </c>
    </row>
    <row r="113" spans="1:1">
      <c r="A113" s="53"/>
    </row>
    <row r="114" spans="1:1">
      <c r="A114" s="53"/>
    </row>
    <row r="115" spans="1:1">
      <c r="A115" s="53"/>
    </row>
    <row r="116" spans="1:1">
      <c r="A116" s="53"/>
    </row>
    <row r="117" spans="1:1">
      <c r="A117" s="53"/>
    </row>
    <row r="118" spans="1:1">
      <c r="A118" s="53"/>
    </row>
    <row r="119" spans="1:1">
      <c r="A119" s="53"/>
    </row>
    <row r="120" spans="1:1">
      <c r="A120" s="53"/>
    </row>
    <row r="121" spans="1:1">
      <c r="A121" s="53"/>
    </row>
    <row r="122" spans="1:1">
      <c r="A122" s="53"/>
    </row>
    <row r="123" spans="1:1">
      <c r="A123" s="53"/>
    </row>
    <row r="124" spans="1:1">
      <c r="A124" s="53"/>
    </row>
    <row r="125" spans="1:1">
      <c r="A125" s="53"/>
    </row>
    <row r="126" spans="1:1">
      <c r="A126" s="53"/>
    </row>
    <row r="127" spans="1:1">
      <c r="A127" s="53"/>
    </row>
    <row r="128" spans="1:1">
      <c r="A128" s="53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1">
      <c r="A161" s="53"/>
    </row>
    <row r="162" spans="1:1">
      <c r="A162" s="53"/>
    </row>
    <row r="163" spans="1:1">
      <c r="A163" s="53"/>
    </row>
    <row r="164" spans="1:1">
      <c r="A164" s="53"/>
    </row>
    <row r="165" spans="1:1">
      <c r="A165" s="53"/>
    </row>
    <row r="166" spans="1:1">
      <c r="A166" s="53"/>
    </row>
    <row r="167" spans="1:1">
      <c r="A167" s="53"/>
    </row>
    <row r="168" spans="1:1">
      <c r="A168" s="53"/>
    </row>
    <row r="169" spans="1:1">
      <c r="A169" s="53"/>
    </row>
    <row r="170" spans="1:1">
      <c r="A170" s="53"/>
    </row>
    <row r="171" spans="1:1">
      <c r="A171" s="53"/>
    </row>
    <row r="172" spans="1:1">
      <c r="A172" s="53"/>
    </row>
    <row r="173" spans="1:1">
      <c r="A173" s="53"/>
    </row>
    <row r="174" spans="1:1">
      <c r="A174" s="53"/>
    </row>
    <row r="175" spans="1:1">
      <c r="A175" s="53"/>
    </row>
    <row r="176" spans="1:1">
      <c r="A176" s="53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  <row r="258" spans="1:1">
      <c r="A258" s="53"/>
    </row>
    <row r="259" spans="1:1">
      <c r="A259" s="53"/>
    </row>
    <row r="260" spans="1:1">
      <c r="A260" s="53"/>
    </row>
    <row r="261" spans="1:1">
      <c r="A261" s="53"/>
    </row>
    <row r="262" spans="1:1">
      <c r="A262" s="53"/>
    </row>
    <row r="263" spans="1:1">
      <c r="A263" s="53"/>
    </row>
    <row r="264" spans="1:1">
      <c r="A264" s="53"/>
    </row>
    <row r="265" spans="1:1">
      <c r="A265" s="53"/>
    </row>
    <row r="266" spans="1:1">
      <c r="A266" s="53"/>
    </row>
    <row r="267" spans="1:1">
      <c r="A267" s="53"/>
    </row>
    <row r="268" spans="1:1">
      <c r="A268" s="53"/>
    </row>
    <row r="269" spans="1:1">
      <c r="A269" s="53"/>
    </row>
    <row r="270" spans="1:1">
      <c r="A270" s="53"/>
    </row>
    <row r="271" spans="1:1">
      <c r="A271" s="53"/>
    </row>
    <row r="272" spans="1:1">
      <c r="A272" s="53"/>
    </row>
    <row r="273" spans="1:1">
      <c r="A273" s="53"/>
    </row>
    <row r="274" spans="1:1">
      <c r="A274" s="53"/>
    </row>
    <row r="275" spans="1:1">
      <c r="A275" s="53"/>
    </row>
    <row r="276" spans="1:1">
      <c r="A276" s="53"/>
    </row>
    <row r="277" spans="1:1">
      <c r="A277" s="53"/>
    </row>
    <row r="278" spans="1:1">
      <c r="A278" s="53"/>
    </row>
    <row r="279" spans="1:1">
      <c r="A279" s="53"/>
    </row>
    <row r="280" spans="1:1">
      <c r="A280" s="53"/>
    </row>
  </sheetData>
  <mergeCells count="2">
    <mergeCell ref="A1:B1"/>
    <mergeCell ref="A3:B3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328"/>
  <sheetViews>
    <sheetView workbookViewId="0">
      <selection activeCell="A3" sqref="A3"/>
    </sheetView>
  </sheetViews>
  <sheetFormatPr defaultColWidth="11.5703125" defaultRowHeight="12.75"/>
  <cols>
    <col min="1" max="1" width="72" customWidth="1"/>
    <col min="2" max="2" width="13.5703125" customWidth="1"/>
    <col min="3" max="3" width="15.5703125" customWidth="1"/>
    <col min="4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>
      <c r="A1" s="53"/>
      <c r="B1" s="53"/>
      <c r="C1" s="53"/>
      <c r="D1" s="53"/>
    </row>
    <row r="2" spans="1:8">
      <c r="A2" s="52" t="s">
        <v>220</v>
      </c>
      <c r="B2" s="52"/>
      <c r="C2" s="53"/>
      <c r="D2" s="53"/>
    </row>
    <row r="3" spans="1:8">
      <c r="A3" s="53"/>
      <c r="B3" s="53"/>
      <c r="C3" s="53"/>
      <c r="D3" s="53"/>
    </row>
    <row r="4" spans="1:8">
      <c r="A4" s="55" t="s">
        <v>221</v>
      </c>
      <c r="B4" s="55"/>
      <c r="C4" s="53"/>
      <c r="D4" s="53"/>
    </row>
    <row r="5" spans="1:8" ht="13.5" thickBot="1">
      <c r="A5" s="53"/>
      <c r="B5" s="53"/>
      <c r="C5" s="53"/>
      <c r="D5" s="53"/>
    </row>
    <row r="6" spans="1:8" ht="13.5" thickBot="1">
      <c r="A6" s="58" t="s">
        <v>222</v>
      </c>
      <c r="B6" s="59">
        <f>B7+B8+B9+B10</f>
        <v>666370106</v>
      </c>
      <c r="C6" s="108"/>
      <c r="D6" s="109"/>
      <c r="H6" s="108"/>
    </row>
    <row r="7" spans="1:8">
      <c r="A7" s="60" t="s">
        <v>145</v>
      </c>
      <c r="B7" s="54">
        <f>B13+B19+B27+B33</f>
        <v>243171803</v>
      </c>
      <c r="C7" s="53"/>
      <c r="D7" s="53"/>
    </row>
    <row r="8" spans="1:8">
      <c r="A8" s="61" t="s">
        <v>156</v>
      </c>
      <c r="B8" s="54">
        <f>B14+B20+B28</f>
        <v>113156655</v>
      </c>
      <c r="C8" s="53"/>
      <c r="D8" s="53"/>
    </row>
    <row r="9" spans="1:8">
      <c r="A9" s="61" t="s">
        <v>223</v>
      </c>
      <c r="B9" s="54">
        <f>B15+B21+B29</f>
        <v>165819932</v>
      </c>
      <c r="C9" s="53"/>
      <c r="D9" s="53"/>
    </row>
    <row r="10" spans="1:8">
      <c r="A10" s="61" t="s">
        <v>224</v>
      </c>
      <c r="B10" s="54">
        <f>B16+B22+B30</f>
        <v>144221716</v>
      </c>
      <c r="C10" s="53"/>
      <c r="D10" s="53"/>
    </row>
    <row r="11" spans="1:8" ht="13.5" thickBot="1">
      <c r="A11" s="110"/>
      <c r="B11" s="54"/>
      <c r="C11" s="53"/>
      <c r="D11" s="53"/>
    </row>
    <row r="12" spans="1:8" ht="13.5" thickBot="1">
      <c r="A12" s="58" t="s">
        <v>225</v>
      </c>
      <c r="B12" s="59">
        <f>SUM(B13:B16)</f>
        <v>313384830</v>
      </c>
      <c r="C12" s="109"/>
      <c r="D12" s="109"/>
    </row>
    <row r="13" spans="1:8">
      <c r="A13" s="60" t="s">
        <v>140</v>
      </c>
      <c r="B13" s="54">
        <f>'5_melléklet'!B190</f>
        <v>64375141</v>
      </c>
      <c r="C13" s="109"/>
      <c r="D13" s="109"/>
    </row>
    <row r="14" spans="1:8">
      <c r="A14" s="61" t="s">
        <v>141</v>
      </c>
      <c r="B14" s="54">
        <f>'5_melléklet'!B307</f>
        <v>69162770</v>
      </c>
      <c r="C14" s="109"/>
      <c r="D14" s="109"/>
    </row>
    <row r="15" spans="1:8">
      <c r="A15" s="61" t="s">
        <v>142</v>
      </c>
      <c r="B15" s="54">
        <f>'5_melléklet'!B608</f>
        <v>110652198</v>
      </c>
      <c r="C15" s="109"/>
      <c r="D15" s="109"/>
    </row>
    <row r="16" spans="1:8">
      <c r="A16" s="61" t="s">
        <v>143</v>
      </c>
      <c r="B16" s="54">
        <f>'5_melléklet'!B730</f>
        <v>69194721</v>
      </c>
      <c r="C16" s="109"/>
      <c r="D16" s="109"/>
    </row>
    <row r="17" spans="1:10" ht="13.5" thickBot="1">
      <c r="A17" s="110"/>
      <c r="B17" s="54"/>
      <c r="C17" s="53"/>
      <c r="D17" s="53"/>
    </row>
    <row r="18" spans="1:10" ht="13.5" thickBot="1">
      <c r="A18" s="58" t="s">
        <v>226</v>
      </c>
      <c r="B18" s="59">
        <f>SUM(B19:B22)</f>
        <v>62881055</v>
      </c>
      <c r="C18" s="109"/>
      <c r="D18" s="109"/>
    </row>
    <row r="19" spans="1:10">
      <c r="A19" s="60" t="s">
        <v>227</v>
      </c>
      <c r="B19" s="54">
        <f>'5_melléklet'!B191</f>
        <v>11667708</v>
      </c>
      <c r="C19" s="109"/>
      <c r="D19" s="109"/>
    </row>
    <row r="20" spans="1:10">
      <c r="A20" s="61" t="s">
        <v>228</v>
      </c>
      <c r="B20" s="54">
        <f>'5_melléklet'!B308</f>
        <v>15427943</v>
      </c>
      <c r="C20" s="109"/>
      <c r="D20" s="109"/>
    </row>
    <row r="21" spans="1:10">
      <c r="A21" s="61" t="s">
        <v>229</v>
      </c>
      <c r="B21" s="54">
        <f>'5_melléklet'!B609</f>
        <v>21529189</v>
      </c>
      <c r="C21" s="109"/>
      <c r="D21" s="109"/>
    </row>
    <row r="22" spans="1:10">
      <c r="A22" s="61" t="s">
        <v>230</v>
      </c>
      <c r="B22" s="54">
        <f>'5_melléklet'!B731</f>
        <v>14256215</v>
      </c>
      <c r="C22" s="109"/>
      <c r="D22" s="109"/>
    </row>
    <row r="23" spans="1:10" ht="13.5" thickBot="1">
      <c r="A23" s="110"/>
      <c r="B23" s="54"/>
      <c r="C23" s="53"/>
      <c r="D23" s="53"/>
    </row>
    <row r="24" spans="1:10" ht="13.5" thickBot="1">
      <c r="A24" s="58" t="s">
        <v>231</v>
      </c>
      <c r="B24" s="59">
        <f>SUM(B27:B30)</f>
        <v>202653797</v>
      </c>
      <c r="C24" s="109"/>
      <c r="D24" s="109"/>
    </row>
    <row r="25" spans="1:10">
      <c r="A25" s="110" t="s">
        <v>232</v>
      </c>
      <c r="B25" s="54"/>
      <c r="C25" s="53"/>
      <c r="D25" s="53"/>
    </row>
    <row r="26" spans="1:10">
      <c r="A26" s="110" t="s">
        <v>233</v>
      </c>
      <c r="B26" s="54"/>
      <c r="C26" s="53"/>
      <c r="D26" s="53"/>
    </row>
    <row r="27" spans="1:10">
      <c r="A27" s="60" t="s">
        <v>234</v>
      </c>
      <c r="B27" s="54">
        <f>'5_melléklet'!B192</f>
        <v>79678530</v>
      </c>
      <c r="C27" s="53"/>
      <c r="D27" s="53"/>
      <c r="J27" s="108"/>
    </row>
    <row r="28" spans="1:10">
      <c r="A28" s="61" t="s">
        <v>235</v>
      </c>
      <c r="B28" s="54">
        <f>'5_melléklet'!B309</f>
        <v>28565942</v>
      </c>
      <c r="C28" s="53"/>
      <c r="D28" s="53"/>
      <c r="J28" s="108"/>
    </row>
    <row r="29" spans="1:10">
      <c r="A29" s="61" t="s">
        <v>236</v>
      </c>
      <c r="B29" s="54">
        <f>'5_melléklet'!B610</f>
        <v>33638545</v>
      </c>
      <c r="C29" s="53"/>
      <c r="D29" s="53"/>
      <c r="J29" s="108"/>
    </row>
    <row r="30" spans="1:10">
      <c r="A30" s="61" t="s">
        <v>237</v>
      </c>
      <c r="B30" s="54">
        <f>'5_melléklet'!B732</f>
        <v>60770780</v>
      </c>
      <c r="C30" s="53"/>
      <c r="D30" s="53"/>
      <c r="J30" s="108"/>
    </row>
    <row r="31" spans="1:10" ht="13.5" thickBot="1">
      <c r="A31" s="110"/>
      <c r="B31" s="54"/>
      <c r="C31" s="53"/>
      <c r="D31" s="53"/>
      <c r="J31" s="108"/>
    </row>
    <row r="32" spans="1:10" ht="13.5" thickBot="1">
      <c r="A32" s="58" t="s">
        <v>238</v>
      </c>
      <c r="B32" s="59">
        <f>B33</f>
        <v>87450424</v>
      </c>
      <c r="C32" s="109"/>
      <c r="D32" s="109"/>
    </row>
    <row r="33" spans="1:4">
      <c r="A33" s="111" t="s">
        <v>239</v>
      </c>
      <c r="B33" s="67">
        <f>SUM(B34:B39)</f>
        <v>87450424</v>
      </c>
      <c r="C33" s="53"/>
      <c r="D33" s="53"/>
    </row>
    <row r="34" spans="1:4">
      <c r="A34" s="110" t="s">
        <v>240</v>
      </c>
      <c r="B34" s="54">
        <f>'4_ melléklet'!B12</f>
        <v>5600000</v>
      </c>
      <c r="C34" s="53"/>
      <c r="D34" s="53"/>
    </row>
    <row r="35" spans="1:4">
      <c r="A35" s="110" t="s">
        <v>241</v>
      </c>
      <c r="B35" s="54">
        <f>'4_ melléklet'!B18</f>
        <v>62470424</v>
      </c>
      <c r="C35" s="53"/>
      <c r="D35" s="53"/>
    </row>
    <row r="36" spans="1:4">
      <c r="A36" s="110" t="s">
        <v>242</v>
      </c>
      <c r="B36" s="54">
        <f>'4_ melléklet'!B25</f>
        <v>10000000</v>
      </c>
      <c r="C36" s="53"/>
      <c r="D36" s="53"/>
    </row>
    <row r="37" spans="1:4">
      <c r="A37" s="110" t="s">
        <v>243</v>
      </c>
      <c r="B37" s="54">
        <f>'4_ melléklet'!B29+'4_ melléklet'!B40</f>
        <v>8680000</v>
      </c>
      <c r="C37" s="53"/>
      <c r="D37" s="53"/>
    </row>
    <row r="38" spans="1:4">
      <c r="A38" s="110" t="s">
        <v>244</v>
      </c>
      <c r="B38" s="54">
        <f>'4_ melléklet'!B35</f>
        <v>700000</v>
      </c>
      <c r="C38" s="53"/>
      <c r="D38" s="53"/>
    </row>
    <row r="39" spans="1:4" ht="13.5" thickBot="1">
      <c r="A39" s="110"/>
      <c r="B39" s="54"/>
      <c r="C39" s="53"/>
      <c r="D39" s="53"/>
    </row>
    <row r="40" spans="1:4" ht="13.5" thickBot="1">
      <c r="A40" s="112" t="s">
        <v>245</v>
      </c>
      <c r="B40" s="113">
        <f>B42+B55</f>
        <v>142102282</v>
      </c>
      <c r="C40" s="109"/>
      <c r="D40" s="53"/>
    </row>
    <row r="41" spans="1:4" ht="13.5" thickBot="1">
      <c r="A41" s="98"/>
      <c r="B41" s="114"/>
      <c r="C41" s="53"/>
      <c r="D41" s="53"/>
    </row>
    <row r="42" spans="1:4" ht="13.5" thickBot="1">
      <c r="A42" s="99" t="s">
        <v>246</v>
      </c>
      <c r="B42" s="115">
        <f>B43+B49+B51</f>
        <v>134127276</v>
      </c>
      <c r="C42" s="53"/>
      <c r="D42" s="53"/>
    </row>
    <row r="43" spans="1:4">
      <c r="A43" s="116" t="s">
        <v>140</v>
      </c>
      <c r="B43" s="117">
        <f>SUM(B44:B48)</f>
        <v>132869976</v>
      </c>
      <c r="C43" s="53"/>
      <c r="D43" s="53"/>
    </row>
    <row r="44" spans="1:4">
      <c r="A44" s="118" t="s">
        <v>247</v>
      </c>
      <c r="B44" s="97">
        <v>122861976</v>
      </c>
      <c r="C44" s="53"/>
      <c r="D44" s="53"/>
    </row>
    <row r="45" spans="1:4">
      <c r="A45" s="118" t="s">
        <v>248</v>
      </c>
      <c r="B45" s="97">
        <v>7000000</v>
      </c>
      <c r="C45" s="53"/>
      <c r="D45" s="53"/>
    </row>
    <row r="46" spans="1:4">
      <c r="A46" s="118" t="s">
        <v>249</v>
      </c>
      <c r="B46" s="97">
        <f>[2]kisértékű!D7</f>
        <v>508000</v>
      </c>
      <c r="C46" s="53"/>
      <c r="D46" s="53"/>
    </row>
    <row r="47" spans="1:4">
      <c r="A47" s="118" t="s">
        <v>250</v>
      </c>
      <c r="B47" s="54">
        <v>1500000</v>
      </c>
      <c r="C47" s="53"/>
      <c r="D47" s="53"/>
    </row>
    <row r="48" spans="1:4">
      <c r="A48" s="118" t="s">
        <v>251</v>
      </c>
      <c r="B48" s="54">
        <v>1000000</v>
      </c>
      <c r="C48" s="53"/>
      <c r="D48" s="53"/>
    </row>
    <row r="49" spans="1:10">
      <c r="A49" s="119" t="s">
        <v>252</v>
      </c>
      <c r="B49" s="120">
        <f>SUM(B50)</f>
        <v>977900</v>
      </c>
      <c r="C49" s="53"/>
      <c r="D49" s="53"/>
    </row>
    <row r="50" spans="1:10">
      <c r="A50" s="118" t="s">
        <v>253</v>
      </c>
      <c r="B50" s="54">
        <f>[2]kisértékű!D21</f>
        <v>977900</v>
      </c>
      <c r="C50" s="53"/>
      <c r="D50" s="53"/>
    </row>
    <row r="51" spans="1:10">
      <c r="A51" s="119" t="s">
        <v>254</v>
      </c>
      <c r="B51" s="120">
        <f>B52</f>
        <v>279400</v>
      </c>
      <c r="C51" s="53"/>
      <c r="D51" s="53"/>
    </row>
    <row r="52" spans="1:10">
      <c r="A52" s="118" t="s">
        <v>255</v>
      </c>
      <c r="B52" s="54">
        <f>[2]kisértékű!D26</f>
        <v>279400</v>
      </c>
      <c r="C52" s="53"/>
      <c r="D52" s="53"/>
    </row>
    <row r="53" spans="1:10">
      <c r="A53" s="118"/>
      <c r="B53" s="54"/>
      <c r="C53" s="53"/>
      <c r="D53" s="53"/>
    </row>
    <row r="54" spans="1:10" ht="13.5" thickBot="1">
      <c r="A54" s="118"/>
      <c r="B54" s="54"/>
      <c r="C54" s="53"/>
      <c r="D54" s="53"/>
    </row>
    <row r="55" spans="1:10" ht="13.5" thickBot="1">
      <c r="A55" s="121" t="s">
        <v>256</v>
      </c>
      <c r="B55" s="122">
        <f>B56</f>
        <v>7975006</v>
      </c>
      <c r="C55" s="53"/>
      <c r="D55" s="53"/>
    </row>
    <row r="56" spans="1:10">
      <c r="A56" s="116" t="s">
        <v>227</v>
      </c>
      <c r="B56" s="123">
        <f>SUM(B57:B62)</f>
        <v>7975006</v>
      </c>
      <c r="C56" s="53"/>
    </row>
    <row r="57" spans="1:10">
      <c r="A57" s="124" t="s">
        <v>257</v>
      </c>
      <c r="B57" s="54">
        <v>571500</v>
      </c>
      <c r="C57" s="53"/>
      <c r="D57" s="53"/>
    </row>
    <row r="58" spans="1:10">
      <c r="A58" s="124" t="s">
        <v>258</v>
      </c>
      <c r="B58" s="54">
        <v>1000000</v>
      </c>
      <c r="C58" s="53"/>
      <c r="D58" s="53"/>
    </row>
    <row r="59" spans="1:10">
      <c r="A59" s="124" t="s">
        <v>259</v>
      </c>
      <c r="B59" s="54">
        <v>300000</v>
      </c>
      <c r="C59" s="53"/>
    </row>
    <row r="60" spans="1:10">
      <c r="A60" s="124" t="s">
        <v>260</v>
      </c>
      <c r="B60" s="54">
        <v>5203506</v>
      </c>
      <c r="C60" s="53"/>
      <c r="J60" s="33"/>
    </row>
    <row r="61" spans="1:10">
      <c r="A61" s="124" t="s">
        <v>261</v>
      </c>
      <c r="B61" s="54">
        <v>400000</v>
      </c>
      <c r="C61" s="53"/>
      <c r="J61" s="33"/>
    </row>
    <row r="62" spans="1:10">
      <c r="A62" s="124" t="s">
        <v>262</v>
      </c>
      <c r="B62" s="54">
        <v>500000</v>
      </c>
      <c r="C62" s="53"/>
      <c r="J62" s="33"/>
    </row>
    <row r="63" spans="1:10" ht="13.5" thickBot="1">
      <c r="A63" s="125"/>
      <c r="B63" s="114"/>
      <c r="C63" s="53"/>
      <c r="D63" s="53"/>
    </row>
    <row r="64" spans="1:10" ht="13.5" thickBot="1">
      <c r="A64" s="99" t="s">
        <v>263</v>
      </c>
      <c r="B64" s="115">
        <f>B65+B66</f>
        <v>65000000</v>
      </c>
      <c r="C64" s="53"/>
      <c r="D64" s="53"/>
    </row>
    <row r="65" spans="1:20">
      <c r="A65" s="110" t="s">
        <v>264</v>
      </c>
      <c r="B65" s="126">
        <v>5000000</v>
      </c>
      <c r="C65" s="53"/>
      <c r="D65" s="53"/>
    </row>
    <row r="66" spans="1:20">
      <c r="A66" s="110" t="s">
        <v>265</v>
      </c>
      <c r="B66" s="127">
        <v>60000000</v>
      </c>
      <c r="C66" s="53"/>
      <c r="D66" s="53"/>
    </row>
    <row r="67" spans="1:20" ht="13.5" thickBot="1">
      <c r="A67" s="53"/>
      <c r="B67" s="126"/>
      <c r="C67" s="53"/>
      <c r="D67" s="53"/>
    </row>
    <row r="68" spans="1:20" ht="13.5" thickBot="1">
      <c r="A68" s="58" t="s">
        <v>266</v>
      </c>
      <c r="B68" s="128">
        <f>B6+B40+B64</f>
        <v>873472388</v>
      </c>
      <c r="C68" s="53"/>
      <c r="D68" s="53"/>
    </row>
    <row r="69" spans="1:20" ht="13.5" thickBot="1">
      <c r="A69" s="129"/>
      <c r="B69" s="130"/>
      <c r="C69" s="53"/>
      <c r="D69" s="53"/>
    </row>
    <row r="70" spans="1:20" ht="13.5" thickBot="1">
      <c r="A70" s="131" t="s">
        <v>267</v>
      </c>
      <c r="B70" s="132">
        <f>B71+B72+B73</f>
        <v>71799361</v>
      </c>
      <c r="C70" s="53"/>
      <c r="D70" s="53"/>
    </row>
    <row r="71" spans="1:20" ht="14.45" customHeight="1">
      <c r="A71" s="133" t="s">
        <v>268</v>
      </c>
      <c r="B71" s="134">
        <v>12023361</v>
      </c>
      <c r="C71" s="53"/>
      <c r="D71" s="53"/>
    </row>
    <row r="72" spans="1:20">
      <c r="A72" s="135" t="s">
        <v>269</v>
      </c>
      <c r="B72" s="127">
        <v>19776000</v>
      </c>
      <c r="D72" s="53"/>
    </row>
    <row r="73" spans="1:20">
      <c r="A73" s="136" t="s">
        <v>270</v>
      </c>
      <c r="B73" s="127">
        <v>40000000</v>
      </c>
      <c r="C73" s="53"/>
      <c r="D73" s="53"/>
    </row>
    <row r="74" spans="1:20" ht="13.5" thickBot="1">
      <c r="A74" s="96"/>
      <c r="B74" s="127"/>
      <c r="C74" s="53"/>
      <c r="D74" s="53"/>
    </row>
    <row r="75" spans="1:20" ht="13.5" thickBot="1">
      <c r="A75" s="58" t="s">
        <v>271</v>
      </c>
      <c r="B75" s="113">
        <f>B68+B70</f>
        <v>945271749</v>
      </c>
      <c r="C75" s="109"/>
      <c r="D75" s="109"/>
      <c r="T75" s="108"/>
    </row>
    <row r="76" spans="1:20">
      <c r="A76" s="89"/>
      <c r="B76" s="137"/>
      <c r="C76" s="53"/>
      <c r="D76" s="53"/>
      <c r="T76" s="108"/>
    </row>
    <row r="77" spans="1:20">
      <c r="A77" s="89"/>
      <c r="B77" s="137"/>
      <c r="C77" s="53"/>
      <c r="D77" s="53"/>
    </row>
    <row r="78" spans="1:20">
      <c r="A78" s="138" t="s">
        <v>272</v>
      </c>
      <c r="B78" s="53"/>
      <c r="C78" s="53"/>
      <c r="D78" s="53"/>
    </row>
    <row r="79" spans="1:20" ht="13.5" thickBot="1">
      <c r="A79" s="139"/>
      <c r="B79" s="139"/>
      <c r="C79" s="53"/>
      <c r="D79" s="53"/>
    </row>
    <row r="80" spans="1:20" ht="23.25" thickBot="1">
      <c r="A80" s="140" t="s">
        <v>273</v>
      </c>
      <c r="B80" s="141">
        <f>bevételek!B77-kiadások!B6-kiadások!B64</f>
        <v>-79402757</v>
      </c>
      <c r="C80" s="53"/>
      <c r="D80" s="53"/>
      <c r="I80" s="108"/>
      <c r="J80" s="108"/>
    </row>
    <row r="81" spans="1:8">
      <c r="A81" s="96" t="s">
        <v>274</v>
      </c>
      <c r="B81" s="126">
        <f>bevételek!B77</f>
        <v>651967349</v>
      </c>
      <c r="C81" s="53"/>
      <c r="D81" s="53"/>
    </row>
    <row r="82" spans="1:8" ht="13.5" customHeight="1" thickBot="1">
      <c r="A82" s="96" t="s">
        <v>275</v>
      </c>
      <c r="B82" s="142">
        <f>B6+B64</f>
        <v>731370106</v>
      </c>
      <c r="C82" s="53"/>
      <c r="D82" s="53"/>
    </row>
    <row r="83" spans="1:8" ht="23.25" thickBot="1">
      <c r="A83" s="143" t="s">
        <v>276</v>
      </c>
      <c r="B83" s="144">
        <f>B84-B85</f>
        <v>-110194782</v>
      </c>
      <c r="C83" s="53"/>
      <c r="D83" s="53"/>
    </row>
    <row r="84" spans="1:8">
      <c r="A84" s="96" t="s">
        <v>277</v>
      </c>
      <c r="B84" s="126">
        <f>bevételek!B86</f>
        <v>31907500</v>
      </c>
      <c r="C84" s="53"/>
      <c r="D84" s="53"/>
    </row>
    <row r="85" spans="1:8" ht="13.5" thickBot="1">
      <c r="A85" s="96" t="s">
        <v>278</v>
      </c>
      <c r="B85" s="142">
        <f>B40</f>
        <v>142102282</v>
      </c>
      <c r="C85" s="53"/>
      <c r="D85" s="53"/>
    </row>
    <row r="86" spans="1:8" ht="23.25" thickBot="1">
      <c r="A86" s="140" t="s">
        <v>279</v>
      </c>
      <c r="B86" s="145">
        <f>B80+B83</f>
        <v>-189597539</v>
      </c>
      <c r="C86" s="53"/>
      <c r="D86" s="53"/>
      <c r="H86" s="108"/>
    </row>
    <row r="87" spans="1:8" ht="13.5" thickBot="1">
      <c r="A87" s="146"/>
      <c r="B87" s="147"/>
      <c r="C87" s="53"/>
      <c r="D87" s="53"/>
    </row>
    <row r="88" spans="1:8" ht="13.5" thickBot="1">
      <c r="A88" s="148" t="s">
        <v>280</v>
      </c>
      <c r="B88" s="88">
        <f>bevételek!B94</f>
        <v>156396900</v>
      </c>
      <c r="C88" s="53"/>
      <c r="D88" s="53"/>
    </row>
    <row r="89" spans="1:8" ht="13.5" thickBot="1">
      <c r="A89" s="53"/>
      <c r="B89" s="53"/>
      <c r="C89" s="53"/>
      <c r="D89" s="53"/>
    </row>
    <row r="90" spans="1:8" ht="13.5" thickBot="1">
      <c r="A90" s="58" t="s">
        <v>281</v>
      </c>
      <c r="B90" s="88">
        <f>B91-B92</f>
        <v>52976639</v>
      </c>
      <c r="C90" s="53"/>
      <c r="D90" s="53"/>
    </row>
    <row r="91" spans="1:8">
      <c r="A91" s="110" t="s">
        <v>282</v>
      </c>
      <c r="B91" s="84">
        <f>bevételek!B90</f>
        <v>105000000</v>
      </c>
      <c r="C91" s="53"/>
      <c r="D91" s="53"/>
    </row>
    <row r="92" spans="1:8" ht="13.5" thickBot="1">
      <c r="A92" s="110" t="s">
        <v>283</v>
      </c>
      <c r="B92" s="84">
        <f>B71+B73</f>
        <v>52023361</v>
      </c>
      <c r="C92" s="53"/>
      <c r="D92" s="53"/>
    </row>
    <row r="93" spans="1:8" ht="13.5" thickBot="1">
      <c r="A93" s="58" t="s">
        <v>284</v>
      </c>
      <c r="B93" s="88">
        <f>B94-B95</f>
        <v>-19776000</v>
      </c>
      <c r="C93" s="53"/>
      <c r="D93" s="53"/>
    </row>
    <row r="94" spans="1:8">
      <c r="A94" s="110" t="s">
        <v>285</v>
      </c>
      <c r="B94" s="84">
        <v>0</v>
      </c>
      <c r="C94" s="53"/>
      <c r="D94" s="53"/>
    </row>
    <row r="95" spans="1:8" ht="13.5" thickBot="1">
      <c r="A95" s="98" t="s">
        <v>286</v>
      </c>
      <c r="B95" s="91">
        <f>B72</f>
        <v>19776000</v>
      </c>
      <c r="C95" s="53"/>
      <c r="D95" s="53"/>
    </row>
    <row r="96" spans="1:8" ht="23.25" thickBot="1">
      <c r="A96" s="149" t="s">
        <v>287</v>
      </c>
      <c r="B96" s="150">
        <f>B88+B90+B93</f>
        <v>189597539</v>
      </c>
      <c r="C96" s="109"/>
      <c r="D96" s="53"/>
    </row>
    <row r="97" spans="1:4">
      <c r="A97" s="53"/>
      <c r="B97" s="53"/>
      <c r="C97" s="53"/>
      <c r="D97" s="53"/>
    </row>
    <row r="98" spans="1:4" hidden="1">
      <c r="A98" s="53" t="s">
        <v>288</v>
      </c>
      <c r="B98" s="109">
        <f>B86+B96</f>
        <v>0</v>
      </c>
      <c r="C98" s="53"/>
      <c r="D98" s="53"/>
    </row>
    <row r="99" spans="1:4">
      <c r="A99" s="53"/>
      <c r="B99" s="53"/>
      <c r="C99" s="53"/>
      <c r="D99" s="53"/>
    </row>
    <row r="100" spans="1:4">
      <c r="A100" s="53"/>
      <c r="B100" s="109"/>
      <c r="C100" s="53"/>
      <c r="D100" s="53"/>
    </row>
    <row r="101" spans="1:4">
      <c r="A101" s="53"/>
      <c r="B101" s="53"/>
      <c r="C101" s="53"/>
      <c r="D101" s="53"/>
    </row>
    <row r="102" spans="1:4">
      <c r="A102" s="53"/>
      <c r="B102" s="53"/>
    </row>
    <row r="103" spans="1:4">
      <c r="A103" s="53"/>
      <c r="B103" s="53"/>
    </row>
    <row r="104" spans="1:4">
      <c r="A104" s="53"/>
      <c r="B104" s="53"/>
    </row>
    <row r="105" spans="1:4">
      <c r="A105" s="53"/>
      <c r="B105" s="53"/>
    </row>
    <row r="106" spans="1:4">
      <c r="A106" s="53"/>
      <c r="B106" s="53"/>
    </row>
    <row r="107" spans="1:4">
      <c r="A107" s="53"/>
      <c r="B107" s="53"/>
    </row>
    <row r="108" spans="1:4">
      <c r="A108" s="53"/>
      <c r="B108" s="53"/>
    </row>
    <row r="109" spans="1:4">
      <c r="A109" s="53"/>
      <c r="B109" s="53"/>
    </row>
    <row r="110" spans="1:4">
      <c r="A110" s="53"/>
      <c r="B110" s="53"/>
    </row>
    <row r="111" spans="1:4">
      <c r="A111" s="53"/>
      <c r="B111" s="53"/>
    </row>
    <row r="112" spans="1:4">
      <c r="A112" s="53"/>
      <c r="B112" s="53"/>
    </row>
    <row r="113" spans="1:2">
      <c r="A113" s="53"/>
      <c r="B113" s="53"/>
    </row>
    <row r="114" spans="1:2">
      <c r="A114" s="53"/>
      <c r="B114" s="53"/>
    </row>
    <row r="115" spans="1:2">
      <c r="A115" s="53"/>
      <c r="B115" s="53"/>
    </row>
    <row r="116" spans="1:2">
      <c r="A116" s="53"/>
      <c r="B116" s="53"/>
    </row>
    <row r="117" spans="1:2">
      <c r="A117" s="53"/>
      <c r="B117" s="53"/>
    </row>
    <row r="118" spans="1:2">
      <c r="A118" s="53"/>
      <c r="B118" s="53"/>
    </row>
    <row r="119" spans="1:2">
      <c r="A119" s="53"/>
      <c r="B119" s="53"/>
    </row>
    <row r="120" spans="1:2">
      <c r="A120" s="53"/>
      <c r="B120" s="53"/>
    </row>
    <row r="121" spans="1:2">
      <c r="A121" s="53"/>
      <c r="B121" s="53"/>
    </row>
    <row r="122" spans="1:2">
      <c r="A122" s="53"/>
      <c r="B122" s="53"/>
    </row>
    <row r="123" spans="1:2">
      <c r="A123" s="53"/>
      <c r="B123" s="53"/>
    </row>
    <row r="124" spans="1:2">
      <c r="A124" s="53"/>
      <c r="B124" s="53"/>
    </row>
    <row r="125" spans="1:2">
      <c r="A125" s="53"/>
      <c r="B125" s="53"/>
    </row>
    <row r="126" spans="1:2">
      <c r="A126" s="53"/>
      <c r="B126" s="53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</sheetData>
  <mergeCells count="2">
    <mergeCell ref="A2:B2"/>
    <mergeCell ref="A4:B4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90"/>
  <sheetViews>
    <sheetView view="pageLayout" zoomScaleNormal="100" workbookViewId="0">
      <selection activeCell="A3" sqref="A3"/>
    </sheetView>
  </sheetViews>
  <sheetFormatPr defaultRowHeight="12.75"/>
  <cols>
    <col min="1" max="1" width="66.42578125" style="182" customWidth="1"/>
    <col min="2" max="2" width="17" style="182" customWidth="1"/>
    <col min="3" max="3" width="11.140625" style="3" customWidth="1"/>
    <col min="4" max="4" width="16.7109375" style="3" customWidth="1"/>
    <col min="5" max="5" width="22.7109375" style="3" customWidth="1"/>
    <col min="6" max="9" width="9.140625" style="3" customWidth="1"/>
    <col min="10" max="10" width="11.28515625" style="3" customWidth="1"/>
    <col min="11" max="12" width="9.140625" style="3" customWidth="1"/>
    <col min="13" max="16384" width="9.140625" style="3"/>
  </cols>
  <sheetData>
    <row r="1" spans="1:10">
      <c r="A1" s="52" t="s">
        <v>289</v>
      </c>
      <c r="B1" s="52"/>
      <c r="C1" s="151"/>
      <c r="D1" s="151"/>
      <c r="E1" s="151"/>
      <c r="F1" s="151"/>
      <c r="G1" s="151"/>
      <c r="H1" s="151"/>
      <c r="I1" s="151"/>
      <c r="J1" s="151"/>
    </row>
    <row r="2" spans="1:10">
      <c r="A2" s="68"/>
      <c r="B2" s="68"/>
      <c r="C2" s="151"/>
      <c r="D2" s="151"/>
      <c r="E2" s="151"/>
      <c r="F2" s="151"/>
      <c r="G2" s="151"/>
      <c r="H2" s="151"/>
      <c r="I2" s="151"/>
      <c r="J2" s="151"/>
    </row>
    <row r="3" spans="1:10">
      <c r="A3" s="11" t="s">
        <v>290</v>
      </c>
      <c r="B3" s="11"/>
      <c r="C3" s="151"/>
      <c r="D3" s="151"/>
      <c r="E3" s="151"/>
      <c r="F3" s="151"/>
      <c r="G3" s="151"/>
      <c r="H3" s="151"/>
      <c r="I3" s="151"/>
      <c r="J3" s="151"/>
    </row>
    <row r="4" spans="1:10" ht="13.5" thickBot="1">
      <c r="A4" s="152"/>
      <c r="B4" s="153"/>
      <c r="C4" s="151"/>
      <c r="D4" s="151"/>
      <c r="E4" s="151"/>
      <c r="F4" s="151"/>
      <c r="G4" s="151"/>
      <c r="H4" s="151"/>
      <c r="I4" s="151"/>
      <c r="J4" s="151"/>
    </row>
    <row r="5" spans="1:10" ht="13.5" thickBot="1">
      <c r="A5" s="154" t="s">
        <v>291</v>
      </c>
      <c r="B5" s="155">
        <f>B9+B13+B17+B21+B30+B36+B43</f>
        <v>80761380</v>
      </c>
      <c r="C5" s="156"/>
      <c r="D5" s="151"/>
      <c r="E5" s="151"/>
      <c r="F5" s="151"/>
      <c r="G5" s="151"/>
      <c r="H5" s="151"/>
      <c r="I5" s="151"/>
      <c r="J5" s="151"/>
    </row>
    <row r="6" spans="1:10">
      <c r="A6" s="157"/>
      <c r="B6" s="158"/>
      <c r="C6" s="151"/>
      <c r="D6" s="151"/>
      <c r="E6" s="151"/>
      <c r="F6" s="151"/>
      <c r="G6" s="151"/>
      <c r="H6" s="151"/>
      <c r="I6" s="151"/>
      <c r="J6" s="151"/>
    </row>
    <row r="7" spans="1:10">
      <c r="A7" s="159" t="s">
        <v>292</v>
      </c>
      <c r="B7" s="158"/>
      <c r="C7" s="151"/>
      <c r="D7" s="151"/>
      <c r="E7" s="151"/>
      <c r="F7" s="151"/>
      <c r="G7" s="151"/>
      <c r="H7" s="151"/>
      <c r="I7" s="151"/>
      <c r="J7" s="151"/>
    </row>
    <row r="8" spans="1:10">
      <c r="A8" s="68"/>
      <c r="B8" s="160"/>
      <c r="C8" s="151"/>
      <c r="D8" s="151"/>
      <c r="E8" s="151"/>
      <c r="F8" s="151"/>
      <c r="G8" s="151"/>
      <c r="H8" s="151"/>
      <c r="I8" s="151"/>
      <c r="J8" s="151"/>
    </row>
    <row r="9" spans="1:10">
      <c r="A9" s="161" t="s">
        <v>293</v>
      </c>
      <c r="B9" s="162">
        <f>SUM(B10:B11)</f>
        <v>14884400</v>
      </c>
      <c r="C9" s="151"/>
      <c r="D9" s="151"/>
      <c r="E9" s="151"/>
      <c r="F9" s="151"/>
      <c r="G9" s="151"/>
      <c r="H9" s="151"/>
      <c r="I9" s="151"/>
      <c r="J9" s="151"/>
    </row>
    <row r="10" spans="1:10">
      <c r="A10" s="163" t="s">
        <v>294</v>
      </c>
      <c r="B10" s="160">
        <v>11720000</v>
      </c>
      <c r="C10" s="151"/>
      <c r="D10" s="164"/>
      <c r="E10" s="164"/>
      <c r="F10" s="151"/>
      <c r="G10" s="151"/>
      <c r="H10" s="151"/>
      <c r="I10" s="151"/>
      <c r="J10" s="151"/>
    </row>
    <row r="11" spans="1:10">
      <c r="A11" s="68" t="s">
        <v>295</v>
      </c>
      <c r="B11" s="160">
        <f>B10*0.27</f>
        <v>3164400</v>
      </c>
      <c r="C11" s="151"/>
      <c r="D11" s="164"/>
      <c r="E11" s="164"/>
      <c r="F11" s="151"/>
      <c r="G11" s="151"/>
      <c r="H11" s="151"/>
      <c r="I11" s="151"/>
      <c r="J11" s="151"/>
    </row>
    <row r="12" spans="1:10">
      <c r="A12" s="68"/>
      <c r="B12" s="160"/>
      <c r="C12" s="151"/>
      <c r="D12" s="164"/>
      <c r="E12" s="164"/>
      <c r="F12" s="151"/>
      <c r="G12" s="151"/>
      <c r="H12" s="151"/>
      <c r="I12" s="151"/>
      <c r="J12" s="151"/>
    </row>
    <row r="13" spans="1:10">
      <c r="A13" s="165" t="s">
        <v>296</v>
      </c>
      <c r="B13" s="162">
        <f>B14+B15</f>
        <v>457200</v>
      </c>
      <c r="C13" s="151"/>
      <c r="D13" s="164"/>
      <c r="E13" s="164"/>
      <c r="F13" s="151"/>
      <c r="G13" s="151"/>
      <c r="H13" s="151"/>
      <c r="I13" s="151"/>
      <c r="J13" s="151"/>
    </row>
    <row r="14" spans="1:10">
      <c r="A14" s="68" t="s">
        <v>297</v>
      </c>
      <c r="B14" s="160">
        <v>360000</v>
      </c>
      <c r="C14" s="151"/>
      <c r="D14" s="164"/>
      <c r="E14" s="164"/>
      <c r="F14" s="151"/>
      <c r="G14" s="151"/>
      <c r="H14" s="151"/>
      <c r="I14" s="151"/>
      <c r="J14" s="151"/>
    </row>
    <row r="15" spans="1:10">
      <c r="A15" s="68" t="s">
        <v>298</v>
      </c>
      <c r="B15" s="160">
        <f>B14*0.27</f>
        <v>97200</v>
      </c>
      <c r="C15" s="166"/>
      <c r="D15" s="166"/>
      <c r="E15" s="166"/>
      <c r="F15" s="166"/>
      <c r="G15" s="166"/>
      <c r="H15" s="166"/>
      <c r="I15" s="166"/>
      <c r="J15" s="151"/>
    </row>
    <row r="16" spans="1:10">
      <c r="A16" s="68"/>
      <c r="B16" s="160"/>
      <c r="C16" s="166"/>
      <c r="D16" s="166"/>
      <c r="E16" s="166"/>
      <c r="F16" s="166"/>
      <c r="G16" s="166"/>
      <c r="H16" s="166"/>
      <c r="I16" s="166"/>
      <c r="J16" s="151"/>
    </row>
    <row r="17" spans="1:10">
      <c r="A17" s="165" t="s">
        <v>299</v>
      </c>
      <c r="B17" s="162">
        <f>B18+B19</f>
        <v>190500</v>
      </c>
      <c r="C17" s="151"/>
      <c r="D17" s="151"/>
      <c r="E17" s="151"/>
      <c r="F17" s="151"/>
      <c r="G17" s="151"/>
      <c r="H17" s="151"/>
      <c r="I17" s="151"/>
      <c r="J17" s="151"/>
    </row>
    <row r="18" spans="1:10">
      <c r="A18" s="68" t="s">
        <v>297</v>
      </c>
      <c r="B18" s="160">
        <v>150000</v>
      </c>
      <c r="C18" s="151"/>
      <c r="D18" s="151"/>
      <c r="E18" s="151"/>
      <c r="F18" s="151"/>
      <c r="G18" s="151"/>
      <c r="H18" s="151"/>
      <c r="I18" s="151"/>
      <c r="J18" s="151"/>
    </row>
    <row r="19" spans="1:10">
      <c r="A19" s="68" t="s">
        <v>298</v>
      </c>
      <c r="B19" s="160">
        <f>B18*0.27</f>
        <v>40500</v>
      </c>
      <c r="C19" s="151"/>
      <c r="D19" s="151"/>
      <c r="E19" s="151"/>
      <c r="F19" s="151"/>
      <c r="G19" s="151"/>
      <c r="H19" s="151"/>
      <c r="I19" s="151"/>
      <c r="J19" s="151"/>
    </row>
    <row r="20" spans="1:10">
      <c r="A20" s="68"/>
      <c r="B20" s="160"/>
      <c r="C20" s="151"/>
      <c r="D20" s="151"/>
      <c r="E20" s="151"/>
      <c r="F20" s="151"/>
      <c r="G20" s="151"/>
      <c r="H20" s="151"/>
      <c r="I20" s="151"/>
      <c r="J20" s="151"/>
    </row>
    <row r="21" spans="1:10">
      <c r="A21" s="165" t="s">
        <v>300</v>
      </c>
      <c r="B21" s="162">
        <f>SUBTOTAL(9,B22:B28)</f>
        <v>18977550</v>
      </c>
      <c r="C21" s="151"/>
      <c r="D21" s="151"/>
      <c r="E21" s="151"/>
      <c r="F21" s="151"/>
      <c r="G21" s="151"/>
      <c r="H21" s="151"/>
      <c r="I21" s="151"/>
      <c r="J21" s="151"/>
    </row>
    <row r="22" spans="1:10">
      <c r="A22" s="68" t="s">
        <v>301</v>
      </c>
      <c r="B22" s="160">
        <v>600000</v>
      </c>
      <c r="C22" s="167"/>
      <c r="D22" s="151"/>
      <c r="E22" s="151"/>
      <c r="F22" s="151"/>
      <c r="G22" s="151"/>
      <c r="H22" s="151"/>
      <c r="I22" s="151"/>
      <c r="J22" s="151"/>
    </row>
    <row r="23" spans="1:10">
      <c r="A23" s="68" t="s">
        <v>302</v>
      </c>
      <c r="B23" s="160">
        <v>3580000</v>
      </c>
      <c r="C23" s="151"/>
      <c r="D23" s="168"/>
      <c r="E23" s="151"/>
      <c r="F23" s="151"/>
      <c r="G23" s="151"/>
      <c r="H23" s="151"/>
      <c r="I23" s="151"/>
      <c r="J23" s="151"/>
    </row>
    <row r="24" spans="1:10">
      <c r="A24" s="68" t="s">
        <v>303</v>
      </c>
      <c r="B24" s="160">
        <v>10500000</v>
      </c>
      <c r="C24" s="151"/>
      <c r="D24" s="151"/>
      <c r="E24" s="151"/>
      <c r="F24" s="151"/>
      <c r="G24" s="151"/>
      <c r="H24" s="151"/>
      <c r="I24" s="151"/>
      <c r="J24" s="151"/>
    </row>
    <row r="25" spans="1:10">
      <c r="A25" s="68" t="s">
        <v>304</v>
      </c>
      <c r="B25" s="160">
        <f>60000*38+400000</f>
        <v>2680000</v>
      </c>
      <c r="C25" s="151"/>
      <c r="D25" s="151"/>
      <c r="E25" s="151"/>
      <c r="F25" s="151"/>
      <c r="G25" s="151"/>
      <c r="H25" s="151"/>
      <c r="I25" s="151"/>
      <c r="J25" s="151"/>
    </row>
    <row r="26" spans="1:10">
      <c r="A26" s="68" t="s">
        <v>305</v>
      </c>
      <c r="B26" s="160">
        <v>335000</v>
      </c>
      <c r="C26" s="151"/>
      <c r="D26" s="151"/>
      <c r="E26" s="151"/>
      <c r="F26" s="151"/>
      <c r="G26" s="151"/>
      <c r="H26" s="151"/>
      <c r="I26" s="151"/>
      <c r="J26" s="151"/>
    </row>
    <row r="27" spans="1:10">
      <c r="A27" s="68" t="s">
        <v>306</v>
      </c>
      <c r="B27" s="160">
        <v>50000</v>
      </c>
      <c r="C27" s="151"/>
      <c r="D27" s="151"/>
      <c r="E27" s="151"/>
      <c r="F27" s="151"/>
      <c r="G27" s="151"/>
      <c r="H27" s="151"/>
      <c r="I27" s="151"/>
      <c r="J27" s="151"/>
    </row>
    <row r="28" spans="1:10">
      <c r="A28" s="68" t="s">
        <v>307</v>
      </c>
      <c r="B28" s="160">
        <f>(B22+B27+B23+B26)*0.27</f>
        <v>1232550</v>
      </c>
      <c r="C28" s="151"/>
      <c r="D28" s="151"/>
      <c r="E28" s="151"/>
      <c r="F28" s="151"/>
      <c r="G28" s="151"/>
      <c r="H28" s="151"/>
      <c r="I28" s="151"/>
      <c r="J28" s="151"/>
    </row>
    <row r="29" spans="1:10">
      <c r="A29" s="68"/>
      <c r="B29" s="160"/>
      <c r="C29" s="151"/>
      <c r="D29" s="151"/>
      <c r="E29" s="151"/>
      <c r="F29" s="151"/>
      <c r="G29" s="151"/>
      <c r="H29" s="151"/>
      <c r="I29" s="151"/>
      <c r="J29" s="151"/>
    </row>
    <row r="30" spans="1:10">
      <c r="A30" s="161" t="s">
        <v>308</v>
      </c>
      <c r="B30" s="162">
        <f>B31+B32</f>
        <v>3634600</v>
      </c>
      <c r="C30" s="151"/>
      <c r="D30" s="151"/>
      <c r="E30" s="151"/>
      <c r="F30" s="151"/>
      <c r="G30" s="151"/>
      <c r="H30" s="151"/>
      <c r="I30" s="151"/>
      <c r="J30" s="151"/>
    </row>
    <row r="31" spans="1:10">
      <c r="A31" s="68" t="s">
        <v>309</v>
      </c>
      <c r="B31" s="160">
        <v>500000</v>
      </c>
      <c r="C31" s="151"/>
      <c r="D31" s="151"/>
      <c r="E31" s="151"/>
      <c r="F31" s="151"/>
      <c r="G31" s="151"/>
      <c r="H31" s="151"/>
      <c r="I31" s="151"/>
      <c r="J31" s="151"/>
    </row>
    <row r="32" spans="1:10">
      <c r="A32" s="68" t="s">
        <v>310</v>
      </c>
      <c r="B32" s="160">
        <f>16*168800+110800+240000+83000</f>
        <v>3134600</v>
      </c>
      <c r="C32" s="151"/>
      <c r="D32" s="151"/>
      <c r="E32" s="151"/>
      <c r="F32" s="151"/>
      <c r="G32" s="151"/>
      <c r="H32" s="151"/>
      <c r="I32" s="151"/>
      <c r="J32" s="151"/>
    </row>
    <row r="33" spans="1:10">
      <c r="A33" s="68"/>
      <c r="B33" s="160"/>
      <c r="C33" s="151"/>
      <c r="D33" s="151"/>
      <c r="E33" s="151"/>
      <c r="F33" s="151"/>
      <c r="G33" s="151"/>
      <c r="H33" s="151"/>
      <c r="I33" s="151"/>
      <c r="J33" s="151"/>
    </row>
    <row r="34" spans="1:10">
      <c r="A34" s="169" t="s">
        <v>311</v>
      </c>
      <c r="B34" s="160"/>
      <c r="C34" s="151"/>
      <c r="D34" s="151"/>
      <c r="E34" s="151"/>
      <c r="F34" s="151"/>
      <c r="G34" s="151"/>
      <c r="H34" s="151"/>
      <c r="I34" s="151"/>
      <c r="J34" s="151"/>
    </row>
    <row r="35" spans="1:10">
      <c r="A35" s="68"/>
      <c r="B35" s="160"/>
      <c r="C35" s="151"/>
      <c r="D35" s="151"/>
      <c r="E35" s="151"/>
      <c r="F35" s="151"/>
      <c r="G35" s="151"/>
      <c r="H35" s="151"/>
      <c r="I35" s="151"/>
      <c r="J35" s="151"/>
    </row>
    <row r="36" spans="1:10" ht="21.75" customHeight="1">
      <c r="A36" s="170" t="s">
        <v>312</v>
      </c>
      <c r="B36" s="171">
        <f>SUM(B37:B39)</f>
        <v>14744020</v>
      </c>
      <c r="C36" s="151"/>
      <c r="D36" s="151"/>
      <c r="E36" s="151"/>
      <c r="F36" s="151"/>
      <c r="G36" s="151"/>
      <c r="H36" s="151"/>
      <c r="I36" s="151"/>
      <c r="J36" s="151"/>
    </row>
    <row r="37" spans="1:10">
      <c r="A37" s="68" t="s">
        <v>313</v>
      </c>
      <c r="B37" s="172">
        <v>13500000</v>
      </c>
      <c r="C37" s="151"/>
      <c r="D37" s="151"/>
      <c r="E37" s="151"/>
      <c r="F37" s="151"/>
      <c r="G37" s="151"/>
      <c r="H37" s="151"/>
      <c r="I37" s="151"/>
      <c r="J37" s="151"/>
    </row>
    <row r="38" spans="1:10">
      <c r="A38" s="68" t="s">
        <v>314</v>
      </c>
      <c r="B38" s="172">
        <v>1000000</v>
      </c>
      <c r="C38" s="151"/>
      <c r="D38" s="151"/>
      <c r="E38" s="151"/>
      <c r="F38" s="151"/>
      <c r="G38" s="151"/>
      <c r="H38" s="151"/>
      <c r="I38" s="151"/>
      <c r="J38" s="151"/>
    </row>
    <row r="39" spans="1:10">
      <c r="A39" s="68" t="s">
        <v>315</v>
      </c>
      <c r="B39" s="172">
        <v>244020</v>
      </c>
      <c r="C39" s="151"/>
      <c r="D39" s="151"/>
      <c r="E39" s="151"/>
      <c r="F39" s="151"/>
      <c r="G39" s="151"/>
      <c r="H39" s="151"/>
      <c r="I39" s="151"/>
      <c r="J39" s="151"/>
    </row>
    <row r="40" spans="1:10">
      <c r="A40" s="68"/>
      <c r="B40" s="160"/>
      <c r="C40" s="151"/>
      <c r="D40" s="151"/>
      <c r="E40" s="151"/>
      <c r="F40" s="151"/>
      <c r="G40" s="151"/>
      <c r="H40" s="151"/>
      <c r="I40" s="151"/>
      <c r="J40" s="151"/>
    </row>
    <row r="41" spans="1:10">
      <c r="A41" s="169" t="s">
        <v>316</v>
      </c>
      <c r="B41" s="160"/>
      <c r="C41" s="151"/>
      <c r="D41" s="151"/>
      <c r="E41" s="151"/>
      <c r="F41" s="151"/>
      <c r="G41" s="151"/>
      <c r="H41" s="151"/>
      <c r="I41" s="151"/>
      <c r="J41" s="151"/>
    </row>
    <row r="42" spans="1:10">
      <c r="A42" s="68"/>
      <c r="B42" s="160"/>
      <c r="C42" s="151"/>
      <c r="D42" s="151"/>
      <c r="E42" s="151"/>
      <c r="F42" s="151"/>
      <c r="G42" s="151"/>
      <c r="H42" s="151"/>
      <c r="I42" s="151"/>
      <c r="J42" s="151"/>
    </row>
    <row r="43" spans="1:10">
      <c r="A43" s="173" t="s">
        <v>317</v>
      </c>
      <c r="B43" s="174">
        <f>SUBTOTAL(9,B44:B48)</f>
        <v>27873110</v>
      </c>
      <c r="C43" s="151"/>
      <c r="D43" s="151"/>
      <c r="E43" s="151"/>
      <c r="F43" s="151"/>
      <c r="G43" s="151"/>
      <c r="H43" s="151"/>
      <c r="I43" s="151"/>
      <c r="J43" s="151"/>
    </row>
    <row r="44" spans="1:10">
      <c r="A44" s="68" t="s">
        <v>318</v>
      </c>
      <c r="B44" s="160">
        <f>9500000</f>
        <v>9500000</v>
      </c>
      <c r="C44" s="175"/>
      <c r="D44" s="175"/>
      <c r="E44" s="151"/>
      <c r="F44" s="151"/>
      <c r="G44" s="151"/>
      <c r="H44" s="151"/>
      <c r="I44" s="151"/>
      <c r="J44" s="151"/>
    </row>
    <row r="45" spans="1:10">
      <c r="A45" s="68" t="s">
        <v>319</v>
      </c>
      <c r="B45" s="160">
        <v>13300000</v>
      </c>
      <c r="C45" s="151"/>
      <c r="D45" s="151"/>
      <c r="E45" s="151"/>
      <c r="F45" s="151"/>
      <c r="G45" s="151"/>
      <c r="H45" s="151"/>
      <c r="I45" s="151"/>
      <c r="J45" s="151"/>
    </row>
    <row r="46" spans="1:10">
      <c r="A46" s="68" t="s">
        <v>320</v>
      </c>
      <c r="B46" s="160">
        <v>533000</v>
      </c>
      <c r="C46" s="151"/>
      <c r="D46" s="151"/>
      <c r="E46" s="151"/>
      <c r="F46" s="151"/>
      <c r="G46" s="151"/>
      <c r="H46" s="151"/>
      <c r="I46" s="151"/>
      <c r="J46" s="151"/>
    </row>
    <row r="47" spans="1:10">
      <c r="A47" s="68" t="s">
        <v>321</v>
      </c>
      <c r="B47" s="160">
        <f>260000</f>
        <v>260000</v>
      </c>
      <c r="C47" s="151"/>
      <c r="D47" s="151"/>
      <c r="E47" s="151"/>
      <c r="F47" s="151"/>
      <c r="G47" s="151"/>
      <c r="H47" s="151"/>
      <c r="I47" s="151"/>
      <c r="J47" s="151"/>
    </row>
    <row r="48" spans="1:10">
      <c r="A48" s="68" t="s">
        <v>298</v>
      </c>
      <c r="B48" s="160">
        <f>B44*0.05+(B45+B46+B47)*0.27</f>
        <v>4280110</v>
      </c>
      <c r="C48" s="151"/>
      <c r="D48" s="175"/>
      <c r="E48" s="151"/>
      <c r="F48" s="151"/>
      <c r="G48" s="151"/>
      <c r="H48" s="151"/>
      <c r="I48" s="151"/>
      <c r="J48" s="151"/>
    </row>
    <row r="49" spans="1:13">
      <c r="A49" s="68"/>
      <c r="B49" s="160"/>
      <c r="C49" s="151"/>
      <c r="D49" s="175"/>
      <c r="E49" s="151"/>
      <c r="F49" s="151"/>
      <c r="G49" s="151"/>
      <c r="H49" s="151"/>
      <c r="I49" s="151"/>
      <c r="J49" s="151"/>
    </row>
    <row r="50" spans="1:13">
      <c r="A50" s="68"/>
      <c r="B50" s="160"/>
      <c r="C50" s="151"/>
      <c r="D50" s="175"/>
      <c r="E50" s="151"/>
      <c r="F50" s="151"/>
      <c r="G50" s="151"/>
      <c r="H50" s="151"/>
      <c r="I50" s="151"/>
      <c r="J50" s="151"/>
    </row>
    <row r="51" spans="1:13">
      <c r="A51" s="68"/>
      <c r="B51" s="160"/>
      <c r="C51" s="151"/>
      <c r="D51" s="175"/>
      <c r="E51" s="151"/>
      <c r="F51" s="151"/>
      <c r="G51" s="151"/>
      <c r="H51" s="151"/>
      <c r="I51" s="151"/>
      <c r="J51" s="151"/>
    </row>
    <row r="52" spans="1:13">
      <c r="A52" s="68"/>
      <c r="B52" s="160"/>
      <c r="C52" s="151"/>
      <c r="D52" s="175"/>
      <c r="E52" s="151"/>
      <c r="F52" s="151"/>
      <c r="G52" s="151"/>
      <c r="H52" s="151"/>
      <c r="I52" s="151"/>
      <c r="J52" s="151"/>
    </row>
    <row r="53" spans="1:13">
      <c r="A53" s="68"/>
      <c r="B53" s="160"/>
      <c r="C53" s="151"/>
      <c r="D53" s="175"/>
      <c r="E53" s="151"/>
      <c r="F53" s="151"/>
      <c r="G53" s="151"/>
      <c r="H53" s="151"/>
      <c r="I53" s="151"/>
      <c r="J53" s="151"/>
    </row>
    <row r="54" spans="1:13">
      <c r="A54" s="68"/>
      <c r="B54" s="160"/>
      <c r="C54" s="151"/>
      <c r="D54" s="175"/>
      <c r="E54" s="151"/>
      <c r="F54" s="151"/>
      <c r="G54" s="151"/>
      <c r="H54" s="151"/>
      <c r="I54" s="151"/>
      <c r="J54" s="151"/>
    </row>
    <row r="55" spans="1:13" ht="13.5" thickBot="1">
      <c r="A55" s="68"/>
      <c r="B55" s="160"/>
      <c r="C55" s="151"/>
      <c r="D55" s="175"/>
      <c r="E55" s="151"/>
      <c r="F55" s="151"/>
      <c r="G55" s="151"/>
      <c r="H55" s="151"/>
      <c r="I55" s="151"/>
      <c r="J55" s="151"/>
    </row>
    <row r="56" spans="1:13" ht="13.5" thickBot="1">
      <c r="A56" s="176" t="s">
        <v>322</v>
      </c>
      <c r="B56" s="177">
        <f>B68+B60</f>
        <v>9337980</v>
      </c>
      <c r="C56" s="151"/>
      <c r="D56" s="151"/>
      <c r="E56" s="151"/>
      <c r="F56" s="151"/>
      <c r="G56" s="151"/>
      <c r="H56" s="151"/>
      <c r="I56" s="151"/>
      <c r="M56" s="2"/>
    </row>
    <row r="57" spans="1:13">
      <c r="A57" s="157"/>
      <c r="B57" s="178"/>
      <c r="C57" s="151"/>
      <c r="D57" s="151"/>
      <c r="E57" s="151"/>
      <c r="F57" s="151"/>
      <c r="G57" s="151"/>
      <c r="H57" s="151"/>
      <c r="I57" s="151"/>
      <c r="M57" s="2"/>
    </row>
    <row r="58" spans="1:13">
      <c r="A58" s="159" t="s">
        <v>292</v>
      </c>
      <c r="B58" s="178"/>
      <c r="C58" s="151"/>
      <c r="D58" s="151"/>
      <c r="E58" s="151"/>
      <c r="F58" s="151"/>
      <c r="G58" s="151"/>
      <c r="H58" s="151"/>
      <c r="I58" s="151"/>
      <c r="M58" s="2"/>
    </row>
    <row r="59" spans="1:13">
      <c r="A59" s="68"/>
      <c r="B59" s="160"/>
      <c r="C59" s="151"/>
      <c r="D59" s="151"/>
      <c r="E59" s="151"/>
      <c r="F59" s="151"/>
      <c r="G59" s="151"/>
      <c r="H59" s="151"/>
      <c r="I59" s="151"/>
      <c r="M59" s="2"/>
    </row>
    <row r="60" spans="1:13">
      <c r="A60" s="165" t="s">
        <v>300</v>
      </c>
      <c r="B60" s="162">
        <f>SUM(B61:B64)</f>
        <v>5935980</v>
      </c>
      <c r="C60" s="151"/>
      <c r="D60" s="151"/>
      <c r="E60" s="151"/>
      <c r="F60" s="151"/>
      <c r="G60" s="151"/>
      <c r="H60" s="151"/>
      <c r="I60" s="151"/>
      <c r="M60" s="2"/>
    </row>
    <row r="61" spans="1:13">
      <c r="A61" s="68" t="s">
        <v>323</v>
      </c>
      <c r="B61" s="172">
        <f>3274000-100000</f>
        <v>3174000</v>
      </c>
      <c r="C61" s="151"/>
      <c r="D61" s="151"/>
      <c r="E61" s="151"/>
      <c r="F61" s="151"/>
      <c r="G61" s="151"/>
      <c r="H61" s="151"/>
      <c r="I61" s="151"/>
      <c r="M61" s="2"/>
    </row>
    <row r="62" spans="1:13">
      <c r="A62" s="68" t="s">
        <v>324</v>
      </c>
      <c r="B62" s="160">
        <v>300000</v>
      </c>
      <c r="C62" s="151"/>
      <c r="D62" s="151"/>
      <c r="E62" s="151"/>
      <c r="F62" s="151"/>
      <c r="G62" s="151"/>
      <c r="H62" s="151"/>
      <c r="I62" s="151"/>
      <c r="M62" s="2"/>
    </row>
    <row r="63" spans="1:13">
      <c r="A63" s="68" t="s">
        <v>325</v>
      </c>
      <c r="B63" s="160">
        <v>1200000</v>
      </c>
      <c r="C63" s="151"/>
      <c r="D63" s="151"/>
      <c r="E63" s="151"/>
      <c r="F63" s="151"/>
      <c r="G63" s="151"/>
      <c r="H63" s="151"/>
      <c r="I63" s="151"/>
      <c r="M63" s="2"/>
    </row>
    <row r="64" spans="1:13">
      <c r="A64" s="68" t="s">
        <v>307</v>
      </c>
      <c r="B64" s="160">
        <f>B62*0.27+B63*0.27+B61*0.27</f>
        <v>1261980</v>
      </c>
      <c r="C64" s="151"/>
      <c r="D64" s="151"/>
      <c r="E64" s="151"/>
      <c r="F64" s="151"/>
      <c r="G64" s="151"/>
      <c r="H64" s="151"/>
      <c r="I64" s="151"/>
      <c r="M64" s="2"/>
    </row>
    <row r="65" spans="1:13">
      <c r="A65" s="68"/>
      <c r="B65" s="160"/>
      <c r="C65" s="151"/>
      <c r="D65" s="151"/>
      <c r="E65" s="151"/>
      <c r="F65" s="151"/>
      <c r="G65" s="151"/>
      <c r="H65" s="151"/>
      <c r="I65" s="151"/>
      <c r="M65" s="2"/>
    </row>
    <row r="66" spans="1:13">
      <c r="A66" s="169" t="s">
        <v>311</v>
      </c>
      <c r="B66" s="160"/>
      <c r="C66" s="151"/>
      <c r="D66" s="151"/>
      <c r="E66" s="151"/>
      <c r="F66" s="151"/>
      <c r="G66" s="151"/>
      <c r="H66" s="151"/>
      <c r="I66" s="151"/>
      <c r="M66" s="2"/>
    </row>
    <row r="67" spans="1:13">
      <c r="A67" s="68"/>
      <c r="B67" s="160"/>
      <c r="C67" s="151"/>
      <c r="D67" s="151"/>
      <c r="E67" s="151"/>
      <c r="F67" s="151"/>
      <c r="G67" s="151"/>
      <c r="H67" s="151"/>
      <c r="I67" s="151"/>
      <c r="M67" s="2"/>
    </row>
    <row r="68" spans="1:13" ht="21">
      <c r="A68" s="170" t="s">
        <v>312</v>
      </c>
      <c r="B68" s="179">
        <f>SUM(B69:B71)</f>
        <v>3402000</v>
      </c>
      <c r="C68" s="151"/>
      <c r="D68" s="151"/>
      <c r="E68" s="151"/>
      <c r="F68" s="151"/>
      <c r="G68" s="151"/>
      <c r="H68" s="151"/>
      <c r="I68" s="151"/>
      <c r="M68" s="2"/>
    </row>
    <row r="69" spans="1:13">
      <c r="A69" s="68" t="s">
        <v>326</v>
      </c>
      <c r="B69" s="160">
        <v>100000</v>
      </c>
      <c r="C69" s="151"/>
      <c r="D69" s="151"/>
      <c r="E69" s="151"/>
      <c r="F69" s="151"/>
      <c r="G69" s="151"/>
      <c r="H69" s="151"/>
      <c r="I69" s="151"/>
      <c r="M69" s="2"/>
    </row>
    <row r="70" spans="1:13">
      <c r="A70" s="180" t="s">
        <v>327</v>
      </c>
      <c r="B70" s="160">
        <v>2600000</v>
      </c>
      <c r="C70" s="151"/>
      <c r="D70" s="151"/>
      <c r="E70" s="151"/>
      <c r="F70" s="151"/>
      <c r="G70" s="151"/>
      <c r="H70" s="151"/>
      <c r="I70" s="151"/>
      <c r="M70" s="2"/>
    </row>
    <row r="71" spans="1:13">
      <c r="A71" s="68" t="s">
        <v>298</v>
      </c>
      <c r="B71" s="160">
        <f>(B70)*0.27</f>
        <v>702000</v>
      </c>
      <c r="C71" s="151"/>
      <c r="D71" s="151"/>
      <c r="E71" s="151"/>
      <c r="F71" s="151"/>
      <c r="G71" s="151"/>
      <c r="H71" s="151"/>
      <c r="I71" s="151"/>
      <c r="M71" s="2"/>
    </row>
    <row r="72" spans="1:13" ht="13.5" thickBot="1">
      <c r="A72" s="68"/>
      <c r="B72" s="160"/>
      <c r="C72" s="151"/>
      <c r="D72" s="151"/>
      <c r="E72" s="151"/>
      <c r="F72" s="151"/>
      <c r="G72" s="151"/>
      <c r="H72" s="151"/>
      <c r="I72" s="151"/>
      <c r="M72" s="2"/>
    </row>
    <row r="73" spans="1:13" ht="13.5" thickBot="1">
      <c r="A73" s="176" t="s">
        <v>328</v>
      </c>
      <c r="B73" s="181">
        <f>B77+B87+B82</f>
        <v>18218530</v>
      </c>
      <c r="C73" s="151"/>
      <c r="D73" s="151"/>
      <c r="E73" s="151"/>
      <c r="F73" s="151"/>
      <c r="G73" s="151"/>
      <c r="H73" s="151"/>
      <c r="I73" s="151"/>
      <c r="M73" s="2"/>
    </row>
    <row r="74" spans="1:13">
      <c r="A74" s="157"/>
      <c r="B74" s="158"/>
      <c r="C74" s="151"/>
      <c r="D74" s="151"/>
      <c r="E74" s="151"/>
      <c r="F74" s="151"/>
      <c r="G74" s="151"/>
      <c r="H74" s="151"/>
      <c r="I74" s="151"/>
      <c r="M74" s="2"/>
    </row>
    <row r="75" spans="1:13">
      <c r="A75" s="159" t="s">
        <v>292</v>
      </c>
      <c r="B75" s="158"/>
      <c r="C75" s="151"/>
      <c r="D75" s="151"/>
      <c r="E75" s="151"/>
      <c r="F75" s="151"/>
      <c r="G75" s="151"/>
      <c r="H75" s="151"/>
      <c r="I75" s="151"/>
      <c r="M75" s="2"/>
    </row>
    <row r="76" spans="1:13">
      <c r="A76" s="157"/>
      <c r="B76" s="158"/>
      <c r="C76" s="151"/>
      <c r="D76" s="151"/>
      <c r="E76" s="151"/>
      <c r="F76" s="151"/>
      <c r="G76" s="151"/>
      <c r="H76" s="151"/>
      <c r="I76" s="151"/>
      <c r="M76" s="2"/>
    </row>
    <row r="77" spans="1:13">
      <c r="A77" s="165" t="s">
        <v>329</v>
      </c>
      <c r="B77" s="162">
        <f>SUM(B78:B80)</f>
        <v>3365500</v>
      </c>
      <c r="C77" s="151"/>
      <c r="D77" s="151"/>
      <c r="E77" s="151"/>
      <c r="F77" s="151"/>
      <c r="G77" s="151"/>
      <c r="H77" s="151"/>
      <c r="I77" s="151"/>
      <c r="M77" s="2"/>
    </row>
    <row r="78" spans="1:13">
      <c r="A78" s="182" t="s">
        <v>330</v>
      </c>
      <c r="B78" s="160">
        <v>450000</v>
      </c>
      <c r="C78" s="151"/>
      <c r="D78" s="151"/>
      <c r="E78" s="151"/>
      <c r="F78" s="151"/>
      <c r="G78" s="151"/>
      <c r="H78" s="151"/>
      <c r="I78" s="151"/>
      <c r="M78" s="2"/>
    </row>
    <row r="79" spans="1:13">
      <c r="A79" s="68" t="s">
        <v>331</v>
      </c>
      <c r="B79" s="160">
        <v>2200000</v>
      </c>
      <c r="C79" s="151"/>
      <c r="D79" s="151"/>
      <c r="E79" s="151"/>
      <c r="F79" s="151"/>
      <c r="G79" s="151"/>
      <c r="H79" s="151"/>
      <c r="I79" s="151"/>
      <c r="M79" s="2"/>
    </row>
    <row r="80" spans="1:13">
      <c r="A80" s="68" t="s">
        <v>307</v>
      </c>
      <c r="B80" s="160">
        <f>(B79+B78)*0.27</f>
        <v>715500</v>
      </c>
      <c r="C80" s="151"/>
      <c r="D80" s="151"/>
      <c r="E80" s="151"/>
      <c r="F80" s="151"/>
      <c r="G80" s="151"/>
      <c r="H80" s="151"/>
      <c r="I80" s="151"/>
      <c r="M80" s="2"/>
    </row>
    <row r="81" spans="1:13">
      <c r="A81" s="68"/>
      <c r="B81" s="160"/>
      <c r="C81" s="151"/>
      <c r="D81" s="151"/>
      <c r="E81" s="151"/>
      <c r="F81" s="151"/>
      <c r="G81" s="151"/>
      <c r="H81" s="151"/>
      <c r="I81" s="151"/>
      <c r="M81" s="2"/>
    </row>
    <row r="82" spans="1:13">
      <c r="A82" s="165" t="s">
        <v>332</v>
      </c>
      <c r="B82" s="162">
        <f>SUM(B83:B85)</f>
        <v>14464410</v>
      </c>
      <c r="C82" s="151"/>
      <c r="D82" s="151"/>
      <c r="E82" s="151"/>
      <c r="F82" s="151"/>
      <c r="G82" s="151"/>
      <c r="H82" s="151"/>
      <c r="I82" s="151"/>
      <c r="M82" s="2"/>
    </row>
    <row r="83" spans="1:13">
      <c r="A83" s="68" t="s">
        <v>333</v>
      </c>
      <c r="B83" s="160">
        <v>10183000</v>
      </c>
      <c r="C83" s="151"/>
      <c r="D83" s="151"/>
      <c r="E83" s="151"/>
      <c r="F83" s="151"/>
      <c r="G83" s="151"/>
      <c r="H83" s="151"/>
      <c r="I83" s="151"/>
      <c r="M83" s="2"/>
    </row>
    <row r="84" spans="1:13">
      <c r="A84" s="68" t="s">
        <v>334</v>
      </c>
      <c r="B84" s="160">
        <f>B83*0.27</f>
        <v>2749410</v>
      </c>
      <c r="C84" s="151"/>
      <c r="D84" s="151"/>
      <c r="E84" s="151"/>
      <c r="F84" s="151"/>
      <c r="G84" s="151"/>
      <c r="H84" s="151"/>
      <c r="I84" s="151"/>
      <c r="M84" s="2"/>
    </row>
    <row r="85" spans="1:13">
      <c r="A85" s="68" t="s">
        <v>335</v>
      </c>
      <c r="B85" s="160">
        <f>1150000+382000</f>
        <v>1532000</v>
      </c>
      <c r="C85" s="151"/>
      <c r="D85" s="151"/>
      <c r="E85" s="151"/>
      <c r="F85" s="151"/>
      <c r="G85" s="151"/>
      <c r="H85" s="151"/>
      <c r="I85" s="151"/>
      <c r="M85" s="2"/>
    </row>
    <row r="86" spans="1:13">
      <c r="A86" s="68"/>
      <c r="B86" s="160"/>
      <c r="C86" s="151"/>
      <c r="D86" s="151"/>
      <c r="E86" s="151"/>
      <c r="F86" s="151"/>
      <c r="G86" s="151"/>
      <c r="H86" s="151"/>
      <c r="I86" s="151"/>
      <c r="M86" s="2"/>
    </row>
    <row r="87" spans="1:13">
      <c r="A87" s="165" t="s">
        <v>336</v>
      </c>
      <c r="B87" s="162">
        <f>B88+B89</f>
        <v>388620</v>
      </c>
      <c r="C87" s="151"/>
      <c r="D87" s="151"/>
      <c r="E87" s="151"/>
      <c r="F87" s="151"/>
      <c r="G87" s="151"/>
      <c r="H87" s="151"/>
      <c r="I87" s="151"/>
      <c r="M87" s="2"/>
    </row>
    <row r="88" spans="1:13">
      <c r="A88" s="68" t="s">
        <v>337</v>
      </c>
      <c r="B88" s="160">
        <v>306000</v>
      </c>
      <c r="C88" s="151"/>
      <c r="D88" s="151"/>
      <c r="E88" s="151"/>
      <c r="F88" s="151"/>
      <c r="G88" s="151"/>
      <c r="H88" s="151"/>
      <c r="I88" s="151"/>
      <c r="M88" s="2"/>
    </row>
    <row r="89" spans="1:13">
      <c r="A89" s="68" t="s">
        <v>338</v>
      </c>
      <c r="B89" s="160">
        <f>B88*0.27</f>
        <v>82620</v>
      </c>
      <c r="C89" s="151"/>
      <c r="D89" s="151"/>
      <c r="E89" s="151"/>
      <c r="F89" s="151"/>
      <c r="G89" s="151"/>
      <c r="H89" s="151"/>
      <c r="I89" s="151"/>
      <c r="M89" s="2"/>
    </row>
    <row r="90" spans="1:13">
      <c r="C90" s="151"/>
      <c r="D90" s="151"/>
      <c r="E90" s="151"/>
      <c r="F90" s="151"/>
      <c r="G90" s="151"/>
      <c r="H90" s="151"/>
      <c r="I90" s="151"/>
      <c r="M90" s="2"/>
    </row>
    <row r="91" spans="1:13">
      <c r="A91" s="183" t="s">
        <v>339</v>
      </c>
      <c r="B91" s="184">
        <f>B95+B99+B102</f>
        <v>15367210</v>
      </c>
      <c r="C91" s="151"/>
      <c r="D91" s="151"/>
      <c r="E91" s="151"/>
      <c r="F91" s="151"/>
      <c r="G91" s="151"/>
      <c r="H91" s="151"/>
      <c r="I91" s="151"/>
      <c r="M91" s="2"/>
    </row>
    <row r="92" spans="1:13">
      <c r="A92" s="185"/>
      <c r="B92" s="186"/>
      <c r="C92" s="151"/>
      <c r="D92" s="151"/>
      <c r="E92" s="151"/>
      <c r="F92" s="151"/>
      <c r="G92" s="151"/>
      <c r="H92" s="151"/>
      <c r="I92" s="151"/>
      <c r="M92" s="2"/>
    </row>
    <row r="93" spans="1:13">
      <c r="A93" s="187" t="s">
        <v>292</v>
      </c>
      <c r="B93" s="187"/>
      <c r="C93" s="151"/>
      <c r="D93" s="151"/>
      <c r="E93" s="151"/>
      <c r="F93" s="151"/>
      <c r="G93" s="151"/>
      <c r="H93" s="151"/>
      <c r="I93" s="151"/>
      <c r="M93" s="2"/>
    </row>
    <row r="94" spans="1:13">
      <c r="A94" s="188"/>
      <c r="B94" s="188"/>
      <c r="C94" s="151"/>
      <c r="D94" s="151"/>
      <c r="E94" s="151"/>
      <c r="F94" s="151"/>
      <c r="G94" s="151"/>
      <c r="H94" s="151"/>
      <c r="I94" s="151"/>
      <c r="M94" s="2"/>
    </row>
    <row r="95" spans="1:13">
      <c r="A95" s="189" t="s">
        <v>340</v>
      </c>
      <c r="B95" s="190">
        <f>B96+B97</f>
        <v>11027410</v>
      </c>
      <c r="C95" s="151"/>
      <c r="D95" s="151"/>
      <c r="E95" s="151"/>
      <c r="F95" s="151"/>
      <c r="G95" s="151"/>
      <c r="H95" s="151"/>
      <c r="I95" s="151"/>
      <c r="M95" s="2"/>
    </row>
    <row r="96" spans="1:13">
      <c r="A96" s="191" t="s">
        <v>337</v>
      </c>
      <c r="B96" s="192">
        <v>8683000</v>
      </c>
      <c r="C96" s="151"/>
      <c r="D96" s="151"/>
      <c r="E96" s="151"/>
      <c r="F96" s="151"/>
      <c r="G96" s="151"/>
      <c r="H96" s="151"/>
      <c r="I96" s="151"/>
      <c r="M96" s="2"/>
    </row>
    <row r="97" spans="1:13">
      <c r="A97" s="68" t="s">
        <v>338</v>
      </c>
      <c r="B97" s="193">
        <f>B96*0.27</f>
        <v>2344410</v>
      </c>
      <c r="C97" s="151"/>
      <c r="D97" s="151"/>
      <c r="E97" s="151"/>
      <c r="F97" s="151"/>
      <c r="G97" s="151"/>
      <c r="H97" s="151"/>
      <c r="I97" s="151"/>
      <c r="M97" s="2"/>
    </row>
    <row r="98" spans="1:13">
      <c r="A98" s="68"/>
      <c r="B98" s="193"/>
      <c r="C98" s="151"/>
      <c r="D98" s="151"/>
      <c r="E98" s="151"/>
      <c r="F98" s="151"/>
      <c r="G98" s="151"/>
      <c r="H98" s="151"/>
      <c r="I98" s="151"/>
      <c r="M98" s="2"/>
    </row>
    <row r="99" spans="1:13">
      <c r="A99" s="189" t="s">
        <v>341</v>
      </c>
      <c r="B99" s="194">
        <f>B100</f>
        <v>4035000</v>
      </c>
      <c r="C99" s="151"/>
      <c r="D99" s="151"/>
      <c r="E99" s="151"/>
      <c r="F99" s="151"/>
      <c r="G99" s="151"/>
      <c r="H99" s="151"/>
      <c r="I99" s="151"/>
      <c r="M99" s="2"/>
    </row>
    <row r="100" spans="1:13">
      <c r="A100" s="195" t="s">
        <v>342</v>
      </c>
      <c r="B100" s="193">
        <v>4035000</v>
      </c>
      <c r="C100" s="151"/>
      <c r="D100" s="151"/>
      <c r="E100" s="151"/>
      <c r="F100" s="151"/>
      <c r="G100" s="151"/>
      <c r="H100" s="151"/>
      <c r="I100" s="151"/>
      <c r="M100" s="2"/>
    </row>
    <row r="101" spans="1:13">
      <c r="A101" s="195"/>
      <c r="B101" s="193"/>
      <c r="C101" s="151"/>
      <c r="D101" s="151"/>
      <c r="E101" s="151"/>
      <c r="F101" s="151"/>
      <c r="G101" s="151"/>
      <c r="H101" s="151"/>
      <c r="I101" s="151"/>
      <c r="M101" s="2"/>
    </row>
    <row r="102" spans="1:13">
      <c r="A102" s="189" t="s">
        <v>343</v>
      </c>
      <c r="B102" s="194">
        <f>SUM(B103:B104)</f>
        <v>304800</v>
      </c>
      <c r="C102" s="151"/>
      <c r="D102" s="151"/>
      <c r="E102" s="151"/>
      <c r="F102" s="151"/>
      <c r="G102" s="151"/>
      <c r="H102" s="151"/>
      <c r="I102" s="151"/>
      <c r="M102" s="2"/>
    </row>
    <row r="103" spans="1:13">
      <c r="A103" s="196" t="s">
        <v>344</v>
      </c>
      <c r="B103" s="197">
        <v>240000</v>
      </c>
      <c r="C103" s="151"/>
      <c r="D103" s="151"/>
      <c r="E103" s="151"/>
      <c r="F103" s="151"/>
      <c r="G103" s="151"/>
      <c r="H103" s="151"/>
      <c r="I103" s="151"/>
      <c r="M103" s="2"/>
    </row>
    <row r="104" spans="1:13">
      <c r="A104" s="68" t="s">
        <v>338</v>
      </c>
      <c r="B104" s="197">
        <f>B103*0.27</f>
        <v>64800.000000000007</v>
      </c>
      <c r="C104" s="151"/>
      <c r="D104" s="151"/>
      <c r="E104" s="151"/>
      <c r="F104" s="151"/>
      <c r="G104" s="151"/>
      <c r="H104" s="151"/>
      <c r="I104" s="151"/>
      <c r="M104" s="2"/>
    </row>
    <row r="105" spans="1:13">
      <c r="B105" s="198"/>
      <c r="C105" s="151"/>
      <c r="D105" s="151"/>
      <c r="E105" s="151"/>
      <c r="F105" s="151"/>
      <c r="G105" s="151"/>
      <c r="H105" s="151"/>
      <c r="I105" s="151"/>
      <c r="M105" s="2"/>
    </row>
    <row r="106" spans="1:13">
      <c r="C106" s="151"/>
      <c r="D106" s="151"/>
      <c r="E106" s="151"/>
      <c r="F106" s="151"/>
      <c r="G106" s="151"/>
      <c r="H106" s="151"/>
      <c r="I106" s="151"/>
      <c r="M106" s="2"/>
    </row>
    <row r="107" spans="1:13">
      <c r="C107" s="151"/>
      <c r="D107" s="151"/>
      <c r="E107" s="151"/>
      <c r="F107" s="151"/>
      <c r="G107" s="151"/>
      <c r="H107" s="151"/>
      <c r="I107" s="151"/>
      <c r="M107" s="2"/>
    </row>
    <row r="108" spans="1:13">
      <c r="C108" s="151"/>
      <c r="D108" s="151"/>
      <c r="E108" s="151"/>
      <c r="F108" s="151"/>
      <c r="G108" s="151"/>
      <c r="H108" s="151"/>
      <c r="I108" s="151"/>
    </row>
    <row r="109" spans="1:13">
      <c r="C109" s="151"/>
      <c r="D109" s="151"/>
      <c r="E109" s="151"/>
      <c r="F109" s="151"/>
      <c r="G109" s="151"/>
      <c r="H109" s="151"/>
      <c r="I109" s="151"/>
    </row>
    <row r="110" spans="1:13">
      <c r="C110" s="151"/>
      <c r="D110" s="151"/>
      <c r="E110" s="151"/>
      <c r="F110" s="151"/>
      <c r="G110" s="151"/>
      <c r="H110" s="151"/>
      <c r="I110" s="151"/>
    </row>
    <row r="111" spans="1:13">
      <c r="C111" s="151"/>
      <c r="D111" s="151"/>
      <c r="E111" s="151"/>
      <c r="F111" s="151"/>
      <c r="G111" s="151"/>
      <c r="H111" s="151"/>
      <c r="I111" s="151"/>
    </row>
    <row r="112" spans="1:13">
      <c r="C112" s="151"/>
      <c r="D112" s="151"/>
      <c r="E112" s="151"/>
      <c r="F112" s="151"/>
      <c r="G112" s="151"/>
      <c r="H112" s="151"/>
      <c r="I112" s="151"/>
    </row>
    <row r="113" spans="3:9">
      <c r="C113" s="151"/>
      <c r="D113" s="151"/>
      <c r="E113" s="151"/>
      <c r="F113" s="151"/>
      <c r="G113" s="151"/>
      <c r="H113" s="151"/>
      <c r="I113" s="151"/>
    </row>
    <row r="114" spans="3:9">
      <c r="C114" s="151"/>
      <c r="D114" s="151"/>
      <c r="E114" s="151"/>
      <c r="F114" s="151"/>
      <c r="G114" s="151"/>
      <c r="H114" s="151"/>
      <c r="I114" s="151"/>
    </row>
    <row r="115" spans="3:9">
      <c r="C115" s="151"/>
      <c r="D115" s="151"/>
      <c r="E115" s="151"/>
      <c r="F115" s="151"/>
      <c r="G115" s="151"/>
      <c r="H115" s="151"/>
      <c r="I115" s="151"/>
    </row>
    <row r="116" spans="3:9">
      <c r="C116" s="151"/>
      <c r="D116" s="151"/>
      <c r="E116" s="151"/>
      <c r="F116" s="151"/>
      <c r="G116" s="151"/>
      <c r="H116" s="151"/>
      <c r="I116" s="151"/>
    </row>
    <row r="117" spans="3:9">
      <c r="C117" s="151"/>
      <c r="D117" s="151"/>
      <c r="E117" s="151"/>
      <c r="F117" s="151"/>
      <c r="G117" s="151"/>
      <c r="H117" s="151"/>
      <c r="I117" s="151"/>
    </row>
    <row r="118" spans="3:9">
      <c r="C118" s="151"/>
      <c r="D118" s="151"/>
      <c r="E118" s="151"/>
      <c r="F118" s="151"/>
      <c r="G118" s="151"/>
      <c r="H118" s="151"/>
      <c r="I118" s="151"/>
    </row>
    <row r="119" spans="3:9">
      <c r="C119" s="151"/>
      <c r="D119" s="151"/>
      <c r="E119" s="151"/>
      <c r="F119" s="151"/>
      <c r="G119" s="151"/>
      <c r="H119" s="151"/>
      <c r="I119" s="151"/>
    </row>
    <row r="120" spans="3:9">
      <c r="C120" s="151"/>
      <c r="D120" s="151"/>
      <c r="E120" s="151"/>
      <c r="F120" s="151"/>
      <c r="G120" s="151"/>
      <c r="H120" s="151"/>
      <c r="I120" s="151"/>
    </row>
    <row r="121" spans="3:9">
      <c r="C121" s="151"/>
      <c r="D121" s="151"/>
      <c r="E121" s="151"/>
      <c r="F121" s="151"/>
      <c r="G121" s="151"/>
      <c r="H121" s="151"/>
      <c r="I121" s="151"/>
    </row>
    <row r="122" spans="3:9">
      <c r="C122" s="151"/>
      <c r="D122" s="151"/>
      <c r="E122" s="151"/>
      <c r="F122" s="151"/>
      <c r="G122" s="151"/>
      <c r="H122" s="151"/>
      <c r="I122" s="151"/>
    </row>
    <row r="123" spans="3:9">
      <c r="C123" s="151"/>
      <c r="D123" s="151"/>
      <c r="E123" s="151"/>
      <c r="F123" s="151"/>
      <c r="G123" s="151"/>
      <c r="H123" s="151"/>
      <c r="I123" s="151"/>
    </row>
    <row r="124" spans="3:9">
      <c r="C124" s="151"/>
      <c r="D124" s="151"/>
      <c r="E124" s="151"/>
      <c r="F124" s="151"/>
      <c r="G124" s="151"/>
      <c r="H124" s="151"/>
      <c r="I124" s="151"/>
    </row>
    <row r="125" spans="3:9">
      <c r="C125" s="151"/>
      <c r="D125" s="151"/>
      <c r="E125" s="151"/>
      <c r="F125" s="151"/>
      <c r="G125" s="151"/>
      <c r="H125" s="151"/>
      <c r="I125" s="151"/>
    </row>
    <row r="126" spans="3:9">
      <c r="C126" s="151"/>
      <c r="D126" s="151"/>
      <c r="E126" s="151"/>
      <c r="F126" s="151"/>
      <c r="G126" s="151"/>
      <c r="H126" s="151"/>
      <c r="I126" s="151"/>
    </row>
    <row r="127" spans="3:9">
      <c r="C127" s="151"/>
      <c r="D127" s="151"/>
      <c r="E127" s="151"/>
      <c r="F127" s="151"/>
      <c r="G127" s="151"/>
      <c r="H127" s="151"/>
      <c r="I127" s="151"/>
    </row>
    <row r="128" spans="3:9">
      <c r="C128" s="151"/>
      <c r="D128" s="151"/>
      <c r="E128" s="151"/>
      <c r="F128" s="151"/>
      <c r="G128" s="151"/>
      <c r="H128" s="151"/>
      <c r="I128" s="151"/>
    </row>
    <row r="129" spans="3:9">
      <c r="C129" s="151"/>
      <c r="D129" s="151"/>
      <c r="E129" s="151"/>
      <c r="F129" s="151"/>
      <c r="G129" s="151"/>
      <c r="H129" s="151"/>
      <c r="I129" s="151"/>
    </row>
    <row r="130" spans="3:9">
      <c r="C130" s="151"/>
      <c r="D130" s="151"/>
      <c r="E130" s="151"/>
      <c r="F130" s="151"/>
      <c r="G130" s="151"/>
      <c r="H130" s="151"/>
      <c r="I130" s="151"/>
    </row>
    <row r="131" spans="3:9">
      <c r="C131" s="151"/>
      <c r="D131" s="151"/>
      <c r="E131" s="151"/>
      <c r="F131" s="151"/>
      <c r="G131" s="151"/>
      <c r="H131" s="151"/>
      <c r="I131" s="151"/>
    </row>
    <row r="132" spans="3:9">
      <c r="C132" s="151"/>
      <c r="D132" s="151"/>
      <c r="E132" s="151"/>
      <c r="F132" s="151"/>
      <c r="G132" s="151"/>
      <c r="H132" s="151"/>
      <c r="I132" s="151"/>
    </row>
    <row r="133" spans="3:9">
      <c r="C133" s="151"/>
      <c r="D133" s="151"/>
      <c r="E133" s="151"/>
      <c r="F133" s="151"/>
      <c r="G133" s="151"/>
      <c r="H133" s="151"/>
      <c r="I133" s="151"/>
    </row>
    <row r="134" spans="3:9">
      <c r="C134" s="151"/>
      <c r="D134" s="151"/>
      <c r="E134" s="151"/>
      <c r="F134" s="151"/>
      <c r="G134" s="151"/>
      <c r="H134" s="151"/>
      <c r="I134" s="151"/>
    </row>
    <row r="135" spans="3:9">
      <c r="C135" s="151"/>
      <c r="D135" s="151"/>
      <c r="E135" s="151"/>
      <c r="F135" s="151"/>
      <c r="G135" s="151"/>
      <c r="H135" s="151"/>
      <c r="I135" s="151"/>
    </row>
    <row r="136" spans="3:9">
      <c r="C136" s="151"/>
      <c r="D136" s="151"/>
      <c r="E136" s="151"/>
      <c r="F136" s="151"/>
      <c r="G136" s="151"/>
      <c r="H136" s="151"/>
      <c r="I136" s="151"/>
    </row>
    <row r="137" spans="3:9">
      <c r="C137" s="151"/>
      <c r="D137" s="151"/>
      <c r="E137" s="151"/>
      <c r="F137" s="151"/>
      <c r="G137" s="151"/>
      <c r="H137" s="151"/>
      <c r="I137" s="151"/>
    </row>
    <row r="138" spans="3:9">
      <c r="C138" s="151"/>
      <c r="D138" s="151"/>
      <c r="E138" s="151"/>
      <c r="F138" s="151"/>
      <c r="G138" s="151"/>
      <c r="H138" s="151"/>
      <c r="I138" s="151"/>
    </row>
    <row r="139" spans="3:9">
      <c r="C139" s="151"/>
      <c r="D139" s="151"/>
      <c r="E139" s="151"/>
      <c r="F139" s="151"/>
      <c r="G139" s="151"/>
      <c r="H139" s="151"/>
      <c r="I139" s="151"/>
    </row>
    <row r="140" spans="3:9">
      <c r="C140" s="151"/>
      <c r="D140" s="151"/>
      <c r="E140" s="151"/>
      <c r="F140" s="151"/>
      <c r="G140" s="151"/>
      <c r="H140" s="151"/>
      <c r="I140" s="151"/>
    </row>
    <row r="141" spans="3:9">
      <c r="C141" s="151"/>
      <c r="D141" s="151"/>
      <c r="E141" s="151"/>
      <c r="F141" s="151"/>
      <c r="G141" s="151"/>
      <c r="H141" s="151"/>
      <c r="I141" s="151"/>
    </row>
    <row r="142" spans="3:9">
      <c r="C142" s="151"/>
      <c r="D142" s="151"/>
      <c r="E142" s="151"/>
      <c r="F142" s="151"/>
      <c r="G142" s="151"/>
      <c r="H142" s="151"/>
      <c r="I142" s="151"/>
    </row>
    <row r="143" spans="3:9">
      <c r="C143" s="151"/>
      <c r="D143" s="151"/>
      <c r="E143" s="151"/>
      <c r="F143" s="151"/>
      <c r="G143" s="151"/>
      <c r="H143" s="151"/>
      <c r="I143" s="151"/>
    </row>
    <row r="144" spans="3:9">
      <c r="C144" s="151"/>
      <c r="D144" s="151"/>
      <c r="E144" s="151"/>
      <c r="F144" s="151"/>
      <c r="G144" s="151"/>
      <c r="H144" s="151"/>
      <c r="I144" s="151"/>
    </row>
    <row r="145" spans="3:9">
      <c r="C145" s="151"/>
      <c r="D145" s="151"/>
      <c r="E145" s="151"/>
      <c r="F145" s="151"/>
      <c r="G145" s="151"/>
      <c r="H145" s="151"/>
      <c r="I145" s="151"/>
    </row>
    <row r="146" spans="3:9">
      <c r="C146" s="151"/>
      <c r="D146" s="151"/>
      <c r="E146" s="151"/>
      <c r="F146" s="151"/>
      <c r="G146" s="151"/>
      <c r="H146" s="151"/>
      <c r="I146" s="151"/>
    </row>
    <row r="147" spans="3:9">
      <c r="C147" s="151"/>
      <c r="D147" s="151"/>
      <c r="E147" s="151"/>
      <c r="F147" s="151"/>
      <c r="G147" s="151"/>
      <c r="H147" s="151"/>
      <c r="I147" s="151"/>
    </row>
    <row r="148" spans="3:9">
      <c r="C148" s="151"/>
      <c r="D148" s="151"/>
      <c r="E148" s="151"/>
      <c r="F148" s="151"/>
      <c r="G148" s="151"/>
      <c r="H148" s="151"/>
      <c r="I148" s="151"/>
    </row>
    <row r="149" spans="3:9">
      <c r="C149" s="151"/>
      <c r="D149" s="151"/>
      <c r="E149" s="151"/>
      <c r="F149" s="151"/>
      <c r="G149" s="151"/>
      <c r="H149" s="151"/>
      <c r="I149" s="151"/>
    </row>
    <row r="150" spans="3:9">
      <c r="C150" s="151"/>
      <c r="D150" s="151"/>
      <c r="E150" s="151"/>
      <c r="F150" s="151"/>
      <c r="G150" s="151"/>
      <c r="H150" s="151"/>
      <c r="I150" s="151"/>
    </row>
    <row r="151" spans="3:9">
      <c r="C151" s="151"/>
      <c r="D151" s="151"/>
      <c r="E151" s="151"/>
      <c r="F151" s="151"/>
      <c r="G151" s="151"/>
      <c r="H151" s="151"/>
      <c r="I151" s="151"/>
    </row>
    <row r="152" spans="3:9">
      <c r="C152" s="151"/>
      <c r="D152" s="151"/>
      <c r="E152" s="151"/>
      <c r="F152" s="151"/>
      <c r="G152" s="151"/>
      <c r="H152" s="151"/>
      <c r="I152" s="151"/>
    </row>
    <row r="153" spans="3:9">
      <c r="C153" s="151"/>
      <c r="D153" s="151"/>
      <c r="E153" s="151"/>
      <c r="F153" s="151"/>
      <c r="G153" s="151"/>
      <c r="H153" s="151"/>
      <c r="I153" s="151"/>
    </row>
    <row r="154" spans="3:9">
      <c r="C154" s="151"/>
      <c r="D154" s="151"/>
      <c r="E154" s="151"/>
      <c r="F154" s="151"/>
      <c r="G154" s="151"/>
      <c r="H154" s="151"/>
      <c r="I154" s="151"/>
    </row>
    <row r="155" spans="3:9">
      <c r="C155" s="151"/>
      <c r="D155" s="151"/>
      <c r="E155" s="151"/>
      <c r="F155" s="151"/>
      <c r="G155" s="151"/>
      <c r="H155" s="151"/>
      <c r="I155" s="151"/>
    </row>
    <row r="156" spans="3:9">
      <c r="C156" s="151"/>
      <c r="D156" s="151"/>
      <c r="E156" s="151"/>
      <c r="F156" s="151"/>
      <c r="G156" s="151"/>
      <c r="H156" s="151"/>
      <c r="I156" s="151"/>
    </row>
    <row r="157" spans="3:9">
      <c r="C157" s="151"/>
      <c r="D157" s="151"/>
      <c r="E157" s="151"/>
      <c r="F157" s="151"/>
      <c r="G157" s="151"/>
      <c r="H157" s="151"/>
      <c r="I157" s="151"/>
    </row>
    <row r="158" spans="3:9">
      <c r="C158" s="151"/>
      <c r="D158" s="151"/>
      <c r="E158" s="151"/>
      <c r="F158" s="151"/>
      <c r="G158" s="151"/>
      <c r="H158" s="151"/>
      <c r="I158" s="151"/>
    </row>
    <row r="159" spans="3:9">
      <c r="C159" s="151"/>
      <c r="D159" s="151"/>
      <c r="E159" s="151"/>
      <c r="F159" s="151"/>
      <c r="G159" s="151"/>
      <c r="H159" s="151"/>
      <c r="I159" s="151"/>
    </row>
    <row r="160" spans="3:9">
      <c r="C160" s="151"/>
      <c r="D160" s="151"/>
      <c r="E160" s="151"/>
      <c r="F160" s="151"/>
      <c r="G160" s="151"/>
      <c r="H160" s="151"/>
      <c r="I160" s="151"/>
    </row>
    <row r="161" spans="3:9">
      <c r="C161" s="151"/>
      <c r="D161" s="151"/>
      <c r="E161" s="151"/>
      <c r="F161" s="151"/>
      <c r="G161" s="151"/>
      <c r="H161" s="151"/>
      <c r="I161" s="151"/>
    </row>
    <row r="162" spans="3:9">
      <c r="C162" s="151"/>
      <c r="D162" s="151"/>
      <c r="E162" s="151"/>
      <c r="F162" s="151"/>
      <c r="G162" s="151"/>
      <c r="H162" s="151"/>
      <c r="I162" s="151"/>
    </row>
    <row r="163" spans="3:9">
      <c r="C163" s="151"/>
      <c r="D163" s="151"/>
      <c r="E163" s="151"/>
      <c r="F163" s="151"/>
      <c r="G163" s="151"/>
      <c r="H163" s="151"/>
      <c r="I163" s="151"/>
    </row>
    <row r="164" spans="3:9">
      <c r="C164" s="151"/>
      <c r="D164" s="151"/>
      <c r="E164" s="151"/>
      <c r="F164" s="151"/>
      <c r="G164" s="151"/>
      <c r="H164" s="151"/>
      <c r="I164" s="151"/>
    </row>
    <row r="165" spans="3:9">
      <c r="C165" s="151"/>
      <c r="D165" s="151"/>
      <c r="E165" s="151"/>
      <c r="F165" s="151"/>
      <c r="G165" s="151"/>
      <c r="H165" s="151"/>
      <c r="I165" s="151"/>
    </row>
    <row r="166" spans="3:9">
      <c r="C166" s="151"/>
      <c r="D166" s="151"/>
      <c r="E166" s="151"/>
      <c r="F166" s="151"/>
      <c r="G166" s="151"/>
      <c r="H166" s="151"/>
      <c r="I166" s="151"/>
    </row>
    <row r="167" spans="3:9">
      <c r="C167" s="151"/>
      <c r="D167" s="151"/>
      <c r="E167" s="151"/>
      <c r="F167" s="151"/>
      <c r="G167" s="151"/>
      <c r="H167" s="151"/>
      <c r="I167" s="151"/>
    </row>
    <row r="168" spans="3:9">
      <c r="C168" s="151"/>
      <c r="D168" s="151"/>
      <c r="E168" s="151"/>
      <c r="F168" s="151"/>
      <c r="G168" s="151"/>
      <c r="H168" s="151"/>
      <c r="I168" s="151"/>
    </row>
    <row r="169" spans="3:9">
      <c r="C169" s="151"/>
      <c r="D169" s="151"/>
      <c r="E169" s="151"/>
      <c r="F169" s="151"/>
      <c r="G169" s="151"/>
      <c r="H169" s="151"/>
      <c r="I169" s="151"/>
    </row>
    <row r="170" spans="3:9">
      <c r="C170" s="151"/>
      <c r="D170" s="151"/>
      <c r="E170" s="151"/>
      <c r="F170" s="151"/>
      <c r="G170" s="151"/>
      <c r="H170" s="151"/>
      <c r="I170" s="151"/>
    </row>
    <row r="171" spans="3:9">
      <c r="C171" s="151"/>
      <c r="D171" s="151"/>
      <c r="E171" s="151"/>
      <c r="F171" s="151"/>
      <c r="G171" s="151"/>
      <c r="H171" s="151"/>
      <c r="I171" s="151"/>
    </row>
    <row r="172" spans="3:9">
      <c r="C172" s="151"/>
      <c r="D172" s="151"/>
      <c r="E172" s="151"/>
      <c r="F172" s="151"/>
      <c r="G172" s="151"/>
      <c r="H172" s="151"/>
      <c r="I172" s="151"/>
    </row>
    <row r="173" spans="3:9">
      <c r="C173" s="151"/>
      <c r="D173" s="151"/>
      <c r="E173" s="151"/>
      <c r="F173" s="151"/>
      <c r="G173" s="151"/>
      <c r="H173" s="151"/>
      <c r="I173" s="151"/>
    </row>
    <row r="174" spans="3:9">
      <c r="C174" s="151"/>
      <c r="D174" s="151"/>
      <c r="E174" s="151"/>
      <c r="F174" s="151"/>
      <c r="G174" s="151"/>
      <c r="H174" s="151"/>
      <c r="I174" s="151"/>
    </row>
    <row r="175" spans="3:9">
      <c r="C175" s="151"/>
      <c r="D175" s="151"/>
      <c r="E175" s="151"/>
      <c r="F175" s="151"/>
      <c r="G175" s="151"/>
      <c r="H175" s="151"/>
      <c r="I175" s="151"/>
    </row>
    <row r="176" spans="3:9">
      <c r="C176" s="151"/>
      <c r="D176" s="151"/>
      <c r="E176" s="151"/>
      <c r="F176" s="151"/>
      <c r="G176" s="151"/>
      <c r="H176" s="151"/>
      <c r="I176" s="151"/>
    </row>
    <row r="177" spans="3:9">
      <c r="C177" s="151"/>
      <c r="D177" s="151"/>
      <c r="E177" s="151"/>
      <c r="F177" s="151"/>
      <c r="G177" s="151"/>
      <c r="H177" s="151"/>
      <c r="I177" s="151"/>
    </row>
    <row r="178" spans="3:9">
      <c r="C178" s="151"/>
      <c r="D178" s="151"/>
      <c r="E178" s="151"/>
      <c r="F178" s="151"/>
      <c r="G178" s="151"/>
      <c r="H178" s="151"/>
      <c r="I178" s="151"/>
    </row>
    <row r="179" spans="3:9">
      <c r="C179" s="151"/>
      <c r="D179" s="151"/>
      <c r="E179" s="151"/>
      <c r="F179" s="151"/>
      <c r="G179" s="151"/>
      <c r="H179" s="151"/>
      <c r="I179" s="151"/>
    </row>
    <row r="180" spans="3:9">
      <c r="C180" s="151"/>
      <c r="D180" s="151"/>
      <c r="E180" s="151"/>
      <c r="F180" s="151"/>
      <c r="G180" s="151"/>
      <c r="H180" s="151"/>
      <c r="I180" s="151"/>
    </row>
    <row r="181" spans="3:9">
      <c r="C181" s="151"/>
      <c r="D181" s="151"/>
      <c r="E181" s="151"/>
      <c r="F181" s="151"/>
      <c r="G181" s="151"/>
      <c r="H181" s="151"/>
      <c r="I181" s="151"/>
    </row>
    <row r="182" spans="3:9">
      <c r="C182" s="151"/>
      <c r="D182" s="151"/>
      <c r="E182" s="151"/>
      <c r="F182" s="151"/>
      <c r="G182" s="151"/>
      <c r="H182" s="151"/>
      <c r="I182" s="151"/>
    </row>
    <row r="183" spans="3:9">
      <c r="C183" s="151"/>
      <c r="D183" s="151"/>
      <c r="E183" s="151"/>
      <c r="F183" s="151"/>
      <c r="G183" s="151"/>
      <c r="H183" s="151"/>
      <c r="I183" s="151"/>
    </row>
    <row r="184" spans="3:9">
      <c r="C184" s="151"/>
      <c r="D184" s="151"/>
      <c r="E184" s="151"/>
      <c r="F184" s="151"/>
      <c r="G184" s="151"/>
      <c r="H184" s="151"/>
      <c r="I184" s="151"/>
    </row>
    <row r="185" spans="3:9">
      <c r="C185" s="151"/>
      <c r="D185" s="151"/>
      <c r="E185" s="151"/>
      <c r="F185" s="151"/>
      <c r="G185" s="151"/>
      <c r="H185" s="151"/>
      <c r="I185" s="151"/>
    </row>
    <row r="186" spans="3:9">
      <c r="C186" s="151"/>
      <c r="D186" s="151"/>
      <c r="E186" s="151"/>
      <c r="F186" s="151"/>
      <c r="G186" s="151"/>
      <c r="H186" s="151"/>
      <c r="I186" s="151"/>
    </row>
    <row r="187" spans="3:9">
      <c r="C187" s="151"/>
      <c r="D187" s="151"/>
      <c r="E187" s="151"/>
      <c r="F187" s="151"/>
      <c r="G187" s="151"/>
      <c r="H187" s="151"/>
      <c r="I187" s="151"/>
    </row>
    <row r="188" spans="3:9">
      <c r="C188" s="151"/>
      <c r="D188" s="151"/>
      <c r="E188" s="151"/>
      <c r="F188" s="151"/>
      <c r="G188" s="151"/>
      <c r="H188" s="151"/>
      <c r="I188" s="151"/>
    </row>
    <row r="189" spans="3:9">
      <c r="C189" s="151"/>
      <c r="D189" s="151"/>
      <c r="E189" s="151"/>
      <c r="F189" s="151"/>
      <c r="G189" s="151"/>
      <c r="H189" s="151"/>
      <c r="I189" s="151"/>
    </row>
    <row r="190" spans="3:9">
      <c r="C190" s="151"/>
      <c r="D190" s="151"/>
      <c r="E190" s="151"/>
      <c r="F190" s="151"/>
      <c r="G190" s="151"/>
      <c r="H190" s="151"/>
      <c r="I190" s="151"/>
    </row>
    <row r="191" spans="3:9">
      <c r="C191" s="151"/>
      <c r="D191" s="151"/>
      <c r="E191" s="151"/>
      <c r="F191" s="151"/>
      <c r="G191" s="151"/>
      <c r="H191" s="151"/>
      <c r="I191" s="151"/>
    </row>
    <row r="192" spans="3:9">
      <c r="C192" s="151"/>
      <c r="D192" s="151"/>
      <c r="E192" s="151"/>
      <c r="F192" s="151"/>
      <c r="G192" s="151"/>
      <c r="H192" s="151"/>
      <c r="I192" s="151"/>
    </row>
    <row r="193" spans="3:9">
      <c r="C193" s="151"/>
      <c r="D193" s="151"/>
      <c r="E193" s="151"/>
      <c r="F193" s="151"/>
      <c r="G193" s="151"/>
      <c r="H193" s="151"/>
      <c r="I193" s="151"/>
    </row>
    <row r="194" spans="3:9">
      <c r="C194" s="151"/>
      <c r="D194" s="151"/>
      <c r="E194" s="151"/>
      <c r="F194" s="151"/>
      <c r="G194" s="151"/>
      <c r="H194" s="151"/>
      <c r="I194" s="151"/>
    </row>
    <row r="195" spans="3:9">
      <c r="C195" s="151"/>
      <c r="D195" s="151"/>
      <c r="E195" s="151"/>
      <c r="F195" s="151"/>
      <c r="G195" s="151"/>
      <c r="H195" s="151"/>
      <c r="I195" s="151"/>
    </row>
    <row r="196" spans="3:9">
      <c r="C196" s="151"/>
      <c r="D196" s="151"/>
      <c r="E196" s="151"/>
      <c r="F196" s="151"/>
      <c r="G196" s="151"/>
      <c r="H196" s="151"/>
      <c r="I196" s="151"/>
    </row>
    <row r="197" spans="3:9">
      <c r="C197" s="151"/>
      <c r="D197" s="151"/>
      <c r="E197" s="151"/>
      <c r="F197" s="151"/>
      <c r="G197" s="151"/>
      <c r="H197" s="151"/>
      <c r="I197" s="151"/>
    </row>
    <row r="198" spans="3:9">
      <c r="C198" s="151"/>
      <c r="D198" s="151"/>
      <c r="E198" s="151"/>
      <c r="F198" s="151"/>
      <c r="G198" s="151"/>
      <c r="H198" s="151"/>
      <c r="I198" s="151"/>
    </row>
    <row r="199" spans="3:9">
      <c r="C199" s="151"/>
      <c r="D199" s="151"/>
      <c r="E199" s="151"/>
      <c r="F199" s="151"/>
      <c r="G199" s="151"/>
      <c r="H199" s="151"/>
      <c r="I199" s="151"/>
    </row>
    <row r="200" spans="3:9">
      <c r="C200" s="151"/>
      <c r="D200" s="151"/>
      <c r="E200" s="151"/>
      <c r="F200" s="151"/>
      <c r="G200" s="151"/>
      <c r="H200" s="151"/>
      <c r="I200" s="151"/>
    </row>
    <row r="201" spans="3:9">
      <c r="C201" s="151"/>
      <c r="D201" s="151"/>
      <c r="E201" s="151"/>
      <c r="F201" s="151"/>
      <c r="G201" s="151"/>
      <c r="H201" s="151"/>
      <c r="I201" s="151"/>
    </row>
    <row r="202" spans="3:9">
      <c r="C202" s="151"/>
      <c r="D202" s="151"/>
      <c r="E202" s="151"/>
      <c r="F202" s="151"/>
      <c r="G202" s="151"/>
      <c r="H202" s="151"/>
      <c r="I202" s="151"/>
    </row>
    <row r="203" spans="3:9">
      <c r="C203" s="151"/>
      <c r="D203" s="151"/>
      <c r="E203" s="151"/>
      <c r="F203" s="151"/>
      <c r="G203" s="151"/>
      <c r="H203" s="151"/>
      <c r="I203" s="151"/>
    </row>
    <row r="204" spans="3:9">
      <c r="C204" s="151"/>
      <c r="D204" s="151"/>
      <c r="E204" s="151"/>
      <c r="F204" s="151"/>
      <c r="G204" s="151"/>
      <c r="H204" s="151"/>
      <c r="I204" s="151"/>
    </row>
    <row r="205" spans="3:9">
      <c r="C205" s="151"/>
      <c r="D205" s="151"/>
      <c r="E205" s="151"/>
      <c r="F205" s="151"/>
      <c r="G205" s="151"/>
      <c r="H205" s="151"/>
      <c r="I205" s="151"/>
    </row>
    <row r="206" spans="3:9">
      <c r="C206" s="151"/>
      <c r="D206" s="151"/>
      <c r="E206" s="151"/>
      <c r="F206" s="151"/>
      <c r="G206" s="151"/>
      <c r="H206" s="151"/>
      <c r="I206" s="151"/>
    </row>
    <row r="207" spans="3:9">
      <c r="C207" s="151"/>
      <c r="D207" s="151"/>
      <c r="E207" s="151"/>
      <c r="F207" s="151"/>
      <c r="G207" s="151"/>
      <c r="H207" s="151"/>
      <c r="I207" s="151"/>
    </row>
    <row r="208" spans="3:9">
      <c r="C208" s="151"/>
      <c r="D208" s="151"/>
      <c r="E208" s="151"/>
      <c r="F208" s="151"/>
      <c r="G208" s="151"/>
      <c r="H208" s="151"/>
      <c r="I208" s="151"/>
    </row>
    <row r="209" spans="3:9">
      <c r="C209" s="151"/>
      <c r="D209" s="151"/>
      <c r="E209" s="151"/>
      <c r="F209" s="151"/>
      <c r="G209" s="151"/>
      <c r="H209" s="151"/>
      <c r="I209" s="151"/>
    </row>
    <row r="210" spans="3:9">
      <c r="C210" s="151"/>
      <c r="D210" s="151"/>
      <c r="E210" s="151"/>
      <c r="F210" s="151"/>
      <c r="G210" s="151"/>
      <c r="H210" s="151"/>
      <c r="I210" s="151"/>
    </row>
    <row r="211" spans="3:9">
      <c r="C211" s="151"/>
      <c r="D211" s="151"/>
      <c r="E211" s="151"/>
      <c r="F211" s="151"/>
      <c r="G211" s="151"/>
      <c r="H211" s="151"/>
      <c r="I211" s="151"/>
    </row>
    <row r="212" spans="3:9">
      <c r="C212" s="151"/>
      <c r="D212" s="151"/>
      <c r="E212" s="151"/>
      <c r="F212" s="151"/>
      <c r="G212" s="151"/>
      <c r="H212" s="151"/>
      <c r="I212" s="151"/>
    </row>
    <row r="213" spans="3:9">
      <c r="C213" s="151"/>
      <c r="D213" s="151"/>
      <c r="E213" s="151"/>
      <c r="F213" s="151"/>
      <c r="G213" s="151"/>
      <c r="H213" s="151"/>
      <c r="I213" s="151"/>
    </row>
    <row r="214" spans="3:9">
      <c r="C214" s="151"/>
      <c r="D214" s="151"/>
      <c r="E214" s="151"/>
      <c r="F214" s="151"/>
      <c r="G214" s="151"/>
      <c r="H214" s="151"/>
      <c r="I214" s="151"/>
    </row>
    <row r="215" spans="3:9">
      <c r="C215" s="151"/>
      <c r="D215" s="151"/>
      <c r="E215" s="151"/>
      <c r="F215" s="151"/>
      <c r="G215" s="151"/>
      <c r="H215" s="151"/>
      <c r="I215" s="151"/>
    </row>
    <row r="216" spans="3:9">
      <c r="C216" s="151"/>
      <c r="D216" s="151"/>
      <c r="E216" s="151"/>
      <c r="F216" s="151"/>
      <c r="G216" s="151"/>
      <c r="H216" s="151"/>
      <c r="I216" s="151"/>
    </row>
    <row r="217" spans="3:9">
      <c r="C217" s="151"/>
      <c r="D217" s="151"/>
      <c r="E217" s="151"/>
      <c r="F217" s="151"/>
      <c r="G217" s="151"/>
      <c r="H217" s="151"/>
      <c r="I217" s="151"/>
    </row>
    <row r="218" spans="3:9">
      <c r="C218" s="151"/>
      <c r="D218" s="151"/>
      <c r="E218" s="151"/>
      <c r="F218" s="151"/>
      <c r="G218" s="151"/>
      <c r="H218" s="151"/>
      <c r="I218" s="151"/>
    </row>
    <row r="219" spans="3:9">
      <c r="C219" s="151"/>
      <c r="D219" s="151"/>
      <c r="E219" s="151"/>
      <c r="F219" s="151"/>
      <c r="G219" s="151"/>
      <c r="H219" s="151"/>
      <c r="I219" s="151"/>
    </row>
    <row r="220" spans="3:9">
      <c r="C220" s="151"/>
      <c r="D220" s="151"/>
      <c r="E220" s="151"/>
      <c r="F220" s="151"/>
      <c r="G220" s="151"/>
      <c r="H220" s="151"/>
      <c r="I220" s="151"/>
    </row>
    <row r="221" spans="3:9">
      <c r="C221" s="151"/>
      <c r="D221" s="151"/>
      <c r="E221" s="151"/>
      <c r="F221" s="151"/>
      <c r="G221" s="151"/>
      <c r="H221" s="151"/>
      <c r="I221" s="151"/>
    </row>
    <row r="222" spans="3:9">
      <c r="C222" s="151"/>
      <c r="D222" s="151"/>
      <c r="E222" s="151"/>
      <c r="F222" s="151"/>
      <c r="G222" s="151"/>
      <c r="H222" s="151"/>
      <c r="I222" s="151"/>
    </row>
    <row r="223" spans="3:9">
      <c r="C223" s="151"/>
      <c r="D223" s="151"/>
      <c r="E223" s="151"/>
      <c r="F223" s="151"/>
      <c r="G223" s="151"/>
      <c r="H223" s="151"/>
      <c r="I223" s="151"/>
    </row>
    <row r="224" spans="3:9">
      <c r="C224" s="151"/>
      <c r="D224" s="151"/>
      <c r="E224" s="151"/>
      <c r="F224" s="151"/>
      <c r="G224" s="151"/>
      <c r="H224" s="151"/>
      <c r="I224" s="151"/>
    </row>
    <row r="225" spans="3:9">
      <c r="C225" s="151"/>
      <c r="D225" s="151"/>
      <c r="E225" s="151"/>
      <c r="F225" s="151"/>
      <c r="G225" s="151"/>
      <c r="H225" s="151"/>
      <c r="I225" s="151"/>
    </row>
    <row r="226" spans="3:9">
      <c r="C226" s="151"/>
      <c r="D226" s="151"/>
      <c r="E226" s="151"/>
      <c r="F226" s="151"/>
      <c r="G226" s="151"/>
      <c r="H226" s="151"/>
      <c r="I226" s="151"/>
    </row>
    <row r="227" spans="3:9">
      <c r="C227" s="151"/>
      <c r="D227" s="151"/>
      <c r="E227" s="151"/>
      <c r="F227" s="151"/>
      <c r="G227" s="151"/>
      <c r="H227" s="151"/>
      <c r="I227" s="151"/>
    </row>
    <row r="228" spans="3:9">
      <c r="C228" s="151"/>
      <c r="D228" s="151"/>
      <c r="E228" s="151"/>
      <c r="F228" s="151"/>
      <c r="G228" s="151"/>
      <c r="H228" s="151"/>
      <c r="I228" s="151"/>
    </row>
    <row r="229" spans="3:9">
      <c r="C229" s="151"/>
      <c r="D229" s="151"/>
      <c r="E229" s="151"/>
      <c r="F229" s="151"/>
      <c r="G229" s="151"/>
      <c r="H229" s="151"/>
      <c r="I229" s="151"/>
    </row>
    <row r="230" spans="3:9">
      <c r="C230" s="151"/>
      <c r="D230" s="151"/>
      <c r="E230" s="151"/>
      <c r="F230" s="151"/>
      <c r="G230" s="151"/>
      <c r="H230" s="151"/>
      <c r="I230" s="151"/>
    </row>
    <row r="231" spans="3:9">
      <c r="C231" s="151"/>
      <c r="D231" s="151"/>
      <c r="E231" s="151"/>
      <c r="F231" s="151"/>
      <c r="G231" s="151"/>
      <c r="H231" s="151"/>
      <c r="I231" s="151"/>
    </row>
    <row r="232" spans="3:9">
      <c r="C232" s="151"/>
      <c r="D232" s="151"/>
      <c r="E232" s="151"/>
      <c r="F232" s="151"/>
      <c r="G232" s="151"/>
      <c r="H232" s="151"/>
      <c r="I232" s="151"/>
    </row>
    <row r="233" spans="3:9">
      <c r="C233" s="151"/>
      <c r="D233" s="151"/>
      <c r="E233" s="151"/>
      <c r="F233" s="151"/>
      <c r="G233" s="151"/>
      <c r="H233" s="151"/>
      <c r="I233" s="151"/>
    </row>
    <row r="234" spans="3:9">
      <c r="C234" s="151"/>
      <c r="D234" s="151"/>
      <c r="E234" s="151"/>
      <c r="F234" s="151"/>
      <c r="G234" s="151"/>
      <c r="H234" s="151"/>
      <c r="I234" s="151"/>
    </row>
    <row r="235" spans="3:9">
      <c r="C235" s="151"/>
      <c r="D235" s="151"/>
      <c r="E235" s="151"/>
      <c r="F235" s="151"/>
      <c r="G235" s="151"/>
      <c r="H235" s="151"/>
      <c r="I235" s="151"/>
    </row>
    <row r="236" spans="3:9">
      <c r="C236" s="151"/>
      <c r="D236" s="151"/>
      <c r="E236" s="151"/>
      <c r="F236" s="151"/>
      <c r="G236" s="151"/>
      <c r="H236" s="151"/>
      <c r="I236" s="151"/>
    </row>
    <row r="237" spans="3:9">
      <c r="C237" s="151"/>
      <c r="D237" s="151"/>
      <c r="E237" s="151"/>
      <c r="F237" s="151"/>
      <c r="G237" s="151"/>
      <c r="H237" s="151"/>
      <c r="I237" s="151"/>
    </row>
    <row r="238" spans="3:9">
      <c r="C238" s="151"/>
      <c r="D238" s="151"/>
      <c r="E238" s="151"/>
      <c r="F238" s="151"/>
      <c r="G238" s="151"/>
      <c r="H238" s="151"/>
      <c r="I238" s="151"/>
    </row>
    <row r="239" spans="3:9">
      <c r="C239" s="151"/>
      <c r="D239" s="151"/>
      <c r="E239" s="151"/>
      <c r="F239" s="151"/>
      <c r="G239" s="151"/>
      <c r="H239" s="151"/>
      <c r="I239" s="151"/>
    </row>
    <row r="240" spans="3:9">
      <c r="C240" s="151"/>
      <c r="D240" s="151"/>
      <c r="E240" s="151"/>
      <c r="F240" s="151"/>
      <c r="G240" s="151"/>
      <c r="H240" s="151"/>
      <c r="I240" s="151"/>
    </row>
    <row r="241" spans="3:9">
      <c r="C241" s="151"/>
      <c r="D241" s="151"/>
      <c r="E241" s="151"/>
      <c r="F241" s="151"/>
      <c r="G241" s="151"/>
      <c r="H241" s="151"/>
      <c r="I241" s="151"/>
    </row>
    <row r="242" spans="3:9">
      <c r="C242" s="151"/>
      <c r="D242" s="151"/>
      <c r="E242" s="151"/>
      <c r="F242" s="151"/>
      <c r="G242" s="151"/>
      <c r="H242" s="151"/>
      <c r="I242" s="151"/>
    </row>
    <row r="243" spans="3:9">
      <c r="C243" s="151"/>
      <c r="D243" s="151"/>
      <c r="E243" s="151"/>
      <c r="F243" s="151"/>
      <c r="G243" s="151"/>
      <c r="H243" s="151"/>
      <c r="I243" s="151"/>
    </row>
    <row r="244" spans="3:9">
      <c r="C244" s="151"/>
      <c r="D244" s="151"/>
      <c r="E244" s="151"/>
      <c r="F244" s="151"/>
      <c r="G244" s="151"/>
      <c r="H244" s="151"/>
      <c r="I244" s="151"/>
    </row>
    <row r="245" spans="3:9">
      <c r="C245" s="151"/>
      <c r="D245" s="151"/>
      <c r="E245" s="151"/>
      <c r="F245" s="151"/>
      <c r="G245" s="151"/>
      <c r="H245" s="151"/>
      <c r="I245" s="151"/>
    </row>
    <row r="246" spans="3:9">
      <c r="C246" s="151"/>
      <c r="D246" s="151"/>
      <c r="E246" s="151"/>
      <c r="F246" s="151"/>
      <c r="G246" s="151"/>
      <c r="H246" s="151"/>
      <c r="I246" s="151"/>
    </row>
    <row r="247" spans="3:9">
      <c r="C247" s="151"/>
      <c r="D247" s="151"/>
      <c r="E247" s="151"/>
      <c r="F247" s="151"/>
      <c r="G247" s="151"/>
      <c r="H247" s="151"/>
      <c r="I247" s="151"/>
    </row>
    <row r="248" spans="3:9">
      <c r="C248" s="151"/>
      <c r="D248" s="151"/>
      <c r="E248" s="151"/>
      <c r="F248" s="151"/>
      <c r="G248" s="151"/>
      <c r="H248" s="151"/>
      <c r="I248" s="151"/>
    </row>
    <row r="249" spans="3:9">
      <c r="C249" s="151"/>
      <c r="D249" s="151"/>
      <c r="E249" s="151"/>
      <c r="F249" s="151"/>
      <c r="G249" s="151"/>
      <c r="H249" s="151"/>
      <c r="I249" s="151"/>
    </row>
    <row r="250" spans="3:9">
      <c r="C250" s="151"/>
      <c r="D250" s="151"/>
      <c r="E250" s="151"/>
      <c r="F250" s="151"/>
      <c r="G250" s="151"/>
      <c r="H250" s="151"/>
      <c r="I250" s="151"/>
    </row>
    <row r="251" spans="3:9">
      <c r="C251" s="151"/>
      <c r="D251" s="151"/>
      <c r="E251" s="151"/>
      <c r="F251" s="151"/>
      <c r="G251" s="151"/>
      <c r="H251" s="151"/>
      <c r="I251" s="151"/>
    </row>
    <row r="252" spans="3:9">
      <c r="C252" s="151"/>
      <c r="D252" s="151"/>
      <c r="E252" s="151"/>
      <c r="F252" s="151"/>
      <c r="G252" s="151"/>
      <c r="H252" s="151"/>
      <c r="I252" s="151"/>
    </row>
    <row r="253" spans="3:9">
      <c r="C253" s="151"/>
      <c r="D253" s="151"/>
      <c r="E253" s="151"/>
      <c r="F253" s="151"/>
      <c r="G253" s="151"/>
      <c r="H253" s="151"/>
      <c r="I253" s="151"/>
    </row>
    <row r="254" spans="3:9">
      <c r="C254" s="151"/>
      <c r="D254" s="151"/>
      <c r="E254" s="151"/>
      <c r="F254" s="151"/>
      <c r="G254" s="151"/>
      <c r="H254" s="151"/>
      <c r="I254" s="151"/>
    </row>
    <row r="255" spans="3:9">
      <c r="C255" s="151"/>
      <c r="D255" s="151"/>
      <c r="E255" s="151"/>
      <c r="F255" s="151"/>
      <c r="G255" s="151"/>
      <c r="H255" s="151"/>
      <c r="I255" s="151"/>
    </row>
    <row r="256" spans="3:9">
      <c r="C256" s="151"/>
      <c r="D256" s="151"/>
      <c r="E256" s="151"/>
      <c r="F256" s="151"/>
      <c r="G256" s="151"/>
      <c r="H256" s="151"/>
      <c r="I256" s="151"/>
    </row>
    <row r="257" spans="3:9">
      <c r="C257" s="151"/>
      <c r="D257" s="151"/>
      <c r="E257" s="151"/>
      <c r="F257" s="151"/>
      <c r="G257" s="151"/>
      <c r="H257" s="151"/>
      <c r="I257" s="151"/>
    </row>
    <row r="258" spans="3:9">
      <c r="C258" s="151"/>
      <c r="D258" s="151"/>
      <c r="E258" s="151"/>
      <c r="F258" s="151"/>
      <c r="G258" s="151"/>
      <c r="H258" s="151"/>
      <c r="I258" s="151"/>
    </row>
    <row r="259" spans="3:9">
      <c r="C259" s="151"/>
      <c r="D259" s="151"/>
      <c r="E259" s="151"/>
      <c r="F259" s="151"/>
      <c r="G259" s="151"/>
      <c r="H259" s="151"/>
      <c r="I259" s="151"/>
    </row>
    <row r="260" spans="3:9">
      <c r="C260" s="151"/>
      <c r="D260" s="151"/>
      <c r="E260" s="151"/>
      <c r="F260" s="151"/>
      <c r="G260" s="151"/>
      <c r="H260" s="151"/>
      <c r="I260" s="151"/>
    </row>
    <row r="261" spans="3:9">
      <c r="C261" s="151"/>
      <c r="D261" s="151"/>
      <c r="E261" s="151"/>
      <c r="F261" s="151"/>
      <c r="G261" s="151"/>
      <c r="H261" s="151"/>
      <c r="I261" s="151"/>
    </row>
    <row r="262" spans="3:9">
      <c r="C262" s="151"/>
      <c r="D262" s="151"/>
      <c r="E262" s="151"/>
      <c r="F262" s="151"/>
      <c r="G262" s="151"/>
      <c r="H262" s="151"/>
      <c r="I262" s="151"/>
    </row>
    <row r="263" spans="3:9">
      <c r="C263" s="151"/>
      <c r="D263" s="151"/>
      <c r="E263" s="151"/>
      <c r="F263" s="151"/>
      <c r="G263" s="151"/>
      <c r="H263" s="151"/>
      <c r="I263" s="151"/>
    </row>
    <row r="264" spans="3:9">
      <c r="C264" s="151"/>
      <c r="D264" s="151"/>
      <c r="E264" s="151"/>
      <c r="F264" s="151"/>
      <c r="G264" s="151"/>
      <c r="H264" s="151"/>
      <c r="I264" s="151"/>
    </row>
    <row r="265" spans="3:9">
      <c r="C265" s="151"/>
      <c r="D265" s="151"/>
      <c r="E265" s="151"/>
      <c r="F265" s="151"/>
      <c r="G265" s="151"/>
      <c r="H265" s="151"/>
      <c r="I265" s="151"/>
    </row>
    <row r="266" spans="3:9">
      <c r="C266" s="151"/>
      <c r="D266" s="151"/>
      <c r="E266" s="151"/>
      <c r="F266" s="151"/>
      <c r="G266" s="151"/>
      <c r="H266" s="151"/>
      <c r="I266" s="151"/>
    </row>
    <row r="267" spans="3:9">
      <c r="C267" s="151"/>
      <c r="D267" s="151"/>
      <c r="E267" s="151"/>
      <c r="F267" s="151"/>
      <c r="G267" s="151"/>
      <c r="H267" s="151"/>
      <c r="I267" s="151"/>
    </row>
    <row r="268" spans="3:9">
      <c r="C268" s="151"/>
      <c r="D268" s="151"/>
      <c r="E268" s="151"/>
      <c r="F268" s="151"/>
      <c r="G268" s="151"/>
      <c r="H268" s="151"/>
      <c r="I268" s="151"/>
    </row>
    <row r="269" spans="3:9">
      <c r="C269" s="151"/>
      <c r="D269" s="151"/>
      <c r="E269" s="151"/>
      <c r="F269" s="151"/>
      <c r="G269" s="151"/>
      <c r="H269" s="151"/>
      <c r="I269" s="151"/>
    </row>
    <row r="270" spans="3:9">
      <c r="C270" s="151"/>
      <c r="D270" s="151"/>
      <c r="E270" s="151"/>
      <c r="F270" s="151"/>
      <c r="G270" s="151"/>
      <c r="H270" s="151"/>
      <c r="I270" s="151"/>
    </row>
    <row r="271" spans="3:9">
      <c r="C271" s="151"/>
      <c r="D271" s="151"/>
      <c r="E271" s="151"/>
      <c r="F271" s="151"/>
      <c r="G271" s="151"/>
      <c r="H271" s="151"/>
      <c r="I271" s="151"/>
    </row>
    <row r="272" spans="3:9">
      <c r="C272" s="151"/>
      <c r="D272" s="151"/>
      <c r="E272" s="151"/>
      <c r="F272" s="151"/>
      <c r="G272" s="151"/>
      <c r="H272" s="151"/>
      <c r="I272" s="151"/>
    </row>
    <row r="273" spans="3:9">
      <c r="C273" s="151"/>
      <c r="D273" s="151"/>
      <c r="E273" s="151"/>
      <c r="F273" s="151"/>
      <c r="G273" s="151"/>
      <c r="H273" s="151"/>
      <c r="I273" s="151"/>
    </row>
    <row r="274" spans="3:9">
      <c r="C274" s="151"/>
      <c r="D274" s="151"/>
      <c r="E274" s="151"/>
      <c r="F274" s="151"/>
      <c r="G274" s="151"/>
      <c r="H274" s="151"/>
      <c r="I274" s="151"/>
    </row>
    <row r="275" spans="3:9">
      <c r="C275" s="151"/>
      <c r="D275" s="151"/>
      <c r="E275" s="151"/>
      <c r="F275" s="151"/>
      <c r="G275" s="151"/>
      <c r="H275" s="151"/>
      <c r="I275" s="151"/>
    </row>
    <row r="276" spans="3:9">
      <c r="C276" s="151"/>
      <c r="D276" s="151"/>
      <c r="E276" s="151"/>
      <c r="F276" s="151"/>
      <c r="G276" s="151"/>
      <c r="H276" s="151"/>
      <c r="I276" s="151"/>
    </row>
    <row r="277" spans="3:9">
      <c r="C277" s="151"/>
      <c r="D277" s="151"/>
      <c r="E277" s="151"/>
      <c r="F277" s="151"/>
      <c r="G277" s="151"/>
      <c r="H277" s="151"/>
      <c r="I277" s="151"/>
    </row>
    <row r="278" spans="3:9">
      <c r="C278" s="151"/>
      <c r="D278" s="151"/>
      <c r="E278" s="151"/>
      <c r="F278" s="151"/>
      <c r="G278" s="151"/>
      <c r="H278" s="151"/>
      <c r="I278" s="151"/>
    </row>
    <row r="279" spans="3:9">
      <c r="C279" s="151"/>
      <c r="D279" s="151"/>
      <c r="E279" s="151"/>
      <c r="F279" s="151"/>
      <c r="G279" s="151"/>
      <c r="H279" s="151"/>
      <c r="I279" s="151"/>
    </row>
    <row r="280" spans="3:9">
      <c r="C280" s="151"/>
      <c r="D280" s="151"/>
      <c r="E280" s="151"/>
      <c r="F280" s="151"/>
      <c r="G280" s="151"/>
      <c r="H280" s="151"/>
      <c r="I280" s="151"/>
    </row>
    <row r="281" spans="3:9">
      <c r="C281" s="151"/>
      <c r="D281" s="151"/>
      <c r="E281" s="151"/>
      <c r="F281" s="151"/>
      <c r="G281" s="151"/>
      <c r="H281" s="151"/>
      <c r="I281" s="151"/>
    </row>
    <row r="282" spans="3:9">
      <c r="C282" s="151"/>
      <c r="D282" s="151"/>
      <c r="E282" s="151"/>
      <c r="F282" s="151"/>
      <c r="G282" s="151"/>
      <c r="H282" s="151"/>
      <c r="I282" s="151"/>
    </row>
    <row r="283" spans="3:9">
      <c r="C283" s="151"/>
      <c r="D283" s="151"/>
      <c r="E283" s="151"/>
      <c r="F283" s="151"/>
      <c r="G283" s="151"/>
      <c r="H283" s="151"/>
      <c r="I283" s="151"/>
    </row>
    <row r="284" spans="3:9">
      <c r="C284" s="151"/>
      <c r="D284" s="151"/>
      <c r="E284" s="151"/>
      <c r="F284" s="151"/>
      <c r="G284" s="151"/>
      <c r="H284" s="151"/>
      <c r="I284" s="151"/>
    </row>
    <row r="285" spans="3:9">
      <c r="C285" s="151"/>
      <c r="D285" s="151"/>
      <c r="E285" s="151"/>
      <c r="F285" s="151"/>
      <c r="G285" s="151"/>
      <c r="H285" s="151"/>
      <c r="I285" s="151"/>
    </row>
    <row r="286" spans="3:9">
      <c r="C286" s="151"/>
      <c r="D286" s="151"/>
      <c r="E286" s="151"/>
      <c r="F286" s="151"/>
      <c r="G286" s="151"/>
      <c r="H286" s="151"/>
      <c r="I286" s="151"/>
    </row>
    <row r="287" spans="3:9">
      <c r="C287" s="151"/>
      <c r="D287" s="151"/>
      <c r="E287" s="151"/>
      <c r="F287" s="151"/>
      <c r="G287" s="151"/>
      <c r="H287" s="151"/>
      <c r="I287" s="151"/>
    </row>
    <row r="288" spans="3:9">
      <c r="C288" s="151"/>
      <c r="D288" s="151"/>
      <c r="E288" s="151"/>
      <c r="F288" s="151"/>
      <c r="G288" s="151"/>
      <c r="H288" s="151"/>
      <c r="I288" s="151"/>
    </row>
    <row r="289" spans="3:9">
      <c r="C289" s="151"/>
      <c r="D289" s="151"/>
      <c r="E289" s="151"/>
      <c r="F289" s="151"/>
      <c r="G289" s="151"/>
      <c r="H289" s="151"/>
      <c r="I289" s="151"/>
    </row>
    <row r="290" spans="3:9">
      <c r="C290" s="151"/>
      <c r="D290" s="151"/>
      <c r="E290" s="151"/>
      <c r="F290" s="151"/>
      <c r="G290" s="151"/>
      <c r="H290" s="151"/>
      <c r="I290" s="151"/>
    </row>
    <row r="291" spans="3:9">
      <c r="C291" s="151"/>
      <c r="D291" s="151"/>
      <c r="E291" s="151"/>
      <c r="F291" s="151"/>
      <c r="G291" s="151"/>
      <c r="H291" s="151"/>
      <c r="I291" s="151"/>
    </row>
    <row r="292" spans="3:9">
      <c r="C292" s="151"/>
      <c r="D292" s="151"/>
      <c r="E292" s="151"/>
      <c r="F292" s="151"/>
      <c r="G292" s="151"/>
      <c r="H292" s="151"/>
      <c r="I292" s="151"/>
    </row>
    <row r="293" spans="3:9">
      <c r="C293" s="151"/>
      <c r="D293" s="151"/>
      <c r="E293" s="151"/>
      <c r="F293" s="151"/>
      <c r="G293" s="151"/>
      <c r="H293" s="151"/>
      <c r="I293" s="151"/>
    </row>
    <row r="294" spans="3:9">
      <c r="C294" s="151"/>
      <c r="D294" s="151"/>
      <c r="E294" s="151"/>
      <c r="F294" s="151"/>
      <c r="G294" s="151"/>
      <c r="H294" s="151"/>
      <c r="I294" s="151"/>
    </row>
    <row r="295" spans="3:9">
      <c r="C295" s="151"/>
      <c r="D295" s="151"/>
      <c r="E295" s="151"/>
      <c r="F295" s="151"/>
      <c r="G295" s="151"/>
      <c r="H295" s="151"/>
      <c r="I295" s="151"/>
    </row>
    <row r="296" spans="3:9">
      <c r="C296" s="151"/>
      <c r="D296" s="151"/>
      <c r="E296" s="151"/>
      <c r="F296" s="151"/>
      <c r="G296" s="151"/>
      <c r="H296" s="151"/>
      <c r="I296" s="151"/>
    </row>
    <row r="297" spans="3:9">
      <c r="C297" s="151"/>
      <c r="D297" s="151"/>
      <c r="E297" s="151"/>
      <c r="F297" s="151"/>
      <c r="G297" s="151"/>
      <c r="H297" s="151"/>
      <c r="I297" s="151"/>
    </row>
    <row r="298" spans="3:9">
      <c r="C298" s="151"/>
      <c r="D298" s="151"/>
      <c r="E298" s="151"/>
      <c r="F298" s="151"/>
      <c r="G298" s="151"/>
      <c r="H298" s="151"/>
      <c r="I298" s="151"/>
    </row>
    <row r="299" spans="3:9">
      <c r="C299" s="151"/>
      <c r="D299" s="151"/>
      <c r="E299" s="151"/>
      <c r="F299" s="151"/>
      <c r="G299" s="151"/>
      <c r="H299" s="151"/>
      <c r="I299" s="151"/>
    </row>
    <row r="300" spans="3:9">
      <c r="C300" s="151"/>
      <c r="D300" s="151"/>
      <c r="E300" s="151"/>
      <c r="F300" s="151"/>
      <c r="G300" s="151"/>
      <c r="H300" s="151"/>
      <c r="I300" s="151"/>
    </row>
    <row r="301" spans="3:9">
      <c r="C301" s="151"/>
      <c r="D301" s="151"/>
      <c r="E301" s="151"/>
      <c r="F301" s="151"/>
      <c r="G301" s="151"/>
      <c r="H301" s="151"/>
      <c r="I301" s="151"/>
    </row>
    <row r="302" spans="3:9">
      <c r="C302" s="151"/>
      <c r="D302" s="151"/>
      <c r="E302" s="151"/>
      <c r="F302" s="151"/>
      <c r="G302" s="151"/>
      <c r="H302" s="151"/>
      <c r="I302" s="151"/>
    </row>
    <row r="303" spans="3:9">
      <c r="C303" s="151"/>
      <c r="D303" s="151"/>
      <c r="E303" s="151"/>
      <c r="F303" s="151"/>
      <c r="G303" s="151"/>
      <c r="H303" s="151"/>
      <c r="I303" s="151"/>
    </row>
    <row r="304" spans="3:9">
      <c r="C304" s="151"/>
      <c r="D304" s="151"/>
      <c r="E304" s="151"/>
      <c r="F304" s="151"/>
      <c r="G304" s="151"/>
      <c r="H304" s="151"/>
      <c r="I304" s="151"/>
    </row>
    <row r="305" spans="3:9">
      <c r="C305" s="151"/>
      <c r="D305" s="151"/>
      <c r="E305" s="151"/>
      <c r="F305" s="151"/>
      <c r="G305" s="151"/>
      <c r="H305" s="151"/>
      <c r="I305" s="151"/>
    </row>
    <row r="306" spans="3:9">
      <c r="C306" s="151"/>
      <c r="D306" s="151"/>
      <c r="E306" s="151"/>
      <c r="F306" s="151"/>
      <c r="G306" s="151"/>
      <c r="H306" s="151"/>
      <c r="I306" s="151"/>
    </row>
    <row r="307" spans="3:9">
      <c r="C307" s="151"/>
      <c r="D307" s="151"/>
      <c r="E307" s="151"/>
      <c r="F307" s="151"/>
      <c r="G307" s="151"/>
      <c r="H307" s="151"/>
      <c r="I307" s="151"/>
    </row>
    <row r="308" spans="3:9">
      <c r="C308" s="151"/>
      <c r="D308" s="151"/>
      <c r="E308" s="151"/>
      <c r="F308" s="151"/>
      <c r="G308" s="151"/>
      <c r="H308" s="151"/>
      <c r="I308" s="151"/>
    </row>
    <row r="309" spans="3:9">
      <c r="C309" s="151"/>
      <c r="D309" s="151"/>
      <c r="E309" s="151"/>
      <c r="F309" s="151"/>
      <c r="G309" s="151"/>
      <c r="H309" s="151"/>
      <c r="I309" s="151"/>
    </row>
    <row r="310" spans="3:9">
      <c r="C310" s="151"/>
      <c r="D310" s="151"/>
      <c r="E310" s="151"/>
      <c r="F310" s="151"/>
      <c r="G310" s="151"/>
      <c r="H310" s="151"/>
      <c r="I310" s="151"/>
    </row>
    <row r="311" spans="3:9">
      <c r="C311" s="151"/>
      <c r="D311" s="151"/>
      <c r="E311" s="151"/>
      <c r="F311" s="151"/>
      <c r="G311" s="151"/>
      <c r="H311" s="151"/>
      <c r="I311" s="151"/>
    </row>
    <row r="312" spans="3:9">
      <c r="C312" s="151"/>
      <c r="D312" s="151"/>
      <c r="E312" s="151"/>
      <c r="F312" s="151"/>
      <c r="G312" s="151"/>
      <c r="H312" s="151"/>
      <c r="I312" s="151"/>
    </row>
    <row r="313" spans="3:9">
      <c r="C313" s="151"/>
      <c r="D313" s="151"/>
      <c r="E313" s="151"/>
      <c r="F313" s="151"/>
      <c r="G313" s="151"/>
      <c r="H313" s="151"/>
      <c r="I313" s="151"/>
    </row>
    <row r="314" spans="3:9">
      <c r="C314" s="151"/>
      <c r="D314" s="151"/>
      <c r="E314" s="151"/>
      <c r="F314" s="151"/>
      <c r="G314" s="151"/>
      <c r="H314" s="151"/>
      <c r="I314" s="151"/>
    </row>
    <row r="315" spans="3:9">
      <c r="C315" s="151"/>
      <c r="D315" s="151"/>
      <c r="E315" s="151"/>
      <c r="F315" s="151"/>
      <c r="G315" s="151"/>
      <c r="H315" s="151"/>
      <c r="I315" s="151"/>
    </row>
    <row r="316" spans="3:9">
      <c r="C316" s="151"/>
      <c r="D316" s="151"/>
      <c r="E316" s="151"/>
      <c r="F316" s="151"/>
      <c r="G316" s="151"/>
      <c r="H316" s="151"/>
      <c r="I316" s="151"/>
    </row>
    <row r="317" spans="3:9">
      <c r="C317" s="151"/>
      <c r="D317" s="151"/>
      <c r="E317" s="151"/>
      <c r="F317" s="151"/>
      <c r="G317" s="151"/>
      <c r="H317" s="151"/>
      <c r="I317" s="151"/>
    </row>
    <row r="318" spans="3:9">
      <c r="C318" s="151"/>
      <c r="D318" s="151"/>
      <c r="E318" s="151"/>
      <c r="F318" s="151"/>
      <c r="G318" s="151"/>
      <c r="H318" s="151"/>
      <c r="I318" s="151"/>
    </row>
    <row r="319" spans="3:9">
      <c r="C319" s="151"/>
      <c r="D319" s="151"/>
      <c r="E319" s="151"/>
      <c r="F319" s="151"/>
      <c r="G319" s="151"/>
      <c r="H319" s="151"/>
      <c r="I319" s="151"/>
    </row>
    <row r="320" spans="3:9">
      <c r="C320" s="151"/>
      <c r="D320" s="151"/>
      <c r="E320" s="151"/>
      <c r="F320" s="151"/>
      <c r="G320" s="151"/>
      <c r="H320" s="151"/>
      <c r="I320" s="151"/>
    </row>
    <row r="321" spans="3:9">
      <c r="C321" s="151"/>
      <c r="D321" s="151"/>
      <c r="E321" s="151"/>
      <c r="F321" s="151"/>
      <c r="G321" s="151"/>
      <c r="H321" s="151"/>
      <c r="I321" s="151"/>
    </row>
    <row r="322" spans="3:9">
      <c r="C322" s="151"/>
      <c r="D322" s="151"/>
      <c r="E322" s="151"/>
      <c r="F322" s="151"/>
      <c r="G322" s="151"/>
      <c r="H322" s="151"/>
      <c r="I322" s="151"/>
    </row>
    <row r="323" spans="3:9">
      <c r="C323" s="151"/>
      <c r="D323" s="151"/>
      <c r="E323" s="151"/>
      <c r="F323" s="151"/>
      <c r="G323" s="151"/>
      <c r="H323" s="151"/>
      <c r="I323" s="151"/>
    </row>
    <row r="324" spans="3:9">
      <c r="C324" s="151"/>
      <c r="D324" s="151"/>
      <c r="E324" s="151"/>
      <c r="F324" s="151"/>
      <c r="G324" s="151"/>
      <c r="H324" s="151"/>
      <c r="I324" s="151"/>
    </row>
    <row r="325" spans="3:9">
      <c r="C325" s="151"/>
      <c r="D325" s="151"/>
      <c r="E325" s="151"/>
      <c r="F325" s="151"/>
      <c r="G325" s="151"/>
      <c r="H325" s="151"/>
      <c r="I325" s="151"/>
    </row>
    <row r="326" spans="3:9">
      <c r="C326" s="151"/>
      <c r="D326" s="151"/>
      <c r="E326" s="151"/>
      <c r="F326" s="151"/>
      <c r="G326" s="151"/>
      <c r="H326" s="151"/>
      <c r="I326" s="151"/>
    </row>
    <row r="327" spans="3:9">
      <c r="C327" s="151"/>
      <c r="D327" s="151"/>
      <c r="E327" s="151"/>
      <c r="F327" s="151"/>
      <c r="G327" s="151"/>
      <c r="H327" s="151"/>
      <c r="I327" s="151"/>
    </row>
    <row r="328" spans="3:9">
      <c r="C328" s="151"/>
      <c r="D328" s="151"/>
      <c r="E328" s="151"/>
      <c r="F328" s="151"/>
      <c r="G328" s="151"/>
      <c r="H328" s="151"/>
      <c r="I328" s="151"/>
    </row>
    <row r="329" spans="3:9">
      <c r="C329" s="151"/>
      <c r="D329" s="151"/>
      <c r="E329" s="151"/>
      <c r="F329" s="151"/>
      <c r="G329" s="151"/>
      <c r="H329" s="151"/>
      <c r="I329" s="151"/>
    </row>
    <row r="330" spans="3:9">
      <c r="C330" s="151"/>
      <c r="D330" s="151"/>
      <c r="E330" s="151"/>
      <c r="F330" s="151"/>
      <c r="G330" s="151"/>
      <c r="H330" s="151"/>
      <c r="I330" s="151"/>
    </row>
    <row r="331" spans="3:9">
      <c r="C331" s="151"/>
      <c r="D331" s="151"/>
      <c r="E331" s="151"/>
      <c r="F331" s="151"/>
      <c r="G331" s="151"/>
      <c r="H331" s="151"/>
      <c r="I331" s="151"/>
    </row>
    <row r="332" spans="3:9">
      <c r="C332" s="151"/>
      <c r="D332" s="151"/>
      <c r="E332" s="151"/>
      <c r="F332" s="151"/>
      <c r="G332" s="151"/>
      <c r="H332" s="151"/>
      <c r="I332" s="151"/>
    </row>
    <row r="333" spans="3:9">
      <c r="C333" s="151"/>
      <c r="D333" s="151"/>
      <c r="E333" s="151"/>
      <c r="F333" s="151"/>
      <c r="G333" s="151"/>
      <c r="H333" s="151"/>
      <c r="I333" s="151"/>
    </row>
    <row r="334" spans="3:9">
      <c r="C334" s="151"/>
      <c r="D334" s="151"/>
      <c r="E334" s="151"/>
      <c r="F334" s="151"/>
      <c r="G334" s="151"/>
      <c r="H334" s="151"/>
      <c r="I334" s="151"/>
    </row>
    <row r="335" spans="3:9">
      <c r="C335" s="151"/>
      <c r="D335" s="151"/>
      <c r="E335" s="151"/>
      <c r="F335" s="151"/>
      <c r="G335" s="151"/>
      <c r="H335" s="151"/>
      <c r="I335" s="151"/>
    </row>
    <row r="336" spans="3:9">
      <c r="C336" s="151"/>
      <c r="D336" s="151"/>
      <c r="E336" s="151"/>
      <c r="F336" s="151"/>
      <c r="G336" s="151"/>
      <c r="H336" s="151"/>
      <c r="I336" s="151"/>
    </row>
    <row r="337" spans="3:9">
      <c r="C337" s="151"/>
      <c r="D337" s="151"/>
      <c r="E337" s="151"/>
      <c r="F337" s="151"/>
      <c r="G337" s="151"/>
      <c r="H337" s="151"/>
      <c r="I337" s="151"/>
    </row>
    <row r="338" spans="3:9">
      <c r="C338" s="151"/>
      <c r="D338" s="151"/>
      <c r="E338" s="151"/>
      <c r="F338" s="151"/>
      <c r="G338" s="151"/>
      <c r="H338" s="151"/>
      <c r="I338" s="151"/>
    </row>
    <row r="339" spans="3:9">
      <c r="C339" s="151"/>
      <c r="D339" s="151"/>
      <c r="E339" s="151"/>
      <c r="F339" s="151"/>
      <c r="G339" s="151"/>
      <c r="H339" s="151"/>
      <c r="I339" s="151"/>
    </row>
    <row r="340" spans="3:9">
      <c r="C340" s="151"/>
      <c r="D340" s="151"/>
      <c r="E340" s="151"/>
      <c r="F340" s="151"/>
      <c r="G340" s="151"/>
      <c r="H340" s="151"/>
      <c r="I340" s="151"/>
    </row>
    <row r="341" spans="3:9">
      <c r="C341" s="151"/>
      <c r="D341" s="151"/>
      <c r="E341" s="151"/>
      <c r="F341" s="151"/>
      <c r="G341" s="151"/>
      <c r="H341" s="151"/>
      <c r="I341" s="151"/>
    </row>
    <row r="342" spans="3:9">
      <c r="C342" s="151"/>
      <c r="D342" s="151"/>
      <c r="E342" s="151"/>
      <c r="F342" s="151"/>
      <c r="G342" s="151"/>
      <c r="H342" s="151"/>
      <c r="I342" s="151"/>
    </row>
    <row r="343" spans="3:9">
      <c r="C343" s="151"/>
      <c r="D343" s="151"/>
      <c r="E343" s="151"/>
      <c r="F343" s="151"/>
      <c r="G343" s="151"/>
      <c r="H343" s="151"/>
      <c r="I343" s="151"/>
    </row>
    <row r="344" spans="3:9">
      <c r="C344" s="151"/>
      <c r="D344" s="151"/>
      <c r="E344" s="151"/>
      <c r="F344" s="151"/>
      <c r="G344" s="151"/>
      <c r="H344" s="151"/>
      <c r="I344" s="151"/>
    </row>
    <row r="345" spans="3:9">
      <c r="C345" s="151"/>
      <c r="D345" s="151"/>
      <c r="E345" s="151"/>
      <c r="F345" s="151"/>
      <c r="G345" s="151"/>
      <c r="H345" s="151"/>
      <c r="I345" s="151"/>
    </row>
    <row r="346" spans="3:9">
      <c r="C346" s="151"/>
      <c r="D346" s="151"/>
      <c r="E346" s="151"/>
      <c r="F346" s="151"/>
      <c r="G346" s="151"/>
      <c r="H346" s="151"/>
      <c r="I346" s="151"/>
    </row>
    <row r="347" spans="3:9">
      <c r="C347" s="151"/>
      <c r="D347" s="151"/>
      <c r="E347" s="151"/>
      <c r="F347" s="151"/>
      <c r="G347" s="151"/>
      <c r="H347" s="151"/>
      <c r="I347" s="151"/>
    </row>
    <row r="348" spans="3:9">
      <c r="C348" s="151"/>
      <c r="D348" s="151"/>
      <c r="E348" s="151"/>
      <c r="F348" s="151"/>
      <c r="G348" s="151"/>
      <c r="H348" s="151"/>
      <c r="I348" s="151"/>
    </row>
    <row r="349" spans="3:9">
      <c r="C349" s="151"/>
      <c r="D349" s="151"/>
      <c r="E349" s="151"/>
      <c r="F349" s="151"/>
      <c r="G349" s="151"/>
      <c r="H349" s="151"/>
      <c r="I349" s="151"/>
    </row>
    <row r="350" spans="3:9">
      <c r="C350" s="151"/>
      <c r="D350" s="151"/>
      <c r="E350" s="151"/>
      <c r="F350" s="151"/>
      <c r="G350" s="151"/>
      <c r="H350" s="151"/>
      <c r="I350" s="151"/>
    </row>
    <row r="351" spans="3:9">
      <c r="C351" s="151"/>
      <c r="D351" s="151"/>
      <c r="E351" s="151"/>
      <c r="F351" s="151"/>
      <c r="G351" s="151"/>
      <c r="H351" s="151"/>
      <c r="I351" s="151"/>
    </row>
    <row r="352" spans="3:9">
      <c r="C352" s="151"/>
      <c r="D352" s="151"/>
      <c r="E352" s="151"/>
      <c r="F352" s="151"/>
      <c r="G352" s="151"/>
      <c r="H352" s="151"/>
      <c r="I352" s="151"/>
    </row>
    <row r="353" spans="3:9">
      <c r="C353" s="151"/>
      <c r="D353" s="151"/>
      <c r="E353" s="151"/>
      <c r="F353" s="151"/>
      <c r="G353" s="151"/>
      <c r="H353" s="151"/>
      <c r="I353" s="151"/>
    </row>
    <row r="354" spans="3:9">
      <c r="C354" s="151"/>
      <c r="D354" s="151"/>
      <c r="E354" s="151"/>
      <c r="F354" s="151"/>
      <c r="G354" s="151"/>
      <c r="H354" s="151"/>
      <c r="I354" s="151"/>
    </row>
    <row r="355" spans="3:9">
      <c r="C355" s="151"/>
      <c r="D355" s="151"/>
      <c r="E355" s="151"/>
      <c r="F355" s="151"/>
      <c r="G355" s="151"/>
      <c r="H355" s="151"/>
      <c r="I355" s="151"/>
    </row>
    <row r="356" spans="3:9">
      <c r="C356" s="151"/>
      <c r="D356" s="151"/>
      <c r="E356" s="151"/>
      <c r="F356" s="151"/>
      <c r="G356" s="151"/>
      <c r="H356" s="151"/>
      <c r="I356" s="151"/>
    </row>
    <row r="357" spans="3:9">
      <c r="C357" s="151"/>
      <c r="D357" s="151"/>
      <c r="E357" s="151"/>
      <c r="F357" s="151"/>
      <c r="G357" s="151"/>
      <c r="H357" s="151"/>
      <c r="I357" s="151"/>
    </row>
    <row r="358" spans="3:9">
      <c r="C358" s="151"/>
      <c r="D358" s="151"/>
      <c r="E358" s="151"/>
      <c r="F358" s="151"/>
      <c r="G358" s="151"/>
      <c r="H358" s="151"/>
      <c r="I358" s="151"/>
    </row>
    <row r="359" spans="3:9">
      <c r="C359" s="151"/>
      <c r="D359" s="151"/>
      <c r="E359" s="151"/>
      <c r="F359" s="151"/>
      <c r="G359" s="151"/>
      <c r="H359" s="151"/>
      <c r="I359" s="151"/>
    </row>
    <row r="360" spans="3:9">
      <c r="C360" s="151"/>
      <c r="D360" s="151"/>
      <c r="E360" s="151"/>
      <c r="F360" s="151"/>
      <c r="G360" s="151"/>
      <c r="H360" s="151"/>
      <c r="I360" s="151"/>
    </row>
    <row r="361" spans="3:9">
      <c r="C361" s="151"/>
      <c r="D361" s="151"/>
      <c r="E361" s="151"/>
      <c r="F361" s="151"/>
      <c r="G361" s="151"/>
      <c r="H361" s="151"/>
      <c r="I361" s="151"/>
    </row>
    <row r="362" spans="3:9">
      <c r="C362" s="151"/>
      <c r="D362" s="151"/>
      <c r="E362" s="151"/>
      <c r="F362" s="151"/>
      <c r="G362" s="151"/>
      <c r="H362" s="151"/>
      <c r="I362" s="151"/>
    </row>
    <row r="363" spans="3:9">
      <c r="C363" s="151"/>
      <c r="D363" s="151"/>
      <c r="E363" s="151"/>
      <c r="F363" s="151"/>
      <c r="G363" s="151"/>
      <c r="H363" s="151"/>
      <c r="I363" s="151"/>
    </row>
    <row r="364" spans="3:9">
      <c r="C364" s="151"/>
      <c r="D364" s="151"/>
      <c r="E364" s="151"/>
      <c r="F364" s="151"/>
      <c r="G364" s="151"/>
      <c r="H364" s="151"/>
      <c r="I364" s="151"/>
    </row>
    <row r="365" spans="3:9">
      <c r="C365" s="151"/>
      <c r="D365" s="151"/>
      <c r="E365" s="151"/>
      <c r="F365" s="151"/>
      <c r="G365" s="151"/>
      <c r="H365" s="151"/>
      <c r="I365" s="151"/>
    </row>
    <row r="366" spans="3:9">
      <c r="C366" s="151"/>
      <c r="D366" s="151"/>
      <c r="E366" s="151"/>
      <c r="F366" s="151"/>
      <c r="G366" s="151"/>
      <c r="H366" s="151"/>
      <c r="I366" s="151"/>
    </row>
    <row r="367" spans="3:9">
      <c r="C367" s="151"/>
      <c r="D367" s="151"/>
      <c r="E367" s="151"/>
      <c r="F367" s="151"/>
      <c r="G367" s="151"/>
      <c r="H367" s="151"/>
      <c r="I367" s="151"/>
    </row>
    <row r="368" spans="3:9">
      <c r="C368" s="151"/>
      <c r="D368" s="151"/>
      <c r="E368" s="151"/>
      <c r="F368" s="151"/>
      <c r="G368" s="151"/>
      <c r="H368" s="151"/>
      <c r="I368" s="151"/>
    </row>
    <row r="369" spans="3:9">
      <c r="C369" s="151"/>
      <c r="D369" s="151"/>
      <c r="E369" s="151"/>
      <c r="F369" s="151"/>
      <c r="G369" s="151"/>
      <c r="H369" s="151"/>
      <c r="I369" s="151"/>
    </row>
    <row r="370" spans="3:9">
      <c r="C370" s="151"/>
      <c r="D370" s="151"/>
      <c r="E370" s="151"/>
      <c r="F370" s="151"/>
      <c r="G370" s="151"/>
      <c r="H370" s="151"/>
      <c r="I370" s="151"/>
    </row>
    <row r="371" spans="3:9">
      <c r="C371" s="151"/>
      <c r="D371" s="151"/>
      <c r="E371" s="151"/>
      <c r="F371" s="151"/>
      <c r="G371" s="151"/>
      <c r="H371" s="151"/>
      <c r="I371" s="151"/>
    </row>
    <row r="372" spans="3:9">
      <c r="C372" s="151"/>
      <c r="D372" s="151"/>
      <c r="E372" s="151"/>
      <c r="F372" s="151"/>
      <c r="G372" s="151"/>
      <c r="H372" s="151"/>
      <c r="I372" s="151"/>
    </row>
    <row r="373" spans="3:9">
      <c r="C373" s="151"/>
      <c r="D373" s="151"/>
      <c r="E373" s="151"/>
      <c r="F373" s="151"/>
      <c r="G373" s="151"/>
      <c r="H373" s="151"/>
      <c r="I373" s="151"/>
    </row>
    <row r="374" spans="3:9">
      <c r="C374" s="151"/>
      <c r="D374" s="151"/>
      <c r="E374" s="151"/>
      <c r="F374" s="151"/>
      <c r="G374" s="151"/>
      <c r="H374" s="151"/>
      <c r="I374" s="151"/>
    </row>
    <row r="375" spans="3:9">
      <c r="C375" s="151"/>
      <c r="D375" s="151"/>
      <c r="E375" s="151"/>
      <c r="F375" s="151"/>
      <c r="G375" s="151"/>
      <c r="H375" s="151"/>
      <c r="I375" s="151"/>
    </row>
    <row r="376" spans="3:9">
      <c r="C376" s="151"/>
      <c r="D376" s="151"/>
      <c r="E376" s="151"/>
      <c r="F376" s="151"/>
      <c r="G376" s="151"/>
      <c r="H376" s="151"/>
      <c r="I376" s="151"/>
    </row>
    <row r="377" spans="3:9">
      <c r="C377" s="151"/>
      <c r="D377" s="151"/>
      <c r="E377" s="151"/>
      <c r="F377" s="151"/>
      <c r="G377" s="151"/>
      <c r="H377" s="151"/>
      <c r="I377" s="151"/>
    </row>
    <row r="378" spans="3:9">
      <c r="C378" s="151"/>
      <c r="D378" s="151"/>
      <c r="E378" s="151"/>
      <c r="F378" s="151"/>
      <c r="G378" s="151"/>
      <c r="H378" s="151"/>
      <c r="I378" s="151"/>
    </row>
    <row r="379" spans="3:9">
      <c r="C379" s="151"/>
      <c r="D379" s="151"/>
      <c r="E379" s="151"/>
      <c r="F379" s="151"/>
      <c r="G379" s="151"/>
      <c r="H379" s="151"/>
      <c r="I379" s="151"/>
    </row>
    <row r="380" spans="3:9">
      <c r="C380" s="151"/>
      <c r="D380" s="151"/>
      <c r="E380" s="151"/>
      <c r="F380" s="151"/>
      <c r="G380" s="151"/>
      <c r="H380" s="151"/>
      <c r="I380" s="151"/>
    </row>
    <row r="381" spans="3:9">
      <c r="C381" s="151"/>
      <c r="D381" s="151"/>
      <c r="E381" s="151"/>
      <c r="F381" s="151"/>
      <c r="G381" s="151"/>
      <c r="H381" s="151"/>
      <c r="I381" s="151"/>
    </row>
    <row r="382" spans="3:9">
      <c r="C382" s="151"/>
      <c r="D382" s="151"/>
      <c r="E382" s="151"/>
      <c r="F382" s="151"/>
      <c r="G382" s="151"/>
      <c r="H382" s="151"/>
      <c r="I382" s="151"/>
    </row>
    <row r="383" spans="3:9">
      <c r="C383" s="151"/>
      <c r="D383" s="151"/>
      <c r="E383" s="151"/>
      <c r="F383" s="151"/>
      <c r="G383" s="151"/>
      <c r="H383" s="151"/>
      <c r="I383" s="151"/>
    </row>
    <row r="384" spans="3:9">
      <c r="C384" s="151"/>
      <c r="D384" s="151"/>
      <c r="E384" s="151"/>
      <c r="F384" s="151"/>
      <c r="G384" s="151"/>
      <c r="H384" s="151"/>
      <c r="I384" s="151"/>
    </row>
    <row r="385" spans="3:9">
      <c r="C385" s="151"/>
      <c r="D385" s="151"/>
      <c r="E385" s="151"/>
      <c r="F385" s="151"/>
      <c r="G385" s="151"/>
      <c r="H385" s="151"/>
      <c r="I385" s="151"/>
    </row>
    <row r="386" spans="3:9">
      <c r="C386" s="151"/>
      <c r="D386" s="151"/>
      <c r="E386" s="151"/>
      <c r="F386" s="151"/>
      <c r="G386" s="151"/>
      <c r="H386" s="151"/>
      <c r="I386" s="151"/>
    </row>
    <row r="387" spans="3:9">
      <c r="C387" s="151"/>
      <c r="D387" s="151"/>
      <c r="E387" s="151"/>
      <c r="F387" s="151"/>
      <c r="G387" s="151"/>
      <c r="H387" s="151"/>
      <c r="I387" s="151"/>
    </row>
    <row r="388" spans="3:9">
      <c r="C388" s="151"/>
      <c r="D388" s="151"/>
      <c r="E388" s="151"/>
      <c r="F388" s="151"/>
      <c r="G388" s="151"/>
      <c r="H388" s="151"/>
      <c r="I388" s="151"/>
    </row>
    <row r="389" spans="3:9">
      <c r="C389" s="151"/>
      <c r="D389" s="151"/>
      <c r="E389" s="151"/>
      <c r="F389" s="151"/>
      <c r="G389" s="151"/>
      <c r="H389" s="151"/>
      <c r="I389" s="151"/>
    </row>
    <row r="390" spans="3:9">
      <c r="C390" s="151"/>
      <c r="D390" s="151"/>
      <c r="E390" s="151"/>
      <c r="F390" s="151"/>
      <c r="G390" s="151"/>
      <c r="H390" s="151"/>
      <c r="I390" s="151"/>
    </row>
  </sheetData>
  <autoFilter ref="A43:A56"/>
  <mergeCells count="2">
    <mergeCell ref="A1:B1"/>
    <mergeCell ref="A3:B3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I109"/>
  <sheetViews>
    <sheetView workbookViewId="0">
      <selection activeCell="A3" sqref="A3"/>
    </sheetView>
  </sheetViews>
  <sheetFormatPr defaultRowHeight="12.75"/>
  <cols>
    <col min="1" max="1" width="64.42578125" style="2" customWidth="1"/>
    <col min="2" max="2" width="15" style="210" customWidth="1"/>
    <col min="3" max="24" width="9.140625" style="3" customWidth="1"/>
    <col min="25" max="25" width="10.140625" style="3" customWidth="1"/>
    <col min="26" max="26" width="9.7109375" style="3" customWidth="1"/>
    <col min="27" max="217" width="9.140625" style="3" customWidth="1"/>
  </cols>
  <sheetData>
    <row r="1" spans="1:217">
      <c r="A1" s="52" t="s">
        <v>345</v>
      </c>
      <c r="B1" s="52"/>
    </row>
    <row r="3" spans="1:217" ht="25.5" customHeight="1">
      <c r="A3" s="199" t="s">
        <v>346</v>
      </c>
      <c r="B3" s="20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</row>
    <row r="4" spans="1:217">
      <c r="A4" s="14"/>
      <c r="B4" s="20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>
      <c r="A5" s="202"/>
      <c r="B5" s="20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>
      <c r="A6" s="203" t="s">
        <v>347</v>
      </c>
      <c r="B6" s="204">
        <f>B10+B40</f>
        <v>87450424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17">
      <c r="A7" s="157"/>
      <c r="B7" s="15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17">
      <c r="A8" s="159" t="s">
        <v>292</v>
      </c>
      <c r="B8" s="15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17">
      <c r="A9" s="157"/>
      <c r="B9" s="15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17">
      <c r="A10" s="205" t="s">
        <v>348</v>
      </c>
      <c r="B10" s="206">
        <f>B12+B18+B29+B25+B35</f>
        <v>84970424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17">
      <c r="A11" s="205"/>
      <c r="B11" s="20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17">
      <c r="A12" s="207" t="s">
        <v>349</v>
      </c>
      <c r="B12" s="208">
        <f>B13+B15+B14+B16</f>
        <v>5600000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17">
      <c r="A13" s="163" t="s">
        <v>350</v>
      </c>
      <c r="B13" s="209">
        <v>700000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17">
      <c r="A14" s="163" t="s">
        <v>351</v>
      </c>
      <c r="B14" s="209">
        <v>200000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17">
      <c r="A15" s="68" t="s">
        <v>352</v>
      </c>
      <c r="B15" s="209">
        <v>4300000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17">
      <c r="A16" s="68" t="s">
        <v>353</v>
      </c>
      <c r="B16" s="209">
        <v>400000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6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07" t="s">
        <v>354</v>
      </c>
      <c r="B18" s="211">
        <f>SUM(B19:B23)</f>
        <v>62470424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12" t="s">
        <v>355</v>
      </c>
      <c r="B19" s="210">
        <f>5012*13*12</f>
        <v>781872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12" t="s">
        <v>356</v>
      </c>
      <c r="B20" s="210">
        <f>5012*43*12</f>
        <v>2586192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68" t="s">
        <v>357</v>
      </c>
      <c r="B21" s="210">
        <v>102360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>
      <c r="A22" s="68" t="s">
        <v>358</v>
      </c>
      <c r="B22" s="210">
        <f>24600000+7400000+2000000</f>
        <v>34000000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68" t="s">
        <v>359</v>
      </c>
      <c r="B23" s="210">
        <f>24400000+600000</f>
        <v>25000000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6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07" t="s">
        <v>360</v>
      </c>
      <c r="B25" s="208">
        <f>SUM(B26:B27)</f>
        <v>10000000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68" t="s">
        <v>361</v>
      </c>
      <c r="B26" s="209">
        <v>1800000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68" t="s">
        <v>362</v>
      </c>
      <c r="B27" s="209">
        <f>8000000+200000</f>
        <v>8200000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68"/>
      <c r="B28" s="20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07" t="s">
        <v>363</v>
      </c>
      <c r="B29" s="208">
        <f>SUM(B30:B34)</f>
        <v>6200000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68" t="s">
        <v>364</v>
      </c>
      <c r="B30" s="209">
        <v>2500000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13" t="s">
        <v>365</v>
      </c>
      <c r="B31" s="209">
        <v>500000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68" t="s">
        <v>366</v>
      </c>
      <c r="B32" s="209">
        <v>2000000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68" t="s">
        <v>367</v>
      </c>
      <c r="B33" s="209">
        <v>1200000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68"/>
      <c r="B34" s="20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14" t="s">
        <v>368</v>
      </c>
      <c r="B35" s="190">
        <f>B36+B37</f>
        <v>700000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168" t="s">
        <v>369</v>
      </c>
      <c r="B36" s="209">
        <v>700000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68"/>
      <c r="B37" s="20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159" t="s">
        <v>316</v>
      </c>
      <c r="B38" s="20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15"/>
      <c r="B39" s="20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05" t="s">
        <v>348</v>
      </c>
      <c r="B40" s="208">
        <f>+B41</f>
        <v>2480000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07" t="s">
        <v>363</v>
      </c>
      <c r="B41" s="208">
        <f>SUM(B42:B43)</f>
        <v>2480000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13" t="s">
        <v>370</v>
      </c>
      <c r="B42" s="209">
        <v>480000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13" t="s">
        <v>371</v>
      </c>
      <c r="B43" s="54">
        <v>2000000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16"/>
      <c r="B44" s="21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157"/>
      <c r="B45" s="15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07"/>
      <c r="B46" s="21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6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idden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3:25" hidden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3:25" hidden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3:25" hidden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3:25" hidden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3:25" hidden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3:25" hidden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3:25" hidden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3:25" hidden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3:25" hidden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3:25" hidden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3:25" hidden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3:25" hidden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3:25" hidden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3:25" hidden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3:25" hidden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3:25" hidden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3:25" hidden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3:25" hidden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3:25" hidden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3:25" hidden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3:25" hidden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3:25" hidden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3:25" hidden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3:25" hidden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3:25" hidden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3:25" hidden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3:25" hidden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3:25" hidden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3:25" hidden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3:25" hidden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3:25" hidden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3:25" hidden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3:25" hidden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3:25" hidden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3:25" hidden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3:25" hidden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3:25" hidden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3:25" hidden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3:25" hidden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3:25" hidden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3:25" hidden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3:25" hidden="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3:25" hidden="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3:25" hidden="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3:25" hidden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3:25" hidden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3:25" hidden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3:25" hidden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3:25" hidden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3:25" hidden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3:25" hidden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3:25" hidden="1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3:25" hidden="1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3:25" hidden="1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3:25" hidden="1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3:25" hidden="1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3:25" hidden="1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3:25" hidden="1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3:25" hidden="1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3: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3: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</sheetData>
  <mergeCells count="2">
    <mergeCell ref="A1:B1"/>
    <mergeCell ref="A3:B3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800"/>
  <sheetViews>
    <sheetView workbookViewId="0">
      <selection activeCell="A3" sqref="A3"/>
    </sheetView>
  </sheetViews>
  <sheetFormatPr defaultRowHeight="12.75"/>
  <cols>
    <col min="1" max="1" width="68" customWidth="1"/>
    <col min="2" max="2" width="17.5703125" customWidth="1"/>
  </cols>
  <sheetData>
    <row r="1" spans="1:2">
      <c r="A1" s="52" t="s">
        <v>372</v>
      </c>
      <c r="B1" s="52"/>
    </row>
    <row r="2" spans="1:2">
      <c r="A2" s="53"/>
      <c r="B2" s="53"/>
    </row>
    <row r="3" spans="1:2">
      <c r="A3" s="219" t="s">
        <v>373</v>
      </c>
      <c r="B3" s="219"/>
    </row>
    <row r="4" spans="1:2">
      <c r="A4" s="53"/>
      <c r="B4" s="53"/>
    </row>
    <row r="5" spans="1:2">
      <c r="A5" s="219" t="s">
        <v>374</v>
      </c>
      <c r="B5" s="219"/>
    </row>
    <row r="6" spans="1:2">
      <c r="A6" s="220"/>
      <c r="B6" s="53"/>
    </row>
    <row r="7" spans="1:2">
      <c r="A7" s="221" t="s">
        <v>292</v>
      </c>
      <c r="B7" s="221"/>
    </row>
    <row r="8" spans="1:2">
      <c r="A8" s="222"/>
      <c r="B8" s="53"/>
    </row>
    <row r="9" spans="1:2">
      <c r="A9" s="223" t="s">
        <v>375</v>
      </c>
      <c r="B9" s="224"/>
    </row>
    <row r="10" spans="1:2">
      <c r="A10" s="225"/>
      <c r="B10" s="226"/>
    </row>
    <row r="11" spans="1:2">
      <c r="A11" s="61" t="s">
        <v>376</v>
      </c>
      <c r="B11" s="227">
        <f>8250000-650000</f>
        <v>7600000</v>
      </c>
    </row>
    <row r="12" spans="1:2">
      <c r="A12" s="61" t="s">
        <v>377</v>
      </c>
      <c r="B12" s="227">
        <f>B11*0.27</f>
        <v>2052000.0000000002</v>
      </c>
    </row>
    <row r="13" spans="1:2">
      <c r="A13" s="228" t="s">
        <v>378</v>
      </c>
      <c r="B13" s="229">
        <f>SUM(B11:B12)</f>
        <v>9652000</v>
      </c>
    </row>
    <row r="14" spans="1:2">
      <c r="A14" s="230"/>
      <c r="B14" s="229">
        <f>SUM(B13)</f>
        <v>9652000</v>
      </c>
    </row>
    <row r="15" spans="1:2">
      <c r="A15" s="231" t="s">
        <v>379</v>
      </c>
      <c r="B15" s="229">
        <f>+B14</f>
        <v>9652000</v>
      </c>
    </row>
    <row r="16" spans="1:2">
      <c r="A16" s="232" t="s">
        <v>380</v>
      </c>
      <c r="B16" s="229">
        <f>+B15</f>
        <v>9652000</v>
      </c>
    </row>
    <row r="17" spans="1:2">
      <c r="A17" s="232"/>
      <c r="B17" s="229"/>
    </row>
    <row r="18" spans="1:2">
      <c r="A18" s="223" t="s">
        <v>381</v>
      </c>
      <c r="B18" s="224"/>
    </row>
    <row r="19" spans="1:2">
      <c r="A19" s="233"/>
      <c r="B19" s="234"/>
    </row>
    <row r="20" spans="1:2">
      <c r="A20" s="235" t="s">
        <v>382</v>
      </c>
      <c r="B20" s="236">
        <v>823900</v>
      </c>
    </row>
    <row r="21" spans="1:2">
      <c r="A21" s="237" t="s">
        <v>383</v>
      </c>
      <c r="B21" s="238">
        <f>SUM(B20)</f>
        <v>823900</v>
      </c>
    </row>
    <row r="22" spans="1:2">
      <c r="A22" s="237"/>
      <c r="B22" s="238"/>
    </row>
    <row r="23" spans="1:2">
      <c r="A23" s="110" t="s">
        <v>384</v>
      </c>
      <c r="B23" s="236">
        <v>146122</v>
      </c>
    </row>
    <row r="24" spans="1:2">
      <c r="A24" s="237" t="s">
        <v>385</v>
      </c>
      <c r="B24" s="238">
        <f>SUM(B23)</f>
        <v>146122</v>
      </c>
    </row>
    <row r="25" spans="1:2">
      <c r="A25" s="225"/>
      <c r="B25" s="236"/>
    </row>
    <row r="26" spans="1:2">
      <c r="A26" s="235" t="s">
        <v>386</v>
      </c>
      <c r="B26" s="236">
        <v>20000</v>
      </c>
    </row>
    <row r="27" spans="1:2">
      <c r="A27" s="61" t="s">
        <v>387</v>
      </c>
      <c r="B27" s="236">
        <v>20000</v>
      </c>
    </row>
    <row r="28" spans="1:2">
      <c r="A28" s="61" t="s">
        <v>388</v>
      </c>
      <c r="B28" s="236">
        <v>10000</v>
      </c>
    </row>
    <row r="29" spans="1:2">
      <c r="A29" s="61" t="s">
        <v>389</v>
      </c>
      <c r="B29" s="236">
        <v>80000</v>
      </c>
    </row>
    <row r="30" spans="1:2">
      <c r="A30" s="239" t="s">
        <v>390</v>
      </c>
      <c r="B30" s="238">
        <f>SUM(B26:B29)</f>
        <v>130000</v>
      </c>
    </row>
    <row r="31" spans="1:2">
      <c r="A31" s="240" t="s">
        <v>391</v>
      </c>
      <c r="B31" s="236">
        <v>50000</v>
      </c>
    </row>
    <row r="32" spans="1:2">
      <c r="A32" s="228" t="s">
        <v>392</v>
      </c>
      <c r="B32" s="238">
        <f>SUM(B31:B31)</f>
        <v>50000</v>
      </c>
    </row>
    <row r="33" spans="1:2">
      <c r="A33" s="61" t="s">
        <v>393</v>
      </c>
      <c r="B33" s="236">
        <v>300000</v>
      </c>
    </row>
    <row r="34" spans="1:2">
      <c r="A34" s="61" t="s">
        <v>376</v>
      </c>
      <c r="B34" s="236">
        <v>260000</v>
      </c>
    </row>
    <row r="35" spans="1:2">
      <c r="A35" s="61" t="s">
        <v>394</v>
      </c>
      <c r="B35" s="236">
        <v>150000</v>
      </c>
    </row>
    <row r="36" spans="1:2">
      <c r="A36" s="228" t="s">
        <v>378</v>
      </c>
      <c r="B36" s="238">
        <f>SUM(B33:B35)</f>
        <v>710000</v>
      </c>
    </row>
    <row r="37" spans="1:2">
      <c r="A37" s="61" t="s">
        <v>395</v>
      </c>
      <c r="B37" s="236">
        <v>50000</v>
      </c>
    </row>
    <row r="38" spans="1:2">
      <c r="A38" s="61" t="s">
        <v>396</v>
      </c>
      <c r="B38" s="236">
        <f>5525000+266400</f>
        <v>5791400</v>
      </c>
    </row>
    <row r="39" spans="1:2">
      <c r="A39" s="61" t="s">
        <v>397</v>
      </c>
      <c r="B39" s="236">
        <v>20000</v>
      </c>
    </row>
    <row r="40" spans="1:2">
      <c r="A40" s="228" t="s">
        <v>398</v>
      </c>
      <c r="B40" s="241">
        <f>SUM(B37:B39)</f>
        <v>5861400</v>
      </c>
    </row>
    <row r="41" spans="1:2">
      <c r="A41" s="61" t="s">
        <v>399</v>
      </c>
      <c r="B41" s="242">
        <v>70000</v>
      </c>
    </row>
    <row r="42" spans="1:2">
      <c r="A42" s="61" t="s">
        <v>377</v>
      </c>
      <c r="B42" s="242">
        <f>(B26+B27+B31+B33+B34+B37+B39+B35+B28+B29)*0.27</f>
        <v>259200.00000000003</v>
      </c>
    </row>
    <row r="43" spans="1:2">
      <c r="A43" s="239" t="s">
        <v>400</v>
      </c>
      <c r="B43" s="241">
        <f>SUM(B41:B42)</f>
        <v>329200</v>
      </c>
    </row>
    <row r="44" spans="1:2">
      <c r="A44" s="239"/>
      <c r="B44" s="242"/>
    </row>
    <row r="45" spans="1:2">
      <c r="A45" s="231" t="s">
        <v>379</v>
      </c>
      <c r="B45" s="241">
        <f>B30+B32+B36+B40+B43</f>
        <v>7080600</v>
      </c>
    </row>
    <row r="46" spans="1:2">
      <c r="A46" s="232" t="s">
        <v>380</v>
      </c>
      <c r="B46" s="241">
        <f>B21+B24+B45</f>
        <v>8050622</v>
      </c>
    </row>
    <row r="47" spans="1:2">
      <c r="A47" s="231"/>
      <c r="B47" s="229"/>
    </row>
    <row r="48" spans="1:2">
      <c r="A48" s="243" t="s">
        <v>299</v>
      </c>
      <c r="B48" s="224"/>
    </row>
    <row r="49" spans="1:2">
      <c r="A49" s="232"/>
      <c r="B49" s="229"/>
    </row>
    <row r="50" spans="1:2">
      <c r="A50" s="61" t="s">
        <v>393</v>
      </c>
      <c r="B50" s="236">
        <v>100000</v>
      </c>
    </row>
    <row r="51" spans="1:2">
      <c r="A51" s="61" t="s">
        <v>376</v>
      </c>
      <c r="B51" s="236">
        <v>65000</v>
      </c>
    </row>
    <row r="52" spans="1:2">
      <c r="A52" s="61" t="s">
        <v>394</v>
      </c>
      <c r="B52" s="236">
        <v>25000</v>
      </c>
    </row>
    <row r="53" spans="1:2">
      <c r="A53" s="228" t="s">
        <v>378</v>
      </c>
      <c r="B53" s="238">
        <f>SUM(B50:B52)</f>
        <v>190000</v>
      </c>
    </row>
    <row r="54" spans="1:2">
      <c r="A54" s="61" t="s">
        <v>395</v>
      </c>
      <c r="B54" s="236">
        <v>20000</v>
      </c>
    </row>
    <row r="55" spans="1:2">
      <c r="A55" s="61" t="s">
        <v>397</v>
      </c>
      <c r="B55" s="236">
        <v>10000</v>
      </c>
    </row>
    <row r="56" spans="1:2">
      <c r="A56" s="228" t="s">
        <v>398</v>
      </c>
      <c r="B56" s="241">
        <f>SUM(B54:B55)</f>
        <v>30000</v>
      </c>
    </row>
    <row r="57" spans="1:2">
      <c r="A57" s="61" t="s">
        <v>377</v>
      </c>
      <c r="B57" s="242">
        <f>(B50+B51+B52+B54+B55)*0.27</f>
        <v>59400.000000000007</v>
      </c>
    </row>
    <row r="58" spans="1:2">
      <c r="A58" s="239" t="s">
        <v>400</v>
      </c>
      <c r="B58" s="241">
        <f>SUM(B57:B57)</f>
        <v>59400.000000000007</v>
      </c>
    </row>
    <row r="59" spans="1:2">
      <c r="A59" s="239"/>
      <c r="B59" s="242"/>
    </row>
    <row r="60" spans="1:2">
      <c r="A60" s="231" t="s">
        <v>379</v>
      </c>
      <c r="B60" s="241">
        <f>+B53+B56+B58</f>
        <v>279400</v>
      </c>
    </row>
    <row r="61" spans="1:2">
      <c r="A61" s="231"/>
      <c r="B61" s="241"/>
    </row>
    <row r="62" spans="1:2">
      <c r="A62" s="232" t="s">
        <v>380</v>
      </c>
      <c r="B62" s="241">
        <f>B60</f>
        <v>279400</v>
      </c>
    </row>
    <row r="63" spans="1:2">
      <c r="A63" s="232"/>
      <c r="B63" s="241"/>
    </row>
    <row r="64" spans="1:2">
      <c r="A64" s="244" t="s">
        <v>401</v>
      </c>
      <c r="B64" s="224"/>
    </row>
    <row r="65" spans="1:2">
      <c r="A65" s="245"/>
      <c r="B65" s="246"/>
    </row>
    <row r="66" spans="1:2">
      <c r="A66" s="110" t="s">
        <v>402</v>
      </c>
      <c r="B66" s="242">
        <v>5734277</v>
      </c>
    </row>
    <row r="67" spans="1:2">
      <c r="A67" s="237" t="s">
        <v>383</v>
      </c>
      <c r="B67" s="241">
        <f>SUM(B66)</f>
        <v>5734277</v>
      </c>
    </row>
    <row r="68" spans="1:2">
      <c r="A68" s="237"/>
      <c r="B68" s="241"/>
    </row>
    <row r="69" spans="1:2">
      <c r="A69" s="110" t="s">
        <v>384</v>
      </c>
      <c r="B69" s="242">
        <v>563508</v>
      </c>
    </row>
    <row r="70" spans="1:2">
      <c r="A70" s="110" t="s">
        <v>403</v>
      </c>
      <c r="B70" s="242">
        <v>10000</v>
      </c>
    </row>
    <row r="71" spans="1:2">
      <c r="A71" s="237" t="s">
        <v>385</v>
      </c>
      <c r="B71" s="241">
        <f>SUM(B69:B70)</f>
        <v>573508</v>
      </c>
    </row>
    <row r="72" spans="1:2">
      <c r="A72" s="237"/>
      <c r="B72" s="241"/>
    </row>
    <row r="73" spans="1:2">
      <c r="A73" s="232" t="s">
        <v>380</v>
      </c>
      <c r="B73" s="241">
        <f>B67+B71</f>
        <v>6307785</v>
      </c>
    </row>
    <row r="74" spans="1:2">
      <c r="A74" s="232"/>
      <c r="B74" s="241"/>
    </row>
    <row r="75" spans="1:2">
      <c r="A75" s="232"/>
      <c r="B75" s="241"/>
    </row>
    <row r="76" spans="1:2">
      <c r="A76" s="244" t="s">
        <v>404</v>
      </c>
      <c r="B76" s="224"/>
    </row>
    <row r="77" spans="1:2">
      <c r="A77" s="245"/>
      <c r="B77" s="246"/>
    </row>
    <row r="78" spans="1:2">
      <c r="A78" s="110" t="s">
        <v>405</v>
      </c>
      <c r="B78" s="242">
        <v>7638000</v>
      </c>
    </row>
    <row r="79" spans="1:2">
      <c r="A79" s="237" t="s">
        <v>383</v>
      </c>
      <c r="B79" s="241">
        <f>SUM(B78:B78)</f>
        <v>7638000</v>
      </c>
    </row>
    <row r="80" spans="1:2">
      <c r="A80" s="237"/>
      <c r="B80" s="241"/>
    </row>
    <row r="81" spans="1:2">
      <c r="A81" s="110" t="s">
        <v>384</v>
      </c>
      <c r="B81" s="242">
        <v>776530</v>
      </c>
    </row>
    <row r="82" spans="1:2">
      <c r="A82" s="110" t="s">
        <v>406</v>
      </c>
      <c r="B82" s="242">
        <v>50000</v>
      </c>
    </row>
    <row r="83" spans="1:2">
      <c r="A83" s="237" t="s">
        <v>385</v>
      </c>
      <c r="B83" s="241">
        <f>SUM(B81:B82)</f>
        <v>826530</v>
      </c>
    </row>
    <row r="84" spans="1:2">
      <c r="A84" s="237"/>
      <c r="B84" s="241"/>
    </row>
    <row r="85" spans="1:2">
      <c r="A85" s="232" t="s">
        <v>380</v>
      </c>
      <c r="B85" s="241">
        <f>B83+B79</f>
        <v>8464530</v>
      </c>
    </row>
    <row r="86" spans="1:2">
      <c r="A86" s="232"/>
      <c r="B86" s="241"/>
    </row>
    <row r="87" spans="1:2">
      <c r="A87" s="223" t="s">
        <v>407</v>
      </c>
      <c r="B87" s="247"/>
    </row>
    <row r="88" spans="1:2">
      <c r="A88" s="232"/>
      <c r="B88" s="229"/>
    </row>
    <row r="89" spans="1:2">
      <c r="A89" s="60" t="s">
        <v>408</v>
      </c>
      <c r="B89" s="227">
        <f>1850000-250000</f>
        <v>1600000</v>
      </c>
    </row>
    <row r="90" spans="1:2">
      <c r="A90" s="228" t="s">
        <v>398</v>
      </c>
      <c r="B90" s="229">
        <f>SUM(B86:B89)</f>
        <v>1600000</v>
      </c>
    </row>
    <row r="91" spans="1:2">
      <c r="A91" s="61" t="s">
        <v>377</v>
      </c>
      <c r="B91" s="227">
        <f>(B89)*0.27</f>
        <v>432000</v>
      </c>
    </row>
    <row r="92" spans="1:2">
      <c r="A92" s="239" t="s">
        <v>400</v>
      </c>
      <c r="B92" s="229">
        <f>SUM(B91:B91)</f>
        <v>432000</v>
      </c>
    </row>
    <row r="93" spans="1:2">
      <c r="A93" s="239"/>
      <c r="B93" s="227"/>
    </row>
    <row r="94" spans="1:2">
      <c r="A94" s="231" t="s">
        <v>379</v>
      </c>
      <c r="B94" s="229">
        <f>B92+B90</f>
        <v>2032000</v>
      </c>
    </row>
    <row r="95" spans="1:2">
      <c r="A95" s="231"/>
      <c r="B95" s="229"/>
    </row>
    <row r="96" spans="1:2">
      <c r="A96" s="232" t="s">
        <v>380</v>
      </c>
      <c r="B96" s="229">
        <f>B94</f>
        <v>2032000</v>
      </c>
    </row>
    <row r="97" spans="1:2">
      <c r="A97" s="232"/>
      <c r="B97" s="241"/>
    </row>
    <row r="98" spans="1:2">
      <c r="A98" s="232"/>
      <c r="B98" s="241"/>
    </row>
    <row r="99" spans="1:2">
      <c r="A99" s="248" t="s">
        <v>316</v>
      </c>
      <c r="B99" s="248"/>
    </row>
    <row r="100" spans="1:2">
      <c r="A100" s="232"/>
      <c r="B100" s="241"/>
    </row>
    <row r="101" spans="1:2">
      <c r="A101" s="223" t="s">
        <v>300</v>
      </c>
      <c r="B101" s="224"/>
    </row>
    <row r="102" spans="1:2">
      <c r="A102" s="235" t="s">
        <v>409</v>
      </c>
      <c r="B102" s="236">
        <v>1620000</v>
      </c>
    </row>
    <row r="103" spans="1:2">
      <c r="A103" s="237" t="s">
        <v>383</v>
      </c>
      <c r="B103" s="238">
        <f>SUM(B102:B102)</f>
        <v>1620000</v>
      </c>
    </row>
    <row r="104" spans="1:2">
      <c r="A104" s="237"/>
      <c r="B104" s="238"/>
    </row>
    <row r="105" spans="1:2">
      <c r="A105" s="110" t="s">
        <v>384</v>
      </c>
      <c r="B105" s="236">
        <v>287348</v>
      </c>
    </row>
    <row r="106" spans="1:2">
      <c r="A106" s="237" t="s">
        <v>385</v>
      </c>
      <c r="B106" s="238">
        <f>SUM(B105:B105)</f>
        <v>287348</v>
      </c>
    </row>
    <row r="107" spans="1:2">
      <c r="A107" s="237"/>
      <c r="B107" s="238"/>
    </row>
    <row r="108" spans="1:2">
      <c r="A108" s="235" t="s">
        <v>410</v>
      </c>
      <c r="B108" s="236">
        <f>5000000-100000</f>
        <v>4900000</v>
      </c>
    </row>
    <row r="109" spans="1:2">
      <c r="A109" s="240" t="s">
        <v>411</v>
      </c>
      <c r="B109" s="236">
        <v>4700000</v>
      </c>
    </row>
    <row r="110" spans="1:2">
      <c r="A110" s="240" t="s">
        <v>395</v>
      </c>
      <c r="B110" s="236">
        <v>150000</v>
      </c>
    </row>
    <row r="111" spans="1:2">
      <c r="A111" s="61" t="s">
        <v>412</v>
      </c>
      <c r="B111" s="236">
        <v>400000</v>
      </c>
    </row>
    <row r="112" spans="1:2">
      <c r="A112" s="228" t="s">
        <v>398</v>
      </c>
      <c r="B112" s="238">
        <f>SUM(B108:B111)</f>
        <v>10150000</v>
      </c>
    </row>
    <row r="113" spans="1:2">
      <c r="A113" s="61" t="s">
        <v>377</v>
      </c>
      <c r="B113" s="236">
        <f>(+B111+B109+B110+B108)*0.27</f>
        <v>2740500</v>
      </c>
    </row>
    <row r="114" spans="1:2">
      <c r="A114" s="61" t="s">
        <v>413</v>
      </c>
      <c r="B114" s="236">
        <v>250000</v>
      </c>
    </row>
    <row r="115" spans="1:2">
      <c r="A115" s="239" t="s">
        <v>400</v>
      </c>
      <c r="B115" s="238">
        <f>SUM(B113:B114)</f>
        <v>2990500</v>
      </c>
    </row>
    <row r="116" spans="1:2">
      <c r="A116" s="231" t="s">
        <v>379</v>
      </c>
      <c r="B116" s="241">
        <f>B115+B112</f>
        <v>13140500</v>
      </c>
    </row>
    <row r="117" spans="1:2">
      <c r="A117" s="231"/>
      <c r="B117" s="242"/>
    </row>
    <row r="118" spans="1:2">
      <c r="A118" s="232" t="s">
        <v>380</v>
      </c>
      <c r="B118" s="241">
        <f>B103+B106+B116</f>
        <v>15047848</v>
      </c>
    </row>
    <row r="119" spans="1:2">
      <c r="A119" s="230"/>
      <c r="B119" s="229"/>
    </row>
    <row r="120" spans="1:2">
      <c r="A120" s="249" t="s">
        <v>414</v>
      </c>
      <c r="B120" s="250"/>
    </row>
    <row r="121" spans="1:2">
      <c r="A121" s="110" t="s">
        <v>415</v>
      </c>
      <c r="B121" s="226">
        <v>28212200</v>
      </c>
    </row>
    <row r="122" spans="1:2">
      <c r="A122" s="235" t="s">
        <v>416</v>
      </c>
      <c r="B122" s="226">
        <v>3200000</v>
      </c>
    </row>
    <row r="123" spans="1:2">
      <c r="A123" s="235" t="s">
        <v>417</v>
      </c>
      <c r="B123" s="226">
        <v>260000</v>
      </c>
    </row>
    <row r="124" spans="1:2">
      <c r="A124" s="235" t="s">
        <v>418</v>
      </c>
      <c r="B124" s="226">
        <v>50000</v>
      </c>
    </row>
    <row r="125" spans="1:2">
      <c r="A125" s="235" t="s">
        <v>419</v>
      </c>
      <c r="B125" s="226">
        <v>140000</v>
      </c>
    </row>
    <row r="126" spans="1:2">
      <c r="A126" s="235" t="s">
        <v>382</v>
      </c>
      <c r="B126" s="226">
        <v>550000</v>
      </c>
    </row>
    <row r="127" spans="1:2">
      <c r="A127" s="237" t="s">
        <v>383</v>
      </c>
      <c r="B127" s="234">
        <f>SUM(B121:B126)</f>
        <v>32412200</v>
      </c>
    </row>
    <row r="128" spans="1:2">
      <c r="A128" s="237"/>
      <c r="B128" s="234"/>
    </row>
    <row r="129" spans="1:2">
      <c r="A129" s="110" t="s">
        <v>384</v>
      </c>
      <c r="B129" s="226">
        <v>6495387</v>
      </c>
    </row>
    <row r="130" spans="1:2">
      <c r="A130" s="110" t="s">
        <v>406</v>
      </c>
      <c r="B130" s="226">
        <v>59826</v>
      </c>
    </row>
    <row r="131" spans="1:2">
      <c r="A131" s="110" t="s">
        <v>420</v>
      </c>
      <c r="B131" s="226">
        <v>20000</v>
      </c>
    </row>
    <row r="132" spans="1:2">
      <c r="A132" s="110" t="s">
        <v>421</v>
      </c>
      <c r="B132" s="226">
        <v>46020</v>
      </c>
    </row>
    <row r="133" spans="1:2">
      <c r="A133" s="237" t="s">
        <v>385</v>
      </c>
      <c r="B133" s="234">
        <f>SUM(B129:B132)</f>
        <v>6621233</v>
      </c>
    </row>
    <row r="134" spans="1:2">
      <c r="A134" s="237"/>
      <c r="B134" s="234"/>
    </row>
    <row r="135" spans="1:2">
      <c r="A135" s="61" t="s">
        <v>386</v>
      </c>
      <c r="B135" s="236">
        <v>10000</v>
      </c>
    </row>
    <row r="136" spans="1:2">
      <c r="A136" s="239" t="s">
        <v>390</v>
      </c>
      <c r="B136" s="241">
        <f>SUM(B135:B135)</f>
        <v>10000</v>
      </c>
    </row>
    <row r="137" spans="1:2">
      <c r="A137" s="61" t="s">
        <v>388</v>
      </c>
      <c r="B137" s="242">
        <f>60000-10000</f>
        <v>50000</v>
      </c>
    </row>
    <row r="138" spans="1:2">
      <c r="A138" s="61" t="s">
        <v>422</v>
      </c>
      <c r="B138" s="242">
        <v>30000</v>
      </c>
    </row>
    <row r="139" spans="1:2">
      <c r="A139" s="61" t="s">
        <v>423</v>
      </c>
      <c r="B139" s="242">
        <v>400000</v>
      </c>
    </row>
    <row r="140" spans="1:2">
      <c r="A140" s="61" t="s">
        <v>389</v>
      </c>
      <c r="B140" s="242">
        <f>2800000-200000</f>
        <v>2600000</v>
      </c>
    </row>
    <row r="141" spans="1:2">
      <c r="A141" s="239" t="s">
        <v>424</v>
      </c>
      <c r="B141" s="241">
        <f>SUM(B137:B140)</f>
        <v>3080000</v>
      </c>
    </row>
    <row r="142" spans="1:2">
      <c r="A142" s="240" t="s">
        <v>391</v>
      </c>
      <c r="B142" s="242">
        <v>290000</v>
      </c>
    </row>
    <row r="143" spans="1:2">
      <c r="A143" s="228" t="s">
        <v>392</v>
      </c>
      <c r="B143" s="241">
        <f>SUM(B142:B142)</f>
        <v>290000</v>
      </c>
    </row>
    <row r="144" spans="1:2">
      <c r="A144" s="60" t="s">
        <v>393</v>
      </c>
      <c r="B144" s="242">
        <f>1089000+2385000+800000-1000000-1100000-100000</f>
        <v>2074000</v>
      </c>
    </row>
    <row r="145" spans="1:2">
      <c r="A145" s="61" t="s">
        <v>376</v>
      </c>
      <c r="B145" s="242">
        <f>10000000-100000</f>
        <v>9900000</v>
      </c>
    </row>
    <row r="146" spans="1:2">
      <c r="A146" s="61" t="s">
        <v>394</v>
      </c>
      <c r="B146" s="242">
        <f>2200000-50000</f>
        <v>2150000</v>
      </c>
    </row>
    <row r="147" spans="1:2">
      <c r="A147" s="228" t="s">
        <v>378</v>
      </c>
      <c r="B147" s="241">
        <f>SUM(B144:B146)</f>
        <v>14124000</v>
      </c>
    </row>
    <row r="148" spans="1:2">
      <c r="A148" s="61" t="s">
        <v>395</v>
      </c>
      <c r="B148" s="242">
        <v>3700000</v>
      </c>
    </row>
    <row r="149" spans="1:2">
      <c r="A149" s="61" t="s">
        <v>396</v>
      </c>
      <c r="B149" s="242">
        <v>600000</v>
      </c>
    </row>
    <row r="150" spans="1:2">
      <c r="A150" s="61" t="s">
        <v>425</v>
      </c>
      <c r="B150" s="242">
        <v>800000</v>
      </c>
    </row>
    <row r="151" spans="1:2">
      <c r="A151" s="228" t="s">
        <v>398</v>
      </c>
      <c r="B151" s="241">
        <f>SUM(B148:B150)</f>
        <v>5100000</v>
      </c>
    </row>
    <row r="152" spans="1:2">
      <c r="A152" s="60" t="s">
        <v>426</v>
      </c>
      <c r="B152" s="242">
        <v>30000</v>
      </c>
    </row>
    <row r="153" spans="1:2">
      <c r="A153" s="60" t="s">
        <v>427</v>
      </c>
      <c r="B153" s="242">
        <v>800000</v>
      </c>
    </row>
    <row r="154" spans="1:2">
      <c r="A154" s="61" t="s">
        <v>377</v>
      </c>
      <c r="B154" s="242">
        <f>(B135+B137+B138+B139+B140+B142+B145+B146+B148+B149+B150+B144)*0.27</f>
        <v>6103080</v>
      </c>
    </row>
    <row r="155" spans="1:2">
      <c r="A155" s="239" t="s">
        <v>400</v>
      </c>
      <c r="B155" s="241">
        <f>SUM(B152:B154)</f>
        <v>6933080</v>
      </c>
    </row>
    <row r="156" spans="1:2">
      <c r="A156" s="231" t="s">
        <v>379</v>
      </c>
      <c r="B156" s="241">
        <f>B136+B141+B143+B147+B151+B155</f>
        <v>29537080</v>
      </c>
    </row>
    <row r="157" spans="1:2">
      <c r="A157" s="232" t="s">
        <v>380</v>
      </c>
      <c r="B157" s="251">
        <f>B127+B133+B156</f>
        <v>68570513</v>
      </c>
    </row>
    <row r="158" spans="1:2">
      <c r="A158" s="232"/>
      <c r="B158" s="251"/>
    </row>
    <row r="159" spans="1:2">
      <c r="A159" s="252" t="s">
        <v>311</v>
      </c>
      <c r="B159" s="253"/>
    </row>
    <row r="160" spans="1:2">
      <c r="A160" s="232"/>
      <c r="B160" s="229"/>
    </row>
    <row r="161" spans="1:2" ht="24" customHeight="1">
      <c r="A161" s="249" t="s">
        <v>312</v>
      </c>
      <c r="B161" s="250"/>
    </row>
    <row r="162" spans="1:2">
      <c r="A162" s="233"/>
      <c r="B162" s="246"/>
    </row>
    <row r="163" spans="1:2">
      <c r="A163" s="235" t="s">
        <v>428</v>
      </c>
      <c r="B163" s="236">
        <v>15903522</v>
      </c>
    </row>
    <row r="164" spans="1:2">
      <c r="A164" s="235" t="s">
        <v>429</v>
      </c>
      <c r="B164" s="236">
        <v>149009</v>
      </c>
    </row>
    <row r="165" spans="1:2">
      <c r="A165" s="235" t="s">
        <v>417</v>
      </c>
      <c r="B165" s="236">
        <v>9022</v>
      </c>
    </row>
    <row r="166" spans="1:2">
      <c r="A166" s="235" t="s">
        <v>382</v>
      </c>
      <c r="B166" s="236">
        <v>85211</v>
      </c>
    </row>
    <row r="167" spans="1:2">
      <c r="A167" s="237" t="s">
        <v>383</v>
      </c>
      <c r="B167" s="238">
        <f>SUM(B163:B166)</f>
        <v>16146764</v>
      </c>
    </row>
    <row r="168" spans="1:2">
      <c r="A168" s="237"/>
      <c r="B168" s="238"/>
    </row>
    <row r="169" spans="1:2">
      <c r="A169" s="237"/>
      <c r="B169" s="238"/>
    </row>
    <row r="170" spans="1:2">
      <c r="A170" s="110" t="s">
        <v>384</v>
      </c>
      <c r="B170" s="236">
        <v>3152305</v>
      </c>
    </row>
    <row r="171" spans="1:2">
      <c r="A171" s="110" t="s">
        <v>406</v>
      </c>
      <c r="B171" s="236">
        <v>34287</v>
      </c>
    </row>
    <row r="172" spans="1:2">
      <c r="A172" s="110" t="s">
        <v>421</v>
      </c>
      <c r="B172" s="236">
        <v>26375</v>
      </c>
    </row>
    <row r="173" spans="1:2">
      <c r="A173" s="237" t="s">
        <v>385</v>
      </c>
      <c r="B173" s="238">
        <f>SUM(B170:B172)</f>
        <v>3212967</v>
      </c>
    </row>
    <row r="174" spans="1:2">
      <c r="A174" s="254"/>
      <c r="B174" s="53"/>
    </row>
    <row r="175" spans="1:2">
      <c r="A175" s="61" t="s">
        <v>389</v>
      </c>
      <c r="B175" s="242">
        <v>120000</v>
      </c>
    </row>
    <row r="176" spans="1:2">
      <c r="A176" s="61" t="s">
        <v>430</v>
      </c>
      <c r="B176" s="242">
        <f>300000+2805000</f>
        <v>3105000</v>
      </c>
    </row>
    <row r="177" spans="1:2">
      <c r="A177" s="61" t="s">
        <v>431</v>
      </c>
      <c r="B177" s="242">
        <v>3300000</v>
      </c>
    </row>
    <row r="178" spans="1:2">
      <c r="A178" s="228" t="s">
        <v>398</v>
      </c>
      <c r="B178" s="238">
        <f>SUM(B175:B177)</f>
        <v>6525000</v>
      </c>
    </row>
    <row r="179" spans="1:2">
      <c r="A179" s="61" t="s">
        <v>377</v>
      </c>
      <c r="B179" s="242">
        <f>(B176+B175)*0.27+100000</f>
        <v>970750</v>
      </c>
    </row>
    <row r="180" spans="1:2">
      <c r="A180" s="61" t="s">
        <v>432</v>
      </c>
      <c r="B180" s="54">
        <f>'3_melléklet'!B11+'3_melléklet'!B15+'3_melléklet'!B19+'3_melléklet'!B28+'3_melléklet'!B48-'5_melléklet'!B154-kiadások!B48*0.2125-(B108+B109)*0.27+244020</f>
        <v>151200</v>
      </c>
    </row>
    <row r="181" spans="1:2">
      <c r="A181" s="255" t="s">
        <v>433</v>
      </c>
      <c r="B181" s="242">
        <v>9100000</v>
      </c>
    </row>
    <row r="182" spans="1:2">
      <c r="A182" s="61" t="s">
        <v>434</v>
      </c>
      <c r="B182" s="242">
        <f>500000+500000</f>
        <v>1000000</v>
      </c>
    </row>
    <row r="183" spans="1:2">
      <c r="A183" s="61" t="s">
        <v>435</v>
      </c>
      <c r="B183" s="242">
        <v>210000</v>
      </c>
    </row>
    <row r="184" spans="1:2">
      <c r="A184" s="239" t="s">
        <v>400</v>
      </c>
      <c r="B184" s="241">
        <f>SUM(B179:B183)</f>
        <v>11431950</v>
      </c>
    </row>
    <row r="185" spans="1:2">
      <c r="A185" s="239"/>
      <c r="B185" s="229"/>
    </row>
    <row r="186" spans="1:2">
      <c r="A186" s="231" t="s">
        <v>379</v>
      </c>
      <c r="B186" s="256">
        <f>B184+B178</f>
        <v>17956950</v>
      </c>
    </row>
    <row r="187" spans="1:2">
      <c r="A187" s="231"/>
      <c r="B187" s="256"/>
    </row>
    <row r="188" spans="1:2">
      <c r="A188" s="232" t="s">
        <v>380</v>
      </c>
      <c r="B188" s="256">
        <f>B186+B167+B173</f>
        <v>37316681</v>
      </c>
    </row>
    <row r="189" spans="1:2">
      <c r="A189" s="232"/>
      <c r="B189" s="256"/>
    </row>
    <row r="190" spans="1:2">
      <c r="A190" s="237" t="s">
        <v>383</v>
      </c>
      <c r="B190" s="229">
        <f>B21+B67+B103+B167+B127+B79</f>
        <v>64375141</v>
      </c>
    </row>
    <row r="191" spans="1:2">
      <c r="A191" s="237" t="s">
        <v>385</v>
      </c>
      <c r="B191" s="229">
        <f>B24+B71+B106+B173+B133+B83</f>
        <v>11667708</v>
      </c>
    </row>
    <row r="192" spans="1:2">
      <c r="A192" s="231" t="s">
        <v>436</v>
      </c>
      <c r="B192" s="229">
        <f>+B15+B45+B60+B116+B186+B156+B94</f>
        <v>79678530</v>
      </c>
    </row>
    <row r="193" spans="1:2">
      <c r="A193" s="231" t="s">
        <v>437</v>
      </c>
      <c r="B193" s="229">
        <f>'4_ melléklet'!B6</f>
        <v>87450424</v>
      </c>
    </row>
    <row r="194" spans="1:2" ht="33.75">
      <c r="A194" s="257" t="s">
        <v>438</v>
      </c>
      <c r="B194" s="229">
        <f>SUM(B190:B193)</f>
        <v>243171803</v>
      </c>
    </row>
    <row r="195" spans="1:2">
      <c r="A195" s="257"/>
      <c r="B195" s="229"/>
    </row>
    <row r="196" spans="1:2">
      <c r="A196" s="257"/>
      <c r="B196" s="229"/>
    </row>
    <row r="197" spans="1:2">
      <c r="A197" s="257"/>
      <c r="B197" s="229"/>
    </row>
    <row r="198" spans="1:2">
      <c r="A198" s="257"/>
      <c r="B198" s="229"/>
    </row>
    <row r="199" spans="1:2">
      <c r="A199" s="252" t="s">
        <v>439</v>
      </c>
      <c r="B199" s="252"/>
    </row>
    <row r="200" spans="1:2">
      <c r="A200" s="258"/>
      <c r="B200" s="229"/>
    </row>
    <row r="201" spans="1:2">
      <c r="A201" s="221" t="s">
        <v>292</v>
      </c>
      <c r="B201" s="221"/>
    </row>
    <row r="202" spans="1:2">
      <c r="A202" s="232"/>
      <c r="B202" s="256"/>
    </row>
    <row r="203" spans="1:2">
      <c r="A203" s="223" t="s">
        <v>440</v>
      </c>
      <c r="B203" s="224"/>
    </row>
    <row r="204" spans="1:2">
      <c r="A204" s="233"/>
      <c r="B204" s="259"/>
    </row>
    <row r="205" spans="1:2">
      <c r="A205" s="61" t="s">
        <v>441</v>
      </c>
      <c r="B205" s="236">
        <v>1200000</v>
      </c>
    </row>
    <row r="206" spans="1:2">
      <c r="A206" s="61" t="s">
        <v>389</v>
      </c>
      <c r="B206" s="236">
        <v>150000</v>
      </c>
    </row>
    <row r="207" spans="1:2">
      <c r="A207" s="239" t="s">
        <v>424</v>
      </c>
      <c r="B207" s="238">
        <f>SUM(B205:B206)</f>
        <v>1350000</v>
      </c>
    </row>
    <row r="208" spans="1:2">
      <c r="A208" s="61" t="s">
        <v>393</v>
      </c>
      <c r="B208" s="236">
        <f>500000+3274000-100000-100000</f>
        <v>3574000</v>
      </c>
    </row>
    <row r="209" spans="1:2">
      <c r="A209" s="61" t="s">
        <v>376</v>
      </c>
      <c r="B209" s="236">
        <f>1000000-100000</f>
        <v>900000</v>
      </c>
    </row>
    <row r="210" spans="1:2">
      <c r="A210" s="61" t="s">
        <v>394</v>
      </c>
      <c r="B210" s="236">
        <f>300000-50000</f>
        <v>250000</v>
      </c>
    </row>
    <row r="211" spans="1:2">
      <c r="A211" s="228" t="s">
        <v>378</v>
      </c>
      <c r="B211" s="241">
        <f>SUM(B208:B210)</f>
        <v>4724000</v>
      </c>
    </row>
    <row r="212" spans="1:2">
      <c r="A212" s="61" t="s">
        <v>395</v>
      </c>
      <c r="B212" s="242">
        <f>200000-50000</f>
        <v>150000</v>
      </c>
    </row>
    <row r="213" spans="1:2">
      <c r="A213" s="61" t="s">
        <v>442</v>
      </c>
      <c r="B213" s="242">
        <v>600000</v>
      </c>
    </row>
    <row r="214" spans="1:2">
      <c r="A214" s="228" t="s">
        <v>398</v>
      </c>
      <c r="B214" s="241">
        <f>SUM(B212:B213)</f>
        <v>750000</v>
      </c>
    </row>
    <row r="215" spans="1:2">
      <c r="A215" s="61" t="s">
        <v>377</v>
      </c>
      <c r="B215" s="242">
        <f>(+B205+B208+B209+B210+B212+B206+B213)*0.27</f>
        <v>1842480.0000000002</v>
      </c>
    </row>
    <row r="216" spans="1:2">
      <c r="A216" s="61" t="s">
        <v>434</v>
      </c>
      <c r="B216" s="242">
        <v>550000</v>
      </c>
    </row>
    <row r="217" spans="1:2">
      <c r="A217" s="239" t="s">
        <v>400</v>
      </c>
      <c r="B217" s="241">
        <f>SUM(B215:B216)</f>
        <v>2392480</v>
      </c>
    </row>
    <row r="218" spans="1:2">
      <c r="A218" s="239"/>
      <c r="B218" s="241"/>
    </row>
    <row r="219" spans="1:2">
      <c r="A219" s="231" t="s">
        <v>379</v>
      </c>
      <c r="B219" s="241">
        <f>+B207+B211+B214+B217</f>
        <v>9216480</v>
      </c>
    </row>
    <row r="220" spans="1:2">
      <c r="A220" s="232" t="s">
        <v>380</v>
      </c>
      <c r="B220" s="241">
        <f>B219</f>
        <v>9216480</v>
      </c>
    </row>
    <row r="221" spans="1:2">
      <c r="A221" s="232"/>
      <c r="B221" s="229"/>
    </row>
    <row r="222" spans="1:2">
      <c r="A222" s="252" t="s">
        <v>311</v>
      </c>
      <c r="B222" s="252"/>
    </row>
    <row r="223" spans="1:2">
      <c r="A223" s="232"/>
      <c r="B223" s="229"/>
    </row>
    <row r="224" spans="1:2" ht="24.75" customHeight="1">
      <c r="A224" s="249" t="s">
        <v>312</v>
      </c>
      <c r="B224" s="250"/>
    </row>
    <row r="225" spans="1:2">
      <c r="A225" s="110"/>
      <c r="B225" s="226"/>
    </row>
    <row r="226" spans="1:2">
      <c r="A226" s="110" t="s">
        <v>443</v>
      </c>
      <c r="B226" s="226">
        <v>61512192</v>
      </c>
    </row>
    <row r="227" spans="1:2">
      <c r="A227" s="235" t="s">
        <v>444</v>
      </c>
      <c r="B227" s="226">
        <f>[3]ÖSSZESÍTÉS!$C$8</f>
        <v>0</v>
      </c>
    </row>
    <row r="228" spans="1:2">
      <c r="A228" s="235" t="s">
        <v>429</v>
      </c>
      <c r="B228" s="226">
        <v>2682144</v>
      </c>
    </row>
    <row r="229" spans="1:2">
      <c r="A229" s="235" t="s">
        <v>417</v>
      </c>
      <c r="B229" s="226">
        <v>800000</v>
      </c>
    </row>
    <row r="230" spans="1:2">
      <c r="A230" s="235" t="s">
        <v>418</v>
      </c>
      <c r="B230" s="226">
        <v>96000</v>
      </c>
    </row>
    <row r="231" spans="1:2">
      <c r="A231" s="235" t="s">
        <v>419</v>
      </c>
      <c r="B231" s="226">
        <v>200000</v>
      </c>
    </row>
    <row r="232" spans="1:2">
      <c r="A232" s="235" t="s">
        <v>445</v>
      </c>
      <c r="B232" s="226">
        <v>1500000</v>
      </c>
    </row>
    <row r="233" spans="1:2">
      <c r="A233" s="235" t="s">
        <v>382</v>
      </c>
      <c r="B233" s="226">
        <v>500000</v>
      </c>
    </row>
    <row r="234" spans="1:2">
      <c r="A234" s="237" t="s">
        <v>383</v>
      </c>
      <c r="B234" s="234">
        <f>SUM(B226:B233)</f>
        <v>67290336</v>
      </c>
    </row>
    <row r="235" spans="1:2">
      <c r="A235" s="237"/>
      <c r="B235" s="234"/>
    </row>
    <row r="236" spans="1:2">
      <c r="A236" s="110" t="s">
        <v>384</v>
      </c>
      <c r="B236" s="226">
        <v>13126994</v>
      </c>
    </row>
    <row r="237" spans="1:2">
      <c r="A237" s="110" t="s">
        <v>406</v>
      </c>
      <c r="B237" s="226">
        <v>1018340</v>
      </c>
    </row>
    <row r="238" spans="1:2">
      <c r="A238" s="110" t="s">
        <v>403</v>
      </c>
      <c r="B238" s="226">
        <v>100000</v>
      </c>
    </row>
    <row r="239" spans="1:2">
      <c r="A239" s="110" t="s">
        <v>421</v>
      </c>
      <c r="B239" s="226">
        <v>881839</v>
      </c>
    </row>
    <row r="240" spans="1:2">
      <c r="A240" s="237" t="s">
        <v>385</v>
      </c>
      <c r="B240" s="234">
        <f>SUM(B236:B239)</f>
        <v>15127173</v>
      </c>
    </row>
    <row r="241" spans="1:2">
      <c r="A241" s="237"/>
      <c r="B241" s="234"/>
    </row>
    <row r="242" spans="1:2">
      <c r="A242" s="61" t="s">
        <v>446</v>
      </c>
      <c r="B242" s="236">
        <v>150000</v>
      </c>
    </row>
    <row r="243" spans="1:2">
      <c r="A243" s="61" t="s">
        <v>447</v>
      </c>
      <c r="B243" s="236">
        <v>550000</v>
      </c>
    </row>
    <row r="244" spans="1:2">
      <c r="A244" s="61" t="s">
        <v>387</v>
      </c>
      <c r="B244" s="242">
        <f>200000-50000</f>
        <v>150000</v>
      </c>
    </row>
    <row r="245" spans="1:2">
      <c r="A245" s="239" t="s">
        <v>390</v>
      </c>
      <c r="B245" s="241">
        <f>SUM(B242:B244)</f>
        <v>850000</v>
      </c>
    </row>
    <row r="246" spans="1:2">
      <c r="A246" s="61" t="s">
        <v>388</v>
      </c>
      <c r="B246" s="242">
        <v>900000</v>
      </c>
    </row>
    <row r="247" spans="1:2">
      <c r="A247" s="61" t="s">
        <v>389</v>
      </c>
      <c r="B247" s="242">
        <v>700000</v>
      </c>
    </row>
    <row r="248" spans="1:2">
      <c r="A248" s="239" t="s">
        <v>424</v>
      </c>
      <c r="B248" s="241">
        <f>SUM(B246:B247)</f>
        <v>1600000</v>
      </c>
    </row>
    <row r="249" spans="1:2">
      <c r="A249" s="240" t="s">
        <v>391</v>
      </c>
      <c r="B249" s="242">
        <v>2900000</v>
      </c>
    </row>
    <row r="250" spans="1:2">
      <c r="A250" s="240" t="s">
        <v>448</v>
      </c>
      <c r="B250" s="242">
        <v>365000</v>
      </c>
    </row>
    <row r="251" spans="1:2">
      <c r="A251" s="61" t="s">
        <v>449</v>
      </c>
      <c r="B251" s="242">
        <v>280000</v>
      </c>
    </row>
    <row r="252" spans="1:2">
      <c r="A252" s="228" t="s">
        <v>392</v>
      </c>
      <c r="B252" s="241">
        <f>SUM(B249:B251)</f>
        <v>3545000</v>
      </c>
    </row>
    <row r="253" spans="1:2">
      <c r="A253" s="61" t="s">
        <v>450</v>
      </c>
      <c r="B253" s="242">
        <f>700000</f>
        <v>700000</v>
      </c>
    </row>
    <row r="254" spans="1:2">
      <c r="A254" s="61" t="s">
        <v>376</v>
      </c>
      <c r="B254" s="242">
        <v>600000</v>
      </c>
    </row>
    <row r="255" spans="1:2">
      <c r="A255" s="61" t="s">
        <v>394</v>
      </c>
      <c r="B255" s="242">
        <v>100000</v>
      </c>
    </row>
    <row r="256" spans="1:2">
      <c r="A256" s="228" t="s">
        <v>378</v>
      </c>
      <c r="B256" s="241">
        <f>SUM(B253:B255)</f>
        <v>1400000</v>
      </c>
    </row>
    <row r="257" spans="1:2">
      <c r="A257" s="61" t="s">
        <v>451</v>
      </c>
      <c r="B257" s="242">
        <v>600000</v>
      </c>
    </row>
    <row r="258" spans="1:2">
      <c r="A258" s="61" t="s">
        <v>395</v>
      </c>
      <c r="B258" s="242">
        <v>500000</v>
      </c>
    </row>
    <row r="259" spans="1:2">
      <c r="A259" s="61" t="s">
        <v>452</v>
      </c>
      <c r="B259" s="227">
        <v>2600000</v>
      </c>
    </row>
    <row r="260" spans="1:2">
      <c r="A260" s="61" t="s">
        <v>396</v>
      </c>
      <c r="B260" s="227">
        <f>1410000-200000</f>
        <v>1210000</v>
      </c>
    </row>
    <row r="261" spans="1:2">
      <c r="A261" s="61" t="s">
        <v>453</v>
      </c>
      <c r="B261" s="227">
        <v>2100000</v>
      </c>
    </row>
    <row r="262" spans="1:2">
      <c r="A262" s="228" t="s">
        <v>398</v>
      </c>
      <c r="B262" s="229">
        <f>SUM(B257:B261)</f>
        <v>7010000</v>
      </c>
    </row>
    <row r="263" spans="1:2">
      <c r="A263" s="228"/>
      <c r="B263" s="229"/>
    </row>
    <row r="264" spans="1:2">
      <c r="A264" s="61" t="s">
        <v>377</v>
      </c>
      <c r="B264" s="227">
        <f>(B242+B243+B244+B246+B249+B251+B254+B255+B257+B258+B259+B260+B261+B247)*0.27+B253*0.05-167000-176338</f>
        <v>3293462.0000000005</v>
      </c>
    </row>
    <row r="265" spans="1:2">
      <c r="A265" s="61" t="s">
        <v>432</v>
      </c>
      <c r="B265" s="227">
        <f>'3_melléklet'!B63*0.27+'3_melléklet'!B69*0.27</f>
        <v>351000</v>
      </c>
    </row>
    <row r="266" spans="1:2">
      <c r="A266" s="61" t="s">
        <v>434</v>
      </c>
      <c r="B266" s="227">
        <v>1300000</v>
      </c>
    </row>
    <row r="267" spans="1:2">
      <c r="A267" s="239" t="s">
        <v>400</v>
      </c>
      <c r="B267" s="241">
        <f>SUM(B264:B266)</f>
        <v>4944462</v>
      </c>
    </row>
    <row r="268" spans="1:2">
      <c r="A268" s="231" t="s">
        <v>379</v>
      </c>
      <c r="B268" s="241">
        <f>B245+B248+B252+B256+B262+B267</f>
        <v>19349462</v>
      </c>
    </row>
    <row r="269" spans="1:2">
      <c r="A269" s="231"/>
      <c r="B269" s="229"/>
    </row>
    <row r="270" spans="1:2">
      <c r="A270" s="232" t="s">
        <v>380</v>
      </c>
      <c r="B270" s="256">
        <f>B234+B240+B268</f>
        <v>101766971</v>
      </c>
    </row>
    <row r="271" spans="1:2">
      <c r="A271" s="232"/>
      <c r="B271" s="256"/>
    </row>
    <row r="272" spans="1:2">
      <c r="A272" s="232"/>
      <c r="B272" s="256"/>
    </row>
    <row r="273" spans="1:2">
      <c r="A273" s="232"/>
      <c r="B273" s="256"/>
    </row>
    <row r="274" spans="1:2">
      <c r="A274" s="232"/>
      <c r="B274" s="256"/>
    </row>
    <row r="275" spans="1:2">
      <c r="A275" s="232"/>
      <c r="B275" s="256"/>
    </row>
    <row r="276" spans="1:2">
      <c r="A276" s="232"/>
      <c r="B276" s="256"/>
    </row>
    <row r="277" spans="1:2">
      <c r="A277" s="223" t="s">
        <v>454</v>
      </c>
      <c r="B277" s="247"/>
    </row>
    <row r="278" spans="1:2">
      <c r="A278" s="235" t="s">
        <v>455</v>
      </c>
      <c r="B278" s="226">
        <v>700000</v>
      </c>
    </row>
    <row r="279" spans="1:2">
      <c r="A279" s="237" t="s">
        <v>383</v>
      </c>
      <c r="B279" s="234">
        <f>SUM(B278:B278)</f>
        <v>700000</v>
      </c>
    </row>
    <row r="280" spans="1:2">
      <c r="A280" s="237"/>
      <c r="B280" s="234"/>
    </row>
    <row r="281" spans="1:2">
      <c r="A281" s="110" t="s">
        <v>384</v>
      </c>
      <c r="B281" s="226">
        <v>122850</v>
      </c>
    </row>
    <row r="282" spans="1:2">
      <c r="A282" s="237" t="s">
        <v>385</v>
      </c>
      <c r="B282" s="234">
        <f>SUM(B281:B281)</f>
        <v>122850</v>
      </c>
    </row>
    <row r="283" spans="1:2">
      <c r="A283" s="237"/>
      <c r="B283" s="234"/>
    </row>
    <row r="284" spans="1:2">
      <c r="A284" s="232" t="s">
        <v>380</v>
      </c>
      <c r="B284" s="234">
        <f>B279+B282</f>
        <v>822850</v>
      </c>
    </row>
    <row r="285" spans="1:2">
      <c r="A285" s="237"/>
      <c r="B285" s="234"/>
    </row>
    <row r="286" spans="1:2">
      <c r="A286" s="223" t="s">
        <v>456</v>
      </c>
      <c r="B286" s="247"/>
    </row>
    <row r="287" spans="1:2">
      <c r="A287" s="110" t="s">
        <v>457</v>
      </c>
      <c r="B287" s="226">
        <v>639659</v>
      </c>
    </row>
    <row r="288" spans="1:2">
      <c r="A288" s="237" t="s">
        <v>383</v>
      </c>
      <c r="B288" s="234">
        <f>SUM(B287:B287)</f>
        <v>639659</v>
      </c>
    </row>
    <row r="289" spans="1:2">
      <c r="A289" s="237"/>
      <c r="B289" s="234"/>
    </row>
    <row r="290" spans="1:2">
      <c r="A290" s="110" t="s">
        <v>384</v>
      </c>
      <c r="B290" s="226">
        <v>125974</v>
      </c>
    </row>
    <row r="291" spans="1:2">
      <c r="A291" s="237" t="s">
        <v>385</v>
      </c>
      <c r="B291" s="234">
        <f>SUM(B290:B290)</f>
        <v>125974</v>
      </c>
    </row>
    <row r="292" spans="1:2">
      <c r="A292" s="232"/>
      <c r="B292" s="256"/>
    </row>
    <row r="293" spans="1:2">
      <c r="A293" s="232" t="s">
        <v>380</v>
      </c>
      <c r="B293" s="234">
        <f>B288+B291</f>
        <v>765633</v>
      </c>
    </row>
    <row r="294" spans="1:2">
      <c r="A294" s="231"/>
      <c r="B294" s="53"/>
    </row>
    <row r="295" spans="1:2">
      <c r="A295" s="231"/>
      <c r="B295" s="53"/>
    </row>
    <row r="296" spans="1:2">
      <c r="A296" s="244" t="s">
        <v>458</v>
      </c>
      <c r="B296" s="224"/>
    </row>
    <row r="297" spans="1:2">
      <c r="A297" s="245"/>
      <c r="B297" s="246"/>
    </row>
    <row r="298" spans="1:2">
      <c r="A298" s="110" t="s">
        <v>459</v>
      </c>
      <c r="B298" s="242">
        <v>532775</v>
      </c>
    </row>
    <row r="299" spans="1:2">
      <c r="A299" s="237" t="s">
        <v>383</v>
      </c>
      <c r="B299" s="241">
        <f>B298</f>
        <v>532775</v>
      </c>
    </row>
    <row r="300" spans="1:2">
      <c r="A300" s="237"/>
      <c r="B300" s="241"/>
    </row>
    <row r="301" spans="1:2">
      <c r="A301" s="110" t="s">
        <v>384</v>
      </c>
      <c r="B301" s="242">
        <v>51946</v>
      </c>
    </row>
    <row r="302" spans="1:2">
      <c r="A302" s="237" t="s">
        <v>385</v>
      </c>
      <c r="B302" s="241">
        <f>SUM(B301:B301)</f>
        <v>51946</v>
      </c>
    </row>
    <row r="303" spans="1:2">
      <c r="A303" s="237"/>
      <c r="B303" s="241"/>
    </row>
    <row r="304" spans="1:2">
      <c r="A304" s="232" t="s">
        <v>380</v>
      </c>
      <c r="B304" s="241">
        <f>B299+B302</f>
        <v>584721</v>
      </c>
    </row>
    <row r="305" spans="1:2">
      <c r="A305" s="231"/>
      <c r="B305" s="53"/>
    </row>
    <row r="306" spans="1:2">
      <c r="A306" s="231"/>
      <c r="B306" s="53"/>
    </row>
    <row r="307" spans="1:2">
      <c r="A307" s="237" t="s">
        <v>383</v>
      </c>
      <c r="B307" s="238">
        <f>B234+B288+B278+B299</f>
        <v>69162770</v>
      </c>
    </row>
    <row r="308" spans="1:2">
      <c r="A308" s="237" t="s">
        <v>385</v>
      </c>
      <c r="B308" s="229">
        <f>B240+B291+B282+B302</f>
        <v>15427943</v>
      </c>
    </row>
    <row r="309" spans="1:2">
      <c r="A309" s="231" t="s">
        <v>436</v>
      </c>
      <c r="B309" s="229">
        <f>B219+B268</f>
        <v>28565942</v>
      </c>
    </row>
    <row r="310" spans="1:2">
      <c r="A310" s="257" t="s">
        <v>460</v>
      </c>
      <c r="B310" s="229">
        <f>SUM(B307:B309)</f>
        <v>113156655</v>
      </c>
    </row>
    <row r="311" spans="1:2">
      <c r="A311" s="257"/>
      <c r="B311" s="229"/>
    </row>
    <row r="312" spans="1:2" ht="12.75" customHeight="1">
      <c r="A312" s="257"/>
      <c r="B312" s="229"/>
    </row>
    <row r="313" spans="1:2">
      <c r="A313" s="257"/>
      <c r="B313" s="229"/>
    </row>
    <row r="314" spans="1:2">
      <c r="A314" s="55" t="s">
        <v>461</v>
      </c>
      <c r="B314" s="55"/>
    </row>
    <row r="315" spans="1:2">
      <c r="A315" s="56"/>
      <c r="B315" s="226"/>
    </row>
    <row r="316" spans="1:2">
      <c r="A316" s="221" t="s">
        <v>292</v>
      </c>
      <c r="B316" s="221"/>
    </row>
    <row r="317" spans="1:2">
      <c r="A317" s="222"/>
      <c r="B317" s="222"/>
    </row>
    <row r="318" spans="1:2">
      <c r="A318" s="244" t="s">
        <v>458</v>
      </c>
      <c r="B318" s="224"/>
    </row>
    <row r="319" spans="1:2">
      <c r="A319" s="245"/>
      <c r="B319" s="246"/>
    </row>
    <row r="320" spans="1:2" ht="12.75" customHeight="1">
      <c r="A320" s="110" t="s">
        <v>462</v>
      </c>
      <c r="B320" s="242">
        <v>14095835</v>
      </c>
    </row>
    <row r="321" spans="1:2">
      <c r="A321" s="237" t="s">
        <v>383</v>
      </c>
      <c r="B321" s="241">
        <f>B320</f>
        <v>14095835</v>
      </c>
    </row>
    <row r="322" spans="1:2">
      <c r="A322" s="237"/>
      <c r="B322" s="241"/>
    </row>
    <row r="323" spans="1:2">
      <c r="A323" s="110" t="s">
        <v>384</v>
      </c>
      <c r="B323" s="242">
        <v>1403818</v>
      </c>
    </row>
    <row r="324" spans="1:2">
      <c r="A324" s="110" t="s">
        <v>403</v>
      </c>
      <c r="B324" s="242">
        <v>20000</v>
      </c>
    </row>
    <row r="325" spans="1:2">
      <c r="A325" s="237" t="s">
        <v>385</v>
      </c>
      <c r="B325" s="241">
        <f>SUM(B323:B324)</f>
        <v>1423818</v>
      </c>
    </row>
    <row r="326" spans="1:2">
      <c r="A326" s="237"/>
      <c r="B326" s="241"/>
    </row>
    <row r="327" spans="1:2">
      <c r="A327" s="232" t="s">
        <v>380</v>
      </c>
      <c r="B327" s="241">
        <f>B321+B325</f>
        <v>15519653</v>
      </c>
    </row>
    <row r="328" spans="1:2">
      <c r="A328" s="237"/>
      <c r="B328" s="260"/>
    </row>
    <row r="329" spans="1:2">
      <c r="A329" s="237"/>
      <c r="B329" s="260"/>
    </row>
    <row r="330" spans="1:2">
      <c r="A330" s="237"/>
      <c r="B330" s="260"/>
    </row>
    <row r="331" spans="1:2">
      <c r="A331" s="237"/>
      <c r="B331" s="260"/>
    </row>
    <row r="332" spans="1:2">
      <c r="A332" s="237"/>
      <c r="B332" s="260"/>
    </row>
    <row r="333" spans="1:2">
      <c r="A333" s="244" t="s">
        <v>463</v>
      </c>
      <c r="B333" s="224"/>
    </row>
    <row r="334" spans="1:2">
      <c r="A334" s="245"/>
      <c r="B334" s="246"/>
    </row>
    <row r="335" spans="1:2">
      <c r="A335" s="110" t="s">
        <v>464</v>
      </c>
      <c r="B335" s="242">
        <v>2348250</v>
      </c>
    </row>
    <row r="336" spans="1:2">
      <c r="A336" s="237" t="s">
        <v>383</v>
      </c>
      <c r="B336" s="241">
        <f>B335</f>
        <v>2348250</v>
      </c>
    </row>
    <row r="337" spans="1:2">
      <c r="A337" s="237"/>
      <c r="B337" s="241"/>
    </row>
    <row r="338" spans="1:2">
      <c r="A338" s="110" t="s">
        <v>384</v>
      </c>
      <c r="B338" s="242">
        <v>190006</v>
      </c>
    </row>
    <row r="339" spans="1:2">
      <c r="A339" s="110" t="s">
        <v>403</v>
      </c>
      <c r="B339" s="242">
        <v>55000</v>
      </c>
    </row>
    <row r="340" spans="1:2">
      <c r="A340" s="237" t="s">
        <v>385</v>
      </c>
      <c r="B340" s="241">
        <f>SUM(B338:B339)</f>
        <v>245006</v>
      </c>
    </row>
    <row r="341" spans="1:2">
      <c r="A341" s="237"/>
      <c r="B341" s="241"/>
    </row>
    <row r="342" spans="1:2">
      <c r="A342" s="232" t="s">
        <v>380</v>
      </c>
      <c r="B342" s="241">
        <f>B336+B340</f>
        <v>2593256</v>
      </c>
    </row>
    <row r="343" spans="1:2">
      <c r="A343" s="237"/>
      <c r="B343" s="227"/>
    </row>
    <row r="344" spans="1:2">
      <c r="A344" s="237"/>
      <c r="B344" s="260"/>
    </row>
    <row r="345" spans="1:2">
      <c r="A345" s="223" t="s">
        <v>329</v>
      </c>
      <c r="B345" s="261"/>
    </row>
    <row r="346" spans="1:2">
      <c r="A346" s="110"/>
      <c r="B346" s="246"/>
    </row>
    <row r="347" spans="1:2">
      <c r="A347" s="110" t="s">
        <v>465</v>
      </c>
      <c r="B347" s="226">
        <v>7646100</v>
      </c>
    </row>
    <row r="348" spans="1:2">
      <c r="A348" s="235" t="s">
        <v>466</v>
      </c>
      <c r="B348" s="226">
        <v>152922</v>
      </c>
    </row>
    <row r="349" spans="1:2">
      <c r="A349" s="235" t="s">
        <v>467</v>
      </c>
      <c r="B349" s="226">
        <v>86090</v>
      </c>
    </row>
    <row r="350" spans="1:2">
      <c r="A350" s="237" t="s">
        <v>383</v>
      </c>
      <c r="B350" s="234">
        <f>SUM(B347:B349)</f>
        <v>7885112</v>
      </c>
    </row>
    <row r="351" spans="1:2">
      <c r="A351" s="237"/>
      <c r="B351" s="234"/>
    </row>
    <row r="352" spans="1:2">
      <c r="A352" s="110" t="s">
        <v>384</v>
      </c>
      <c r="B352" s="226">
        <v>1631329</v>
      </c>
    </row>
    <row r="353" spans="1:2">
      <c r="A353" s="110" t="s">
        <v>406</v>
      </c>
      <c r="B353" s="226">
        <v>35187</v>
      </c>
    </row>
    <row r="354" spans="1:2">
      <c r="A354" s="110" t="s">
        <v>403</v>
      </c>
      <c r="B354" s="226">
        <v>20000</v>
      </c>
    </row>
    <row r="355" spans="1:2">
      <c r="A355" s="110" t="s">
        <v>421</v>
      </c>
      <c r="B355" s="226">
        <v>27067</v>
      </c>
    </row>
    <row r="356" spans="1:2">
      <c r="A356" s="237" t="s">
        <v>385</v>
      </c>
      <c r="B356" s="234">
        <f>SUM(B352:B355)</f>
        <v>1713583</v>
      </c>
    </row>
    <row r="357" spans="1:2">
      <c r="A357" s="237"/>
      <c r="B357" s="234"/>
    </row>
    <row r="358" spans="1:2">
      <c r="A358" s="235" t="s">
        <v>386</v>
      </c>
      <c r="B358" s="236">
        <v>20000</v>
      </c>
    </row>
    <row r="359" spans="1:2">
      <c r="A359" s="61" t="s">
        <v>446</v>
      </c>
      <c r="B359" s="236">
        <v>5000</v>
      </c>
    </row>
    <row r="360" spans="1:2">
      <c r="A360" s="61" t="s">
        <v>387</v>
      </c>
      <c r="B360" s="242">
        <v>20000</v>
      </c>
    </row>
    <row r="361" spans="1:2">
      <c r="A361" s="239" t="s">
        <v>390</v>
      </c>
      <c r="B361" s="241">
        <f>SUM(B358:B360)</f>
        <v>45000</v>
      </c>
    </row>
    <row r="362" spans="1:2">
      <c r="A362" s="61" t="s">
        <v>388</v>
      </c>
      <c r="B362" s="242">
        <v>50000</v>
      </c>
    </row>
    <row r="363" spans="1:2">
      <c r="A363" s="61" t="s">
        <v>468</v>
      </c>
      <c r="B363" s="242">
        <v>24000</v>
      </c>
    </row>
    <row r="364" spans="1:2">
      <c r="A364" s="61" t="s">
        <v>389</v>
      </c>
      <c r="B364" s="242">
        <v>150000</v>
      </c>
    </row>
    <row r="365" spans="1:2">
      <c r="A365" s="239" t="s">
        <v>424</v>
      </c>
      <c r="B365" s="241">
        <f>SUM(B362:B364)</f>
        <v>224000</v>
      </c>
    </row>
    <row r="366" spans="1:2">
      <c r="A366" s="240" t="s">
        <v>391</v>
      </c>
      <c r="B366" s="242">
        <v>247000</v>
      </c>
    </row>
    <row r="367" spans="1:2">
      <c r="A367" s="61" t="s">
        <v>449</v>
      </c>
      <c r="B367" s="242">
        <v>120000</v>
      </c>
    </row>
    <row r="368" spans="1:2">
      <c r="A368" s="228" t="s">
        <v>392</v>
      </c>
      <c r="B368" s="241">
        <f>SUM(B366:B367)</f>
        <v>367000</v>
      </c>
    </row>
    <row r="369" spans="1:2">
      <c r="A369" s="60" t="s">
        <v>450</v>
      </c>
      <c r="B369" s="242">
        <f>340000-40000</f>
        <v>300000</v>
      </c>
    </row>
    <row r="370" spans="1:2">
      <c r="A370" s="61" t="s">
        <v>393</v>
      </c>
      <c r="B370" s="242">
        <f>160000-60000</f>
        <v>100000</v>
      </c>
    </row>
    <row r="371" spans="1:2">
      <c r="A371" s="61" t="s">
        <v>376</v>
      </c>
      <c r="B371" s="242">
        <v>130000</v>
      </c>
    </row>
    <row r="372" spans="1:2">
      <c r="A372" s="61" t="s">
        <v>394</v>
      </c>
      <c r="B372" s="242">
        <v>15000</v>
      </c>
    </row>
    <row r="373" spans="1:2">
      <c r="A373" s="228" t="s">
        <v>378</v>
      </c>
      <c r="B373" s="241">
        <f>SUM(B369:B372)</f>
        <v>545000</v>
      </c>
    </row>
    <row r="374" spans="1:2">
      <c r="A374" s="61" t="s">
        <v>395</v>
      </c>
      <c r="B374" s="242">
        <v>50000</v>
      </c>
    </row>
    <row r="375" spans="1:2">
      <c r="A375" s="61" t="s">
        <v>452</v>
      </c>
      <c r="B375" s="242">
        <v>2200000</v>
      </c>
    </row>
    <row r="376" spans="1:2">
      <c r="A376" s="61" t="s">
        <v>397</v>
      </c>
      <c r="B376" s="242">
        <v>500000</v>
      </c>
    </row>
    <row r="377" spans="1:2">
      <c r="A377" s="228" t="s">
        <v>398</v>
      </c>
      <c r="B377" s="241">
        <f>SUM(B374:B376)</f>
        <v>2750000</v>
      </c>
    </row>
    <row r="378" spans="1:2">
      <c r="A378" s="61" t="s">
        <v>469</v>
      </c>
      <c r="B378" s="242">
        <f>B375*0.27</f>
        <v>594000</v>
      </c>
    </row>
    <row r="379" spans="1:2">
      <c r="A379" s="61" t="s">
        <v>470</v>
      </c>
      <c r="B379" s="242">
        <f>(B358+B359+B360+B362+B363+B364+B366+B367+B370+B371+B372+B374+B376)*0.27+B369*0.05</f>
        <v>401370</v>
      </c>
    </row>
    <row r="380" spans="1:2">
      <c r="A380" s="239" t="s">
        <v>400</v>
      </c>
      <c r="B380" s="241">
        <f>SUM(B378:B379)</f>
        <v>995370</v>
      </c>
    </row>
    <row r="381" spans="1:2">
      <c r="A381" s="231" t="s">
        <v>379</v>
      </c>
      <c r="B381" s="241">
        <f>B361+B365+B368+B373+B377+B380</f>
        <v>4926370</v>
      </c>
    </row>
    <row r="382" spans="1:2">
      <c r="A382" s="231"/>
      <c r="B382" s="241"/>
    </row>
    <row r="383" spans="1:2">
      <c r="A383" s="232" t="s">
        <v>380</v>
      </c>
      <c r="B383" s="241">
        <f>B350+B356+B381</f>
        <v>14525065</v>
      </c>
    </row>
    <row r="384" spans="1:2">
      <c r="A384" s="232"/>
      <c r="B384" s="234"/>
    </row>
    <row r="385" spans="1:2">
      <c r="A385" s="232"/>
      <c r="B385" s="234"/>
    </row>
    <row r="386" spans="1:2">
      <c r="A386" s="232"/>
      <c r="B386" s="234"/>
    </row>
    <row r="387" spans="1:2">
      <c r="A387" s="232"/>
      <c r="B387" s="234"/>
    </row>
    <row r="388" spans="1:2">
      <c r="A388" s="232"/>
      <c r="B388" s="234"/>
    </row>
    <row r="389" spans="1:2">
      <c r="A389" s="223" t="s">
        <v>471</v>
      </c>
      <c r="B389" s="247"/>
    </row>
    <row r="390" spans="1:2">
      <c r="A390" s="110"/>
      <c r="B390" s="262"/>
    </row>
    <row r="391" spans="1:2">
      <c r="A391" s="110" t="s">
        <v>472</v>
      </c>
      <c r="B391" s="134">
        <v>3245700</v>
      </c>
    </row>
    <row r="392" spans="1:2">
      <c r="A392" s="235" t="s">
        <v>466</v>
      </c>
      <c r="B392" s="134">
        <v>64914</v>
      </c>
    </row>
    <row r="393" spans="1:2">
      <c r="A393" s="235" t="s">
        <v>467</v>
      </c>
      <c r="B393" s="134">
        <v>20000</v>
      </c>
    </row>
    <row r="394" spans="1:2">
      <c r="A394" s="237" t="s">
        <v>383</v>
      </c>
      <c r="B394" s="263">
        <f>SUM(B391:B393)</f>
        <v>3330614</v>
      </c>
    </row>
    <row r="395" spans="1:2">
      <c r="A395" s="237"/>
      <c r="B395" s="263"/>
    </row>
    <row r="396" spans="1:2">
      <c r="A396" s="110" t="s">
        <v>384</v>
      </c>
      <c r="B396" s="134">
        <v>692384</v>
      </c>
    </row>
    <row r="397" spans="1:2">
      <c r="A397" s="110" t="s">
        <v>406</v>
      </c>
      <c r="B397" s="134">
        <v>14937</v>
      </c>
    </row>
    <row r="398" spans="1:2">
      <c r="A398" s="110" t="s">
        <v>403</v>
      </c>
      <c r="B398" s="134">
        <v>10000</v>
      </c>
    </row>
    <row r="399" spans="1:2">
      <c r="A399" s="110" t="s">
        <v>421</v>
      </c>
      <c r="B399" s="134">
        <v>11490</v>
      </c>
    </row>
    <row r="400" spans="1:2">
      <c r="A400" s="237" t="s">
        <v>385</v>
      </c>
      <c r="B400" s="263">
        <f>SUM(B396:B399)</f>
        <v>728811</v>
      </c>
    </row>
    <row r="401" spans="1:2">
      <c r="A401" s="237"/>
      <c r="B401" s="264"/>
    </row>
    <row r="402" spans="1:2">
      <c r="A402" s="237"/>
      <c r="B402" s="264"/>
    </row>
    <row r="403" spans="1:2">
      <c r="A403" s="237"/>
      <c r="B403" s="264"/>
    </row>
    <row r="404" spans="1:2">
      <c r="A404" s="237"/>
      <c r="B404" s="264"/>
    </row>
    <row r="405" spans="1:2">
      <c r="A405" s="61" t="s">
        <v>468</v>
      </c>
      <c r="B405" s="134">
        <v>12000</v>
      </c>
    </row>
    <row r="406" spans="1:2">
      <c r="A406" s="239" t="s">
        <v>424</v>
      </c>
      <c r="B406" s="263">
        <f>B405</f>
        <v>12000</v>
      </c>
    </row>
    <row r="407" spans="1:2">
      <c r="A407" s="61" t="s">
        <v>377</v>
      </c>
      <c r="B407" s="134">
        <f>B405*0.27</f>
        <v>3240</v>
      </c>
    </row>
    <row r="408" spans="1:2">
      <c r="A408" s="239" t="s">
        <v>400</v>
      </c>
      <c r="B408" s="263">
        <f>B407</f>
        <v>3240</v>
      </c>
    </row>
    <row r="409" spans="1:2">
      <c r="A409" s="231" t="s">
        <v>379</v>
      </c>
      <c r="B409" s="263">
        <f>B406+B408</f>
        <v>15240</v>
      </c>
    </row>
    <row r="410" spans="1:2">
      <c r="A410" s="232"/>
      <c r="B410" s="234"/>
    </row>
    <row r="411" spans="1:2">
      <c r="A411" s="232" t="s">
        <v>380</v>
      </c>
      <c r="B411" s="234">
        <f>B394+B400+B409</f>
        <v>4074665</v>
      </c>
    </row>
    <row r="412" spans="1:2">
      <c r="A412" s="232"/>
      <c r="B412" s="234"/>
    </row>
    <row r="413" spans="1:2">
      <c r="A413" s="223" t="s">
        <v>473</v>
      </c>
      <c r="B413" s="247"/>
    </row>
    <row r="414" spans="1:2">
      <c r="A414" s="110"/>
      <c r="B414" s="226"/>
    </row>
    <row r="415" spans="1:2">
      <c r="A415" s="110" t="s">
        <v>474</v>
      </c>
      <c r="B415" s="226">
        <v>14932357</v>
      </c>
    </row>
    <row r="416" spans="1:2">
      <c r="A416" s="235" t="s">
        <v>466</v>
      </c>
      <c r="B416" s="226">
        <v>298647</v>
      </c>
    </row>
    <row r="417" spans="1:2">
      <c r="A417" s="235" t="s">
        <v>475</v>
      </c>
      <c r="B417" s="236">
        <v>138315</v>
      </c>
    </row>
    <row r="418" spans="1:2">
      <c r="A418" s="235" t="s">
        <v>476</v>
      </c>
      <c r="B418" s="236">
        <v>576000</v>
      </c>
    </row>
    <row r="419" spans="1:2">
      <c r="A419" s="235" t="s">
        <v>445</v>
      </c>
      <c r="B419" s="236">
        <v>10000</v>
      </c>
    </row>
    <row r="420" spans="1:2">
      <c r="A420" s="237" t="s">
        <v>383</v>
      </c>
      <c r="B420" s="81">
        <f>SUM(B415:B419)</f>
        <v>15955319</v>
      </c>
    </row>
    <row r="421" spans="1:2">
      <c r="A421" s="237"/>
      <c r="B421" s="226"/>
    </row>
    <row r="422" spans="1:2">
      <c r="A422" s="110" t="s">
        <v>384</v>
      </c>
      <c r="B422" s="236">
        <v>2966544</v>
      </c>
    </row>
    <row r="423" spans="1:2">
      <c r="A423" s="110" t="s">
        <v>406</v>
      </c>
      <c r="B423" s="236">
        <v>435223</v>
      </c>
    </row>
    <row r="424" spans="1:2">
      <c r="A424" s="110" t="s">
        <v>403</v>
      </c>
      <c r="B424" s="236">
        <v>25000</v>
      </c>
    </row>
    <row r="425" spans="1:2">
      <c r="A425" s="110" t="s">
        <v>421</v>
      </c>
      <c r="B425" s="236">
        <v>54631</v>
      </c>
    </row>
    <row r="426" spans="1:2">
      <c r="A426" s="237" t="s">
        <v>385</v>
      </c>
      <c r="B426" s="234">
        <f>SUM(B422:B425)</f>
        <v>3481398</v>
      </c>
    </row>
    <row r="427" spans="1:2">
      <c r="A427" s="237"/>
      <c r="B427" s="234"/>
    </row>
    <row r="428" spans="1:2">
      <c r="A428" s="235" t="s">
        <v>386</v>
      </c>
      <c r="B428" s="236">
        <v>20000</v>
      </c>
    </row>
    <row r="429" spans="1:2">
      <c r="A429" s="61" t="s">
        <v>447</v>
      </c>
      <c r="B429" s="236">
        <v>40000</v>
      </c>
    </row>
    <row r="430" spans="1:2">
      <c r="A430" s="61" t="s">
        <v>387</v>
      </c>
      <c r="B430" s="242">
        <v>40000</v>
      </c>
    </row>
    <row r="431" spans="1:2">
      <c r="A431" s="239" t="s">
        <v>390</v>
      </c>
      <c r="B431" s="241">
        <f>SUM(B428:B430)</f>
        <v>100000</v>
      </c>
    </row>
    <row r="432" spans="1:2">
      <c r="A432" s="61" t="s">
        <v>388</v>
      </c>
      <c r="B432" s="242">
        <v>30000</v>
      </c>
    </row>
    <row r="433" spans="1:2">
      <c r="A433" s="61" t="s">
        <v>441</v>
      </c>
      <c r="B433" s="242">
        <v>10000</v>
      </c>
    </row>
    <row r="434" spans="1:2">
      <c r="A434" s="61" t="s">
        <v>468</v>
      </c>
      <c r="B434" s="242">
        <v>72000</v>
      </c>
    </row>
    <row r="435" spans="1:2">
      <c r="A435" s="61" t="s">
        <v>389</v>
      </c>
      <c r="B435" s="227">
        <v>200000</v>
      </c>
    </row>
    <row r="436" spans="1:2">
      <c r="A436" s="239" t="s">
        <v>424</v>
      </c>
      <c r="B436" s="241">
        <f>SUM(B432:B435)</f>
        <v>312000</v>
      </c>
    </row>
    <row r="437" spans="1:2">
      <c r="A437" s="240" t="s">
        <v>391</v>
      </c>
      <c r="B437" s="242">
        <v>50500</v>
      </c>
    </row>
    <row r="438" spans="1:2">
      <c r="A438" s="61" t="s">
        <v>449</v>
      </c>
      <c r="B438" s="242">
        <v>50000</v>
      </c>
    </row>
    <row r="439" spans="1:2">
      <c r="A439" s="228" t="s">
        <v>392</v>
      </c>
      <c r="B439" s="241">
        <f>SUM(B437:B438)</f>
        <v>100500</v>
      </c>
    </row>
    <row r="440" spans="1:2">
      <c r="A440" s="61" t="s">
        <v>393</v>
      </c>
      <c r="B440" s="242">
        <v>400000</v>
      </c>
    </row>
    <row r="441" spans="1:2">
      <c r="A441" s="61" t="s">
        <v>376</v>
      </c>
      <c r="B441" s="242">
        <v>80000</v>
      </c>
    </row>
    <row r="442" spans="1:2">
      <c r="A442" s="61" t="s">
        <v>394</v>
      </c>
      <c r="B442" s="242">
        <v>110000</v>
      </c>
    </row>
    <row r="443" spans="1:2">
      <c r="A443" s="228" t="s">
        <v>378</v>
      </c>
      <c r="B443" s="241">
        <f>SUM(B440:B442)</f>
        <v>590000</v>
      </c>
    </row>
    <row r="444" spans="1:2">
      <c r="A444" s="228"/>
      <c r="B444" s="241"/>
    </row>
    <row r="445" spans="1:2">
      <c r="A445" s="61" t="s">
        <v>395</v>
      </c>
      <c r="B445" s="242">
        <f>150000-30000</f>
        <v>120000</v>
      </c>
    </row>
    <row r="446" spans="1:2">
      <c r="A446" s="61" t="s">
        <v>396</v>
      </c>
      <c r="B446" s="242">
        <v>35000</v>
      </c>
    </row>
    <row r="447" spans="1:2">
      <c r="A447" s="61" t="s">
        <v>397</v>
      </c>
      <c r="B447" s="242">
        <f>100000+150000</f>
        <v>250000</v>
      </c>
    </row>
    <row r="448" spans="1:2">
      <c r="A448" s="228" t="s">
        <v>398</v>
      </c>
      <c r="B448" s="241">
        <f>SUM(B445:B447)</f>
        <v>405000</v>
      </c>
    </row>
    <row r="449" spans="1:2">
      <c r="A449" s="60" t="s">
        <v>426</v>
      </c>
      <c r="B449" s="242">
        <v>20000</v>
      </c>
    </row>
    <row r="450" spans="1:2">
      <c r="A450" s="61" t="s">
        <v>377</v>
      </c>
      <c r="B450" s="242">
        <f>(B428+B429+B432+B433+B434+B435+B437+B438+B440+B441+B442+B445+B447+B430+B446)*0.27</f>
        <v>407025</v>
      </c>
    </row>
    <row r="451" spans="1:2">
      <c r="A451" s="239" t="s">
        <v>400</v>
      </c>
      <c r="B451" s="241">
        <f>SUM(B449:B450)</f>
        <v>427025</v>
      </c>
    </row>
    <row r="452" spans="1:2">
      <c r="A452" s="231" t="s">
        <v>379</v>
      </c>
      <c r="B452" s="241">
        <f>B431+B436+B439+B443+B448+B451</f>
        <v>1934525</v>
      </c>
    </row>
    <row r="453" spans="1:2">
      <c r="A453" s="231"/>
      <c r="B453" s="242"/>
    </row>
    <row r="454" spans="1:2">
      <c r="A454" s="232" t="s">
        <v>380</v>
      </c>
      <c r="B454" s="241">
        <f>B420+B426+B452</f>
        <v>21371242</v>
      </c>
    </row>
    <row r="455" spans="1:2">
      <c r="A455" s="232"/>
      <c r="B455" s="241"/>
    </row>
    <row r="456" spans="1:2">
      <c r="A456" s="223" t="s">
        <v>456</v>
      </c>
      <c r="B456" s="247"/>
    </row>
    <row r="457" spans="1:2">
      <c r="A457" s="110" t="s">
        <v>477</v>
      </c>
      <c r="B457" s="226">
        <v>23008300</v>
      </c>
    </row>
    <row r="458" spans="1:2">
      <c r="A458" s="235" t="s">
        <v>466</v>
      </c>
      <c r="B458" s="226">
        <v>460166</v>
      </c>
    </row>
    <row r="459" spans="1:2">
      <c r="A459" s="235" t="s">
        <v>475</v>
      </c>
      <c r="B459" s="226">
        <v>144360</v>
      </c>
    </row>
    <row r="460" spans="1:2">
      <c r="A460" s="235" t="s">
        <v>382</v>
      </c>
      <c r="B460" s="226">
        <v>120000</v>
      </c>
    </row>
    <row r="461" spans="1:2">
      <c r="A461" s="237" t="s">
        <v>383</v>
      </c>
      <c r="B461" s="234">
        <f>SUM(B457:B460)</f>
        <v>23732826</v>
      </c>
    </row>
    <row r="462" spans="1:2">
      <c r="A462" s="237"/>
      <c r="B462" s="234"/>
    </row>
    <row r="463" spans="1:2">
      <c r="A463" s="110" t="s">
        <v>384</v>
      </c>
      <c r="B463" s="226">
        <v>4574651</v>
      </c>
    </row>
    <row r="464" spans="1:2">
      <c r="A464" s="110" t="s">
        <v>406</v>
      </c>
      <c r="B464" s="226">
        <v>105884</v>
      </c>
    </row>
    <row r="465" spans="1:2">
      <c r="A465" s="110" t="s">
        <v>403</v>
      </c>
      <c r="B465" s="226">
        <v>30000</v>
      </c>
    </row>
    <row r="466" spans="1:2">
      <c r="A466" s="110" t="s">
        <v>421</v>
      </c>
      <c r="B466" s="226">
        <v>81449</v>
      </c>
    </row>
    <row r="467" spans="1:2">
      <c r="A467" s="237" t="s">
        <v>385</v>
      </c>
      <c r="B467" s="234">
        <f>SUM(B463:B466)</f>
        <v>4791984</v>
      </c>
    </row>
    <row r="468" spans="1:2">
      <c r="A468" s="237"/>
      <c r="B468" s="234"/>
    </row>
    <row r="469" spans="1:2">
      <c r="A469" s="235" t="s">
        <v>386</v>
      </c>
      <c r="B469" s="236">
        <v>10000</v>
      </c>
    </row>
    <row r="470" spans="1:2">
      <c r="A470" s="61" t="s">
        <v>446</v>
      </c>
      <c r="B470" s="236">
        <v>15000</v>
      </c>
    </row>
    <row r="471" spans="1:2">
      <c r="A471" s="61" t="s">
        <v>447</v>
      </c>
      <c r="B471" s="236">
        <v>20000</v>
      </c>
    </row>
    <row r="472" spans="1:2">
      <c r="A472" s="61" t="s">
        <v>387</v>
      </c>
      <c r="B472" s="242">
        <v>20000</v>
      </c>
    </row>
    <row r="473" spans="1:2">
      <c r="A473" s="239" t="s">
        <v>390</v>
      </c>
      <c r="B473" s="241">
        <f>SUM(B469:B472)</f>
        <v>65000</v>
      </c>
    </row>
    <row r="474" spans="1:2">
      <c r="A474" s="61" t="s">
        <v>388</v>
      </c>
      <c r="B474" s="242">
        <v>50000</v>
      </c>
    </row>
    <row r="475" spans="1:2">
      <c r="A475" s="61" t="s">
        <v>468</v>
      </c>
      <c r="B475" s="242">
        <f>8*32000</f>
        <v>256000</v>
      </c>
    </row>
    <row r="476" spans="1:2">
      <c r="A476" s="61" t="s">
        <v>389</v>
      </c>
      <c r="B476" s="242">
        <f>240000-60000</f>
        <v>180000</v>
      </c>
    </row>
    <row r="477" spans="1:2">
      <c r="A477" s="239" t="s">
        <v>424</v>
      </c>
      <c r="B477" s="241">
        <f>SUM(B474:B476)</f>
        <v>486000</v>
      </c>
    </row>
    <row r="478" spans="1:2">
      <c r="A478" s="240" t="s">
        <v>391</v>
      </c>
      <c r="B478" s="242">
        <v>36000</v>
      </c>
    </row>
    <row r="479" spans="1:2">
      <c r="A479" s="61" t="s">
        <v>449</v>
      </c>
      <c r="B479" s="242">
        <v>60000</v>
      </c>
    </row>
    <row r="480" spans="1:2">
      <c r="A480" s="228" t="s">
        <v>392</v>
      </c>
      <c r="B480" s="241">
        <f>SUM(B478:B479)</f>
        <v>96000</v>
      </c>
    </row>
    <row r="481" spans="1:2">
      <c r="A481" s="61" t="s">
        <v>393</v>
      </c>
      <c r="B481" s="242">
        <v>530000</v>
      </c>
    </row>
    <row r="482" spans="1:2">
      <c r="A482" s="61" t="s">
        <v>376</v>
      </c>
      <c r="B482" s="242">
        <v>320000</v>
      </c>
    </row>
    <row r="483" spans="1:2">
      <c r="A483" s="61" t="s">
        <v>394</v>
      </c>
      <c r="B483" s="242">
        <v>140000</v>
      </c>
    </row>
    <row r="484" spans="1:2">
      <c r="A484" s="228" t="s">
        <v>378</v>
      </c>
      <c r="B484" s="241">
        <f>SUM(B481:B483)</f>
        <v>990000</v>
      </c>
    </row>
    <row r="485" spans="1:2">
      <c r="A485" s="61" t="s">
        <v>395</v>
      </c>
      <c r="B485" s="242">
        <v>70000</v>
      </c>
    </row>
    <row r="486" spans="1:2">
      <c r="A486" s="61" t="s">
        <v>396</v>
      </c>
      <c r="B486" s="242">
        <v>60000</v>
      </c>
    </row>
    <row r="487" spans="1:2">
      <c r="A487" s="61" t="s">
        <v>478</v>
      </c>
      <c r="B487" s="242">
        <v>140000</v>
      </c>
    </row>
    <row r="488" spans="1:2">
      <c r="A488" s="228" t="s">
        <v>398</v>
      </c>
      <c r="B488" s="241">
        <f>SUM(B485:B487)</f>
        <v>270000</v>
      </c>
    </row>
    <row r="489" spans="1:2">
      <c r="A489" s="61" t="s">
        <v>377</v>
      </c>
      <c r="B489" s="242">
        <f>(B470+B469+B472+B474+B475+B478+B479+B481+B482+B483+B485+B486+B487+B476)*0.27</f>
        <v>509490.00000000006</v>
      </c>
    </row>
    <row r="490" spans="1:2">
      <c r="A490" s="239" t="s">
        <v>400</v>
      </c>
      <c r="B490" s="241">
        <f>SUM(B489:B489)</f>
        <v>509490.00000000006</v>
      </c>
    </row>
    <row r="491" spans="1:2">
      <c r="A491" s="231" t="s">
        <v>379</v>
      </c>
      <c r="B491" s="241">
        <f>B473+B477+B480+B484+B488+B490</f>
        <v>2416490</v>
      </c>
    </row>
    <row r="492" spans="1:2">
      <c r="A492" s="231"/>
      <c r="B492" s="241"/>
    </row>
    <row r="493" spans="1:2">
      <c r="A493" s="232" t="s">
        <v>380</v>
      </c>
      <c r="B493" s="241">
        <f>B461+B467+B491</f>
        <v>30941300</v>
      </c>
    </row>
    <row r="494" spans="1:2">
      <c r="A494" s="232"/>
      <c r="B494" s="241"/>
    </row>
    <row r="495" spans="1:2">
      <c r="A495" s="232"/>
      <c r="B495" s="241"/>
    </row>
    <row r="496" spans="1:2">
      <c r="A496" s="232"/>
      <c r="B496" s="241"/>
    </row>
    <row r="497" spans="1:2">
      <c r="A497" s="232"/>
      <c r="B497" s="241"/>
    </row>
    <row r="498" spans="1:2">
      <c r="A498" s="232"/>
      <c r="B498" s="241"/>
    </row>
    <row r="499" spans="1:2">
      <c r="A499" s="232"/>
      <c r="B499" s="241"/>
    </row>
    <row r="500" spans="1:2">
      <c r="A500" s="232"/>
      <c r="B500" s="241"/>
    </row>
    <row r="501" spans="1:2">
      <c r="A501" s="223" t="s">
        <v>479</v>
      </c>
      <c r="B501" s="247"/>
    </row>
    <row r="502" spans="1:2">
      <c r="A502" s="232"/>
      <c r="B502" s="229"/>
    </row>
    <row r="503" spans="1:2">
      <c r="A503" s="60" t="s">
        <v>408</v>
      </c>
      <c r="B503" s="227">
        <v>3024000</v>
      </c>
    </row>
    <row r="504" spans="1:2">
      <c r="A504" s="228" t="s">
        <v>398</v>
      </c>
      <c r="B504" s="229">
        <f>SUM(B501:B503)</f>
        <v>3024000</v>
      </c>
    </row>
    <row r="505" spans="1:2">
      <c r="A505" s="61" t="s">
        <v>377</v>
      </c>
      <c r="B505" s="227">
        <f>(B503)*0.27</f>
        <v>816480</v>
      </c>
    </row>
    <row r="506" spans="1:2">
      <c r="A506" s="239" t="s">
        <v>400</v>
      </c>
      <c r="B506" s="229">
        <f>SUM(B505:B505)</f>
        <v>816480</v>
      </c>
    </row>
    <row r="507" spans="1:2">
      <c r="A507" s="239"/>
      <c r="B507" s="227"/>
    </row>
    <row r="508" spans="1:2">
      <c r="A508" s="231" t="s">
        <v>379</v>
      </c>
      <c r="B508" s="229">
        <f>B506+B504</f>
        <v>3840480</v>
      </c>
    </row>
    <row r="509" spans="1:2">
      <c r="A509" s="231"/>
      <c r="B509" s="229"/>
    </row>
    <row r="510" spans="1:2">
      <c r="A510" s="232" t="s">
        <v>380</v>
      </c>
      <c r="B510" s="229">
        <f>B508</f>
        <v>3840480</v>
      </c>
    </row>
    <row r="511" spans="1:2">
      <c r="A511" s="232"/>
      <c r="B511" s="241"/>
    </row>
    <row r="512" spans="1:2">
      <c r="A512" s="265" t="s">
        <v>480</v>
      </c>
      <c r="B512" s="266"/>
    </row>
    <row r="513" spans="1:2">
      <c r="A513" s="110" t="s">
        <v>481</v>
      </c>
      <c r="B513" s="226">
        <v>9555356</v>
      </c>
    </row>
    <row r="514" spans="1:2">
      <c r="A514" s="235" t="s">
        <v>466</v>
      </c>
      <c r="B514" s="226">
        <v>191107</v>
      </c>
    </row>
    <row r="515" spans="1:2">
      <c r="A515" s="235" t="s">
        <v>475</v>
      </c>
      <c r="B515" s="226">
        <v>84135</v>
      </c>
    </row>
    <row r="516" spans="1:2">
      <c r="A516" s="235" t="s">
        <v>445</v>
      </c>
      <c r="B516" s="226">
        <v>6000</v>
      </c>
    </row>
    <row r="517" spans="1:2">
      <c r="A517" s="237" t="s">
        <v>383</v>
      </c>
      <c r="B517" s="234">
        <f>SUM(B513:B516)</f>
        <v>9836598</v>
      </c>
    </row>
    <row r="518" spans="1:2">
      <c r="A518" s="237"/>
      <c r="B518" s="234"/>
    </row>
    <row r="519" spans="1:2">
      <c r="A519" s="110" t="s">
        <v>384</v>
      </c>
      <c r="B519" s="226">
        <v>1897889</v>
      </c>
    </row>
    <row r="520" spans="1:2">
      <c r="A520" s="110" t="s">
        <v>406</v>
      </c>
      <c r="B520" s="226">
        <v>45354</v>
      </c>
    </row>
    <row r="521" spans="1:2">
      <c r="A521" s="110" t="s">
        <v>403</v>
      </c>
      <c r="B521" s="226">
        <v>10000</v>
      </c>
    </row>
    <row r="522" spans="1:2">
      <c r="A522" s="110" t="s">
        <v>421</v>
      </c>
      <c r="B522" s="226">
        <v>34888</v>
      </c>
    </row>
    <row r="523" spans="1:2">
      <c r="A523" s="237" t="s">
        <v>385</v>
      </c>
      <c r="B523" s="234">
        <f>SUM(B519:B522)</f>
        <v>1988131</v>
      </c>
    </row>
    <row r="524" spans="1:2">
      <c r="A524" s="237"/>
      <c r="B524" s="234"/>
    </row>
    <row r="525" spans="1:2">
      <c r="A525" s="61" t="s">
        <v>387</v>
      </c>
      <c r="B525" s="227">
        <v>20000</v>
      </c>
    </row>
    <row r="526" spans="1:2">
      <c r="A526" s="239" t="s">
        <v>390</v>
      </c>
      <c r="B526" s="229">
        <f>SUM(B525:B525)</f>
        <v>20000</v>
      </c>
    </row>
    <row r="527" spans="1:2">
      <c r="A527" s="61" t="s">
        <v>388</v>
      </c>
      <c r="B527" s="227">
        <f>60000-10000</f>
        <v>50000</v>
      </c>
    </row>
    <row r="528" spans="1:2">
      <c r="A528" s="61" t="s">
        <v>468</v>
      </c>
      <c r="B528" s="227">
        <f>3*12000</f>
        <v>36000</v>
      </c>
    </row>
    <row r="529" spans="1:2">
      <c r="A529" s="61" t="s">
        <v>389</v>
      </c>
      <c r="B529" s="227">
        <v>70000</v>
      </c>
    </row>
    <row r="530" spans="1:2">
      <c r="A530" s="239" t="s">
        <v>424</v>
      </c>
      <c r="B530" s="241">
        <f>SUM(B527:B529)</f>
        <v>156000</v>
      </c>
    </row>
    <row r="531" spans="1:2">
      <c r="A531" s="240" t="s">
        <v>391</v>
      </c>
      <c r="B531" s="227">
        <v>86000</v>
      </c>
    </row>
    <row r="532" spans="1:2">
      <c r="A532" s="61" t="s">
        <v>449</v>
      </c>
      <c r="B532" s="227">
        <v>70000</v>
      </c>
    </row>
    <row r="533" spans="1:2">
      <c r="A533" s="228" t="s">
        <v>392</v>
      </c>
      <c r="B533" s="229">
        <f>SUM(B531:B532)</f>
        <v>156000</v>
      </c>
    </row>
    <row r="534" spans="1:2">
      <c r="A534" s="60" t="s">
        <v>450</v>
      </c>
      <c r="B534" s="242">
        <f>200000-50000</f>
        <v>150000</v>
      </c>
    </row>
    <row r="535" spans="1:2">
      <c r="A535" s="61" t="s">
        <v>393</v>
      </c>
      <c r="B535" s="242">
        <f>80000-30000</f>
        <v>50000</v>
      </c>
    </row>
    <row r="536" spans="1:2">
      <c r="A536" s="61" t="s">
        <v>376</v>
      </c>
      <c r="B536" s="242">
        <v>65000</v>
      </c>
    </row>
    <row r="537" spans="1:2">
      <c r="A537" s="61" t="s">
        <v>394</v>
      </c>
      <c r="B537" s="242">
        <v>15000</v>
      </c>
    </row>
    <row r="538" spans="1:2">
      <c r="A538" s="228" t="s">
        <v>378</v>
      </c>
      <c r="B538" s="241">
        <f>SUM(B534:B537)</f>
        <v>280000</v>
      </c>
    </row>
    <row r="539" spans="1:2">
      <c r="A539" s="61" t="s">
        <v>395</v>
      </c>
      <c r="B539" s="242">
        <v>75000</v>
      </c>
    </row>
    <row r="540" spans="1:2">
      <c r="A540" s="61" t="s">
        <v>482</v>
      </c>
      <c r="B540" s="242">
        <v>80000</v>
      </c>
    </row>
    <row r="541" spans="1:2">
      <c r="A541" s="228" t="s">
        <v>398</v>
      </c>
      <c r="B541" s="241">
        <f>SUM(B539:B540)</f>
        <v>155000</v>
      </c>
    </row>
    <row r="542" spans="1:2">
      <c r="A542" s="61" t="s">
        <v>483</v>
      </c>
      <c r="B542" s="242">
        <v>30000</v>
      </c>
    </row>
    <row r="543" spans="1:2">
      <c r="A543" s="228" t="s">
        <v>484</v>
      </c>
      <c r="B543" s="241">
        <f>SUM(B542:B542)</f>
        <v>30000</v>
      </c>
    </row>
    <row r="544" spans="1:2">
      <c r="A544" s="61" t="s">
        <v>377</v>
      </c>
      <c r="B544" s="242">
        <f>(B525+B528+B531+B532+B535+B536+B537+B539+B542+B540+B529+B527)*0.27+B534*0.05</f>
        <v>182190</v>
      </c>
    </row>
    <row r="545" spans="1:2">
      <c r="A545" s="239" t="s">
        <v>400</v>
      </c>
      <c r="B545" s="241">
        <f>SUM(B544:B544)</f>
        <v>182190</v>
      </c>
    </row>
    <row r="546" spans="1:2">
      <c r="A546" s="231" t="s">
        <v>379</v>
      </c>
      <c r="B546" s="241">
        <f>B526+B530+B533+B538+B541+B543+B545</f>
        <v>979190</v>
      </c>
    </row>
    <row r="547" spans="1:2">
      <c r="A547" s="231"/>
      <c r="B547" s="238"/>
    </row>
    <row r="548" spans="1:2">
      <c r="A548" s="232" t="s">
        <v>380</v>
      </c>
      <c r="B548" s="238">
        <f>B517+B523+B546</f>
        <v>12803919</v>
      </c>
    </row>
    <row r="549" spans="1:2">
      <c r="A549" s="232"/>
      <c r="B549" s="234"/>
    </row>
    <row r="550" spans="1:2">
      <c r="A550" s="223" t="s">
        <v>332</v>
      </c>
      <c r="B550" s="247"/>
    </row>
    <row r="551" spans="1:2">
      <c r="A551" s="233"/>
      <c r="B551" s="233"/>
    </row>
    <row r="552" spans="1:2">
      <c r="A552" s="110" t="s">
        <v>485</v>
      </c>
      <c r="B552" s="236">
        <v>3434939</v>
      </c>
    </row>
    <row r="553" spans="1:2">
      <c r="A553" s="235" t="s">
        <v>466</v>
      </c>
      <c r="B553" s="236">
        <v>68699</v>
      </c>
    </row>
    <row r="554" spans="1:2">
      <c r="A554" s="235" t="s">
        <v>475</v>
      </c>
      <c r="B554" s="236">
        <v>18045</v>
      </c>
    </row>
    <row r="555" spans="1:2">
      <c r="A555" s="237" t="s">
        <v>383</v>
      </c>
      <c r="B555" s="238">
        <f>SUM(B552:B554)</f>
        <v>3521683</v>
      </c>
    </row>
    <row r="556" spans="1:2">
      <c r="A556" s="237"/>
      <c r="B556" s="236"/>
    </row>
    <row r="557" spans="1:2">
      <c r="A557" s="110" t="s">
        <v>384</v>
      </c>
      <c r="B557" s="236">
        <v>679787</v>
      </c>
    </row>
    <row r="558" spans="1:2">
      <c r="A558" s="110" t="s">
        <v>406</v>
      </c>
      <c r="B558" s="236">
        <v>15808</v>
      </c>
    </row>
    <row r="559" spans="1:2">
      <c r="A559" s="110" t="s">
        <v>421</v>
      </c>
      <c r="B559" s="236">
        <v>12160</v>
      </c>
    </row>
    <row r="560" spans="1:2">
      <c r="A560" s="237" t="s">
        <v>385</v>
      </c>
      <c r="B560" s="238">
        <f>SUM(B557:B559)</f>
        <v>707755</v>
      </c>
    </row>
    <row r="561" spans="1:2">
      <c r="A561" s="237"/>
      <c r="B561" s="238"/>
    </row>
    <row r="562" spans="1:2">
      <c r="A562" s="60" t="s">
        <v>408</v>
      </c>
      <c r="B562" s="227">
        <v>14380000</v>
      </c>
    </row>
    <row r="563" spans="1:2">
      <c r="A563" s="61" t="s">
        <v>468</v>
      </c>
      <c r="B563" s="227">
        <v>12000</v>
      </c>
    </row>
    <row r="564" spans="1:2">
      <c r="A564" s="61" t="s">
        <v>377</v>
      </c>
      <c r="B564" s="227">
        <f>(B562+B563)*0.27</f>
        <v>3885840.0000000005</v>
      </c>
    </row>
    <row r="565" spans="1:2">
      <c r="A565" s="228" t="s">
        <v>398</v>
      </c>
      <c r="B565" s="229">
        <f>B562+B563+B564</f>
        <v>18277840</v>
      </c>
    </row>
    <row r="566" spans="1:2">
      <c r="A566" s="231" t="s">
        <v>379</v>
      </c>
      <c r="B566" s="229">
        <f>B565</f>
        <v>18277840</v>
      </c>
    </row>
    <row r="567" spans="1:2">
      <c r="A567" s="232" t="s">
        <v>380</v>
      </c>
      <c r="B567" s="234">
        <f>B555+B560+B565</f>
        <v>22507278</v>
      </c>
    </row>
    <row r="568" spans="1:2">
      <c r="A568" s="232"/>
      <c r="B568" s="234"/>
    </row>
    <row r="569" spans="1:2">
      <c r="A569" s="223" t="s">
        <v>486</v>
      </c>
      <c r="B569" s="247"/>
    </row>
    <row r="570" spans="1:2">
      <c r="A570" s="110" t="s">
        <v>487</v>
      </c>
      <c r="B570" s="226">
        <v>29158300</v>
      </c>
    </row>
    <row r="571" spans="1:2">
      <c r="A571" s="235" t="s">
        <v>466</v>
      </c>
      <c r="B571" s="226">
        <v>583166</v>
      </c>
    </row>
    <row r="572" spans="1:2">
      <c r="A572" s="235" t="s">
        <v>444</v>
      </c>
      <c r="B572" s="226">
        <v>0</v>
      </c>
    </row>
    <row r="573" spans="1:2">
      <c r="A573" s="235" t="s">
        <v>475</v>
      </c>
      <c r="B573" s="226">
        <v>198495</v>
      </c>
    </row>
    <row r="574" spans="1:2">
      <c r="A574" s="235" t="s">
        <v>418</v>
      </c>
      <c r="B574" s="226">
        <v>0</v>
      </c>
    </row>
    <row r="575" spans="1:2">
      <c r="A575" s="235" t="s">
        <v>445</v>
      </c>
      <c r="B575" s="226">
        <v>6000</v>
      </c>
    </row>
    <row r="576" spans="1:2">
      <c r="A576" s="237" t="s">
        <v>383</v>
      </c>
      <c r="B576" s="234">
        <f>SUM(B570:B575)</f>
        <v>29945961</v>
      </c>
    </row>
    <row r="577" spans="1:2">
      <c r="A577" s="237"/>
      <c r="B577" s="234"/>
    </row>
    <row r="578" spans="1:2">
      <c r="A578" s="110" t="s">
        <v>384</v>
      </c>
      <c r="B578" s="226">
        <v>6158854</v>
      </c>
    </row>
    <row r="579" spans="1:2">
      <c r="A579" s="110" t="s">
        <v>406</v>
      </c>
      <c r="B579" s="226">
        <v>135567</v>
      </c>
    </row>
    <row r="580" spans="1:2">
      <c r="A580" s="110" t="s">
        <v>420</v>
      </c>
      <c r="B580" s="226">
        <v>50000</v>
      </c>
    </row>
    <row r="581" spans="1:2">
      <c r="A581" s="110" t="s">
        <v>421</v>
      </c>
      <c r="B581" s="226">
        <v>104282</v>
      </c>
    </row>
    <row r="582" spans="1:2">
      <c r="A582" s="237" t="s">
        <v>385</v>
      </c>
      <c r="B582" s="234">
        <f>SUM(B578:B581)</f>
        <v>6448703</v>
      </c>
    </row>
    <row r="583" spans="1:2">
      <c r="A583" s="237"/>
      <c r="B583" s="234"/>
    </row>
    <row r="584" spans="1:2">
      <c r="A584" s="235" t="s">
        <v>386</v>
      </c>
      <c r="B584" s="236">
        <v>5000</v>
      </c>
    </row>
    <row r="585" spans="1:2">
      <c r="A585" s="61" t="s">
        <v>387</v>
      </c>
      <c r="B585" s="242">
        <v>60000</v>
      </c>
    </row>
    <row r="586" spans="1:2">
      <c r="A586" s="239" t="s">
        <v>390</v>
      </c>
      <c r="B586" s="241">
        <f>SUM(B584:B585)</f>
        <v>65000</v>
      </c>
    </row>
    <row r="587" spans="1:2">
      <c r="A587" s="61" t="s">
        <v>388</v>
      </c>
      <c r="B587" s="242">
        <v>60000</v>
      </c>
    </row>
    <row r="588" spans="1:2">
      <c r="A588" s="61" t="s">
        <v>441</v>
      </c>
      <c r="B588" s="242">
        <v>50000</v>
      </c>
    </row>
    <row r="589" spans="1:2">
      <c r="A589" s="61" t="s">
        <v>468</v>
      </c>
      <c r="B589" s="242">
        <v>156000</v>
      </c>
    </row>
    <row r="590" spans="1:2">
      <c r="A590" s="61" t="s">
        <v>389</v>
      </c>
      <c r="B590" s="227">
        <v>150000</v>
      </c>
    </row>
    <row r="591" spans="1:2">
      <c r="A591" s="239" t="s">
        <v>424</v>
      </c>
      <c r="B591" s="229">
        <f>SUM(B587:B590)</f>
        <v>416000</v>
      </c>
    </row>
    <row r="592" spans="1:2">
      <c r="A592" s="240" t="s">
        <v>391</v>
      </c>
      <c r="B592" s="227">
        <v>50000</v>
      </c>
    </row>
    <row r="593" spans="1:2">
      <c r="A593" s="61" t="s">
        <v>449</v>
      </c>
      <c r="B593" s="227">
        <v>92000</v>
      </c>
    </row>
    <row r="594" spans="1:2">
      <c r="A594" s="228" t="s">
        <v>392</v>
      </c>
      <c r="B594" s="229">
        <f>SUM(B592:B593)</f>
        <v>142000</v>
      </c>
    </row>
    <row r="595" spans="1:2">
      <c r="A595" s="61" t="s">
        <v>393</v>
      </c>
      <c r="B595" s="242"/>
    </row>
    <row r="596" spans="1:2">
      <c r="A596" s="61" t="s">
        <v>376</v>
      </c>
      <c r="B596" s="242">
        <v>100000</v>
      </c>
    </row>
    <row r="597" spans="1:2">
      <c r="A597" s="61" t="s">
        <v>394</v>
      </c>
      <c r="B597" s="242">
        <v>110000</v>
      </c>
    </row>
    <row r="598" spans="1:2">
      <c r="A598" s="228" t="s">
        <v>378</v>
      </c>
      <c r="B598" s="241">
        <f>SUM(B595:B597)</f>
        <v>210000</v>
      </c>
    </row>
    <row r="599" spans="1:2">
      <c r="A599" s="61" t="s">
        <v>395</v>
      </c>
      <c r="B599" s="242">
        <v>100000</v>
      </c>
    </row>
    <row r="600" spans="1:2">
      <c r="A600" s="61" t="s">
        <v>397</v>
      </c>
      <c r="B600" s="242">
        <v>50000</v>
      </c>
    </row>
    <row r="601" spans="1:2">
      <c r="A601" s="228" t="s">
        <v>398</v>
      </c>
      <c r="B601" s="241">
        <f>SUM(B599:B600)</f>
        <v>150000</v>
      </c>
    </row>
    <row r="602" spans="1:2">
      <c r="A602" s="61" t="s">
        <v>377</v>
      </c>
      <c r="B602" s="242">
        <f>(B584+B585+B588+B589+B592+B593+B595+B596+B597+B599+B587+B590+B600)*0.27</f>
        <v>265410</v>
      </c>
    </row>
    <row r="603" spans="1:2">
      <c r="A603" s="239" t="s">
        <v>400</v>
      </c>
      <c r="B603" s="241">
        <f>SUM(B602:B602)</f>
        <v>265410</v>
      </c>
    </row>
    <row r="604" spans="1:2">
      <c r="A604" s="231" t="s">
        <v>379</v>
      </c>
      <c r="B604" s="241">
        <f>B586+B591+B594+B598+B601+B603</f>
        <v>1248410</v>
      </c>
    </row>
    <row r="605" spans="1:2">
      <c r="A605" s="232" t="s">
        <v>380</v>
      </c>
      <c r="B605" s="238">
        <f>B576+B582+B604</f>
        <v>37643074</v>
      </c>
    </row>
    <row r="606" spans="1:2">
      <c r="A606" s="267"/>
      <c r="B606" s="267"/>
    </row>
    <row r="607" spans="1:2">
      <c r="A607" s="232"/>
      <c r="B607" s="229"/>
    </row>
    <row r="608" spans="1:2">
      <c r="A608" s="237" t="s">
        <v>383</v>
      </c>
      <c r="B608" s="234">
        <f>B321+B350+B394+B420+B461+B517+B555+B576+B336</f>
        <v>110652198</v>
      </c>
    </row>
    <row r="609" spans="1:2">
      <c r="A609" s="237" t="s">
        <v>385</v>
      </c>
      <c r="B609" s="234">
        <f>B325+B356+B400+B426+B467+B523+B560+B582+B340</f>
        <v>21529189</v>
      </c>
    </row>
    <row r="610" spans="1:2">
      <c r="A610" s="231" t="s">
        <v>436</v>
      </c>
      <c r="B610" s="234">
        <f>B381+B409+B452+B491+B508+B546+B566+B604</f>
        <v>33638545</v>
      </c>
    </row>
    <row r="611" spans="1:2" ht="22.5">
      <c r="A611" s="268" t="s">
        <v>488</v>
      </c>
      <c r="B611" s="234">
        <f>SUM(B608:B610)</f>
        <v>165819932</v>
      </c>
    </row>
    <row r="612" spans="1:2">
      <c r="A612" s="231"/>
      <c r="B612" s="234"/>
    </row>
    <row r="613" spans="1:2">
      <c r="A613" s="231"/>
      <c r="B613" s="234"/>
    </row>
    <row r="614" spans="1:2">
      <c r="A614" s="269" t="s">
        <v>489</v>
      </c>
      <c r="B614" s="269"/>
    </row>
    <row r="615" spans="1:2">
      <c r="A615" s="270"/>
      <c r="B615" s="270"/>
    </row>
    <row r="616" spans="1:2">
      <c r="A616" s="271" t="s">
        <v>292</v>
      </c>
      <c r="B616" s="271"/>
    </row>
    <row r="617" spans="1:2">
      <c r="A617" s="195"/>
      <c r="B617" s="272"/>
    </row>
    <row r="618" spans="1:2">
      <c r="A618" s="244" t="s">
        <v>458</v>
      </c>
      <c r="B618" s="224"/>
    </row>
    <row r="619" spans="1:2">
      <c r="A619" s="245"/>
      <c r="B619" s="246"/>
    </row>
    <row r="620" spans="1:2">
      <c r="A620" s="110" t="s">
        <v>490</v>
      </c>
      <c r="B620" s="242">
        <v>2407965</v>
      </c>
    </row>
    <row r="621" spans="1:2">
      <c r="A621" s="237" t="s">
        <v>383</v>
      </c>
      <c r="B621" s="241">
        <f>B620</f>
        <v>2407965</v>
      </c>
    </row>
    <row r="622" spans="1:2">
      <c r="A622" s="237"/>
      <c r="B622" s="241"/>
    </row>
    <row r="623" spans="1:2">
      <c r="A623" s="110" t="s">
        <v>384</v>
      </c>
      <c r="B623" s="242">
        <v>238853</v>
      </c>
    </row>
    <row r="624" spans="1:2">
      <c r="A624" s="110" t="s">
        <v>403</v>
      </c>
      <c r="B624" s="242">
        <v>40000</v>
      </c>
    </row>
    <row r="625" spans="1:2">
      <c r="A625" s="237" t="s">
        <v>385</v>
      </c>
      <c r="B625" s="241">
        <f>SUM(B623:B624)</f>
        <v>278853</v>
      </c>
    </row>
    <row r="626" spans="1:2">
      <c r="A626" s="232" t="s">
        <v>380</v>
      </c>
      <c r="B626" s="241">
        <f>B621+B625</f>
        <v>2686818</v>
      </c>
    </row>
    <row r="627" spans="1:2">
      <c r="A627" s="195"/>
      <c r="B627" s="272"/>
    </row>
    <row r="628" spans="1:2">
      <c r="A628" s="273" t="s">
        <v>491</v>
      </c>
      <c r="B628" s="274"/>
    </row>
    <row r="629" spans="1:2">
      <c r="A629" s="60" t="s">
        <v>408</v>
      </c>
      <c r="B629" s="227">
        <v>39974000</v>
      </c>
    </row>
    <row r="630" spans="1:2">
      <c r="A630" s="61" t="s">
        <v>377</v>
      </c>
      <c r="B630" s="227">
        <f>0.27*B629</f>
        <v>10792980</v>
      </c>
    </row>
    <row r="631" spans="1:2">
      <c r="A631" s="228" t="s">
        <v>398</v>
      </c>
      <c r="B631" s="229">
        <f>SUM(B629:B630)</f>
        <v>50766980</v>
      </c>
    </row>
    <row r="632" spans="1:2">
      <c r="A632" s="231" t="s">
        <v>379</v>
      </c>
      <c r="B632" s="229">
        <f>B631</f>
        <v>50766980</v>
      </c>
    </row>
    <row r="633" spans="1:2">
      <c r="A633" s="231"/>
      <c r="B633" s="229"/>
    </row>
    <row r="634" spans="1:2">
      <c r="A634" s="232" t="s">
        <v>380</v>
      </c>
      <c r="B634" s="229">
        <f>B632</f>
        <v>50766980</v>
      </c>
    </row>
    <row r="635" spans="1:2">
      <c r="A635" s="195"/>
      <c r="B635" s="275"/>
    </row>
    <row r="636" spans="1:2">
      <c r="A636" s="273" t="s">
        <v>341</v>
      </c>
      <c r="B636" s="274"/>
    </row>
    <row r="637" spans="1:2">
      <c r="A637" s="110" t="s">
        <v>492</v>
      </c>
      <c r="B637" s="275">
        <v>14170200</v>
      </c>
    </row>
    <row r="638" spans="1:2">
      <c r="A638" s="235" t="s">
        <v>444</v>
      </c>
      <c r="B638" s="275">
        <v>0</v>
      </c>
    </row>
    <row r="639" spans="1:2">
      <c r="A639" s="235" t="s">
        <v>417</v>
      </c>
      <c r="B639" s="236">
        <v>100000</v>
      </c>
    </row>
    <row r="640" spans="1:2">
      <c r="A640" s="235" t="s">
        <v>418</v>
      </c>
      <c r="B640" s="236">
        <v>200000</v>
      </c>
    </row>
    <row r="641" spans="1:2">
      <c r="A641" s="237" t="s">
        <v>383</v>
      </c>
      <c r="B641" s="276">
        <f>SUM(B637:B640)</f>
        <v>14470200</v>
      </c>
    </row>
    <row r="642" spans="1:2">
      <c r="A642" s="237"/>
      <c r="B642" s="276"/>
    </row>
    <row r="643" spans="1:2">
      <c r="A643" s="110" t="s">
        <v>384</v>
      </c>
      <c r="B643" s="275">
        <v>2838504</v>
      </c>
    </row>
    <row r="644" spans="1:2">
      <c r="A644" s="110" t="s">
        <v>406</v>
      </c>
      <c r="B644" s="275">
        <v>11505</v>
      </c>
    </row>
    <row r="645" spans="1:2">
      <c r="A645" s="110" t="s">
        <v>420</v>
      </c>
      <c r="B645" s="275">
        <v>25000</v>
      </c>
    </row>
    <row r="646" spans="1:2">
      <c r="A646" s="110" t="s">
        <v>421</v>
      </c>
      <c r="B646" s="275">
        <v>8850</v>
      </c>
    </row>
    <row r="647" spans="1:2">
      <c r="A647" s="237" t="s">
        <v>385</v>
      </c>
      <c r="B647" s="81">
        <f>SUM(B643:B646)</f>
        <v>2883859</v>
      </c>
    </row>
    <row r="648" spans="1:2">
      <c r="A648" s="237"/>
      <c r="B648" s="275"/>
    </row>
    <row r="649" spans="1:2">
      <c r="A649" s="61" t="s">
        <v>388</v>
      </c>
      <c r="B649" s="227">
        <f>250000-50000</f>
        <v>200000</v>
      </c>
    </row>
    <row r="650" spans="1:2">
      <c r="A650" s="61" t="s">
        <v>468</v>
      </c>
      <c r="B650" s="227">
        <v>228000</v>
      </c>
    </row>
    <row r="651" spans="1:2">
      <c r="A651" s="61" t="s">
        <v>389</v>
      </c>
      <c r="B651" s="227">
        <f>800000-100000</f>
        <v>700000</v>
      </c>
    </row>
    <row r="652" spans="1:2">
      <c r="A652" s="239" t="s">
        <v>424</v>
      </c>
      <c r="B652" s="229">
        <f>SUM(B649:B651)</f>
        <v>1128000</v>
      </c>
    </row>
    <row r="653" spans="1:2">
      <c r="A653" s="240" t="s">
        <v>391</v>
      </c>
      <c r="B653" s="227">
        <v>125000</v>
      </c>
    </row>
    <row r="654" spans="1:2">
      <c r="A654" s="61" t="s">
        <v>449</v>
      </c>
      <c r="B654" s="227">
        <v>230000</v>
      </c>
    </row>
    <row r="655" spans="1:2">
      <c r="A655" s="228" t="s">
        <v>392</v>
      </c>
      <c r="B655" s="229">
        <f>SUM(B653:B654)</f>
        <v>355000</v>
      </c>
    </row>
    <row r="656" spans="1:2">
      <c r="A656" s="61" t="s">
        <v>393</v>
      </c>
      <c r="B656" s="242">
        <f>750000-100000</f>
        <v>650000</v>
      </c>
    </row>
    <row r="657" spans="1:2">
      <c r="A657" s="61" t="s">
        <v>450</v>
      </c>
      <c r="B657" s="242">
        <v>750000</v>
      </c>
    </row>
    <row r="658" spans="1:2">
      <c r="A658" s="61" t="s">
        <v>376</v>
      </c>
      <c r="B658" s="242">
        <v>650000</v>
      </c>
    </row>
    <row r="659" spans="1:2">
      <c r="A659" s="61" t="s">
        <v>394</v>
      </c>
      <c r="B659" s="242">
        <v>400000</v>
      </c>
    </row>
    <row r="660" spans="1:2">
      <c r="A660" s="228" t="s">
        <v>378</v>
      </c>
      <c r="B660" s="241">
        <f>SUM(B656:B659)</f>
        <v>2450000</v>
      </c>
    </row>
    <row r="661" spans="1:2">
      <c r="A661" s="61" t="s">
        <v>395</v>
      </c>
      <c r="B661" s="242">
        <f>150000-30000</f>
        <v>120000</v>
      </c>
    </row>
    <row r="662" spans="1:2">
      <c r="A662" s="61" t="s">
        <v>397</v>
      </c>
      <c r="B662" s="242">
        <v>600000</v>
      </c>
    </row>
    <row r="663" spans="1:2">
      <c r="A663" s="228" t="s">
        <v>398</v>
      </c>
      <c r="B663" s="241">
        <f>SUM(B661:B662)</f>
        <v>720000</v>
      </c>
    </row>
    <row r="664" spans="1:2">
      <c r="A664" s="61" t="s">
        <v>377</v>
      </c>
      <c r="B664" s="242">
        <f>(B649+B650+B651+B653+B654+B656+B658+B659+B662+B661)*0.27+B657*0.05</f>
        <v>1091310</v>
      </c>
    </row>
    <row r="665" spans="1:2">
      <c r="A665" s="239" t="s">
        <v>400</v>
      </c>
      <c r="B665" s="241">
        <f>SUM(B664:B664)</f>
        <v>1091310</v>
      </c>
    </row>
    <row r="666" spans="1:2">
      <c r="A666" s="231" t="s">
        <v>379</v>
      </c>
      <c r="B666" s="241">
        <f>+B652+B655+B660+B663+B665</f>
        <v>5744310</v>
      </c>
    </row>
    <row r="667" spans="1:2">
      <c r="A667" s="232" t="s">
        <v>380</v>
      </c>
      <c r="B667" s="276">
        <f>B641+B647+B666</f>
        <v>23098369</v>
      </c>
    </row>
    <row r="668" spans="1:2">
      <c r="A668" s="232"/>
      <c r="B668" s="275"/>
    </row>
    <row r="669" spans="1:2">
      <c r="A669" s="273" t="s">
        <v>493</v>
      </c>
      <c r="B669" s="274"/>
    </row>
    <row r="670" spans="1:2">
      <c r="A670" s="195"/>
      <c r="B670" s="272"/>
    </row>
    <row r="671" spans="1:2">
      <c r="A671" s="110" t="s">
        <v>494</v>
      </c>
      <c r="B671" s="272">
        <v>47100060</v>
      </c>
    </row>
    <row r="672" spans="1:2">
      <c r="A672" s="235" t="s">
        <v>417</v>
      </c>
      <c r="B672" s="272">
        <v>352630</v>
      </c>
    </row>
    <row r="673" spans="1:2">
      <c r="A673" s="235" t="s">
        <v>418</v>
      </c>
      <c r="B673" s="272">
        <v>150000</v>
      </c>
    </row>
    <row r="674" spans="1:2">
      <c r="A674" s="235" t="s">
        <v>382</v>
      </c>
      <c r="B674" s="272">
        <v>816000</v>
      </c>
    </row>
    <row r="675" spans="1:2">
      <c r="A675" s="237" t="s">
        <v>383</v>
      </c>
      <c r="B675" s="277">
        <f>SUM(B671:B674)</f>
        <v>48418690</v>
      </c>
    </row>
    <row r="676" spans="1:2">
      <c r="A676" s="237"/>
      <c r="B676" s="277"/>
    </row>
    <row r="677" spans="1:2">
      <c r="A677" s="110" t="s">
        <v>384</v>
      </c>
      <c r="B677" s="272">
        <v>10241969</v>
      </c>
    </row>
    <row r="678" spans="1:2">
      <c r="A678" s="110" t="s">
        <v>403</v>
      </c>
      <c r="B678" s="272">
        <v>11505</v>
      </c>
    </row>
    <row r="679" spans="1:2">
      <c r="A679" s="110" t="s">
        <v>406</v>
      </c>
      <c r="B679" s="272">
        <v>50000</v>
      </c>
    </row>
    <row r="680" spans="1:2">
      <c r="A680" s="110" t="s">
        <v>495</v>
      </c>
      <c r="B680" s="272">
        <v>8850</v>
      </c>
    </row>
    <row r="681" spans="1:2">
      <c r="A681" s="237" t="s">
        <v>385</v>
      </c>
      <c r="B681" s="277">
        <f>SUM(B677:B680)</f>
        <v>10312324</v>
      </c>
    </row>
    <row r="682" spans="1:2">
      <c r="A682" s="278"/>
      <c r="B682" s="272"/>
    </row>
    <row r="683" spans="1:2">
      <c r="A683" s="60" t="s">
        <v>386</v>
      </c>
      <c r="B683" s="236">
        <v>20000</v>
      </c>
    </row>
    <row r="684" spans="1:2">
      <c r="A684" s="61" t="s">
        <v>446</v>
      </c>
      <c r="B684" s="236">
        <v>60000</v>
      </c>
    </row>
    <row r="685" spans="1:2">
      <c r="A685" s="61" t="s">
        <v>447</v>
      </c>
      <c r="B685" s="236">
        <v>60000</v>
      </c>
    </row>
    <row r="686" spans="1:2">
      <c r="A686" s="61" t="s">
        <v>387</v>
      </c>
      <c r="B686" s="242">
        <f>300000-50000</f>
        <v>250000</v>
      </c>
    </row>
    <row r="687" spans="1:2">
      <c r="A687" s="239" t="s">
        <v>390</v>
      </c>
      <c r="B687" s="241">
        <f>SUM(B683:B686)</f>
        <v>390000</v>
      </c>
    </row>
    <row r="688" spans="1:2">
      <c r="A688" s="61" t="s">
        <v>396</v>
      </c>
      <c r="B688" s="242">
        <f>460800+100000+39200</f>
        <v>600000</v>
      </c>
    </row>
    <row r="689" spans="1:2">
      <c r="A689" s="228" t="s">
        <v>398</v>
      </c>
      <c r="B689" s="241">
        <f>SUM(B688:B688)</f>
        <v>600000</v>
      </c>
    </row>
    <row r="690" spans="1:2">
      <c r="A690" s="61" t="s">
        <v>377</v>
      </c>
      <c r="B690" s="242">
        <f>(B683+B684+B685+B686)*0.27</f>
        <v>105300</v>
      </c>
    </row>
    <row r="691" spans="1:2">
      <c r="A691" s="239" t="s">
        <v>400</v>
      </c>
      <c r="B691" s="241">
        <f>SUM(B690:B690)</f>
        <v>105300</v>
      </c>
    </row>
    <row r="692" spans="1:2">
      <c r="A692" s="231" t="s">
        <v>379</v>
      </c>
      <c r="B692" s="241">
        <f>B687+B689+B691</f>
        <v>1095300</v>
      </c>
    </row>
    <row r="693" spans="1:2">
      <c r="A693" s="231"/>
      <c r="B693" s="272"/>
    </row>
    <row r="694" spans="1:2">
      <c r="A694" s="232" t="s">
        <v>380</v>
      </c>
      <c r="B694" s="277">
        <f>B675+B681+B692</f>
        <v>59826314</v>
      </c>
    </row>
    <row r="695" spans="1:2">
      <c r="A695" s="195"/>
      <c r="B695" s="272"/>
    </row>
    <row r="696" spans="1:2">
      <c r="A696" s="273" t="s">
        <v>496</v>
      </c>
      <c r="B696" s="274"/>
    </row>
    <row r="697" spans="1:2">
      <c r="A697" s="110" t="s">
        <v>497</v>
      </c>
      <c r="B697" s="272">
        <v>3820800</v>
      </c>
    </row>
    <row r="698" spans="1:2">
      <c r="A698" s="235" t="s">
        <v>417</v>
      </c>
      <c r="B698" s="272">
        <v>27066</v>
      </c>
    </row>
    <row r="699" spans="1:2">
      <c r="A699" s="235" t="s">
        <v>498</v>
      </c>
      <c r="B699" s="272">
        <v>50000</v>
      </c>
    </row>
    <row r="700" spans="1:2">
      <c r="A700" s="237" t="s">
        <v>383</v>
      </c>
      <c r="B700" s="277">
        <f>SUM(B697:B699)</f>
        <v>3897866</v>
      </c>
    </row>
    <row r="701" spans="1:2">
      <c r="A701" s="237"/>
      <c r="B701" s="277"/>
    </row>
    <row r="702" spans="1:2">
      <c r="A702" s="110" t="s">
        <v>384</v>
      </c>
      <c r="B702" s="272">
        <v>766179</v>
      </c>
    </row>
    <row r="703" spans="1:2">
      <c r="A703" s="110" t="s">
        <v>403</v>
      </c>
      <c r="B703" s="272">
        <v>15000</v>
      </c>
    </row>
    <row r="704" spans="1:2">
      <c r="A704" s="237" t="s">
        <v>385</v>
      </c>
      <c r="B704" s="277">
        <f>SUM(B702:B703)</f>
        <v>781179</v>
      </c>
    </row>
    <row r="705" spans="1:2">
      <c r="A705" s="278"/>
      <c r="B705" s="272"/>
    </row>
    <row r="706" spans="1:2">
      <c r="A706" s="61" t="s">
        <v>499</v>
      </c>
      <c r="B706" s="236">
        <v>610000</v>
      </c>
    </row>
    <row r="707" spans="1:2">
      <c r="A707" s="61" t="s">
        <v>447</v>
      </c>
      <c r="B707" s="236">
        <v>250000</v>
      </c>
    </row>
    <row r="708" spans="1:2">
      <c r="A708" s="61" t="s">
        <v>387</v>
      </c>
      <c r="B708" s="279">
        <v>30000</v>
      </c>
    </row>
    <row r="709" spans="1:2">
      <c r="A709" s="239" t="s">
        <v>390</v>
      </c>
      <c r="B709" s="251">
        <f>SUM(B706:B708)</f>
        <v>890000</v>
      </c>
    </row>
    <row r="710" spans="1:2">
      <c r="A710" s="61" t="s">
        <v>388</v>
      </c>
      <c r="B710" s="280">
        <v>60000</v>
      </c>
    </row>
    <row r="711" spans="1:2">
      <c r="A711" s="61" t="s">
        <v>468</v>
      </c>
      <c r="B711" s="280">
        <v>12000</v>
      </c>
    </row>
    <row r="712" spans="1:2">
      <c r="A712" s="61" t="s">
        <v>389</v>
      </c>
      <c r="B712" s="280">
        <v>50000</v>
      </c>
    </row>
    <row r="713" spans="1:2">
      <c r="A713" s="239" t="s">
        <v>424</v>
      </c>
      <c r="B713" s="251">
        <f>SUM(B710:B712)</f>
        <v>122000</v>
      </c>
    </row>
    <row r="714" spans="1:2">
      <c r="A714" s="61" t="s">
        <v>449</v>
      </c>
      <c r="B714" s="242">
        <v>60000</v>
      </c>
    </row>
    <row r="715" spans="1:2">
      <c r="A715" s="228" t="s">
        <v>392</v>
      </c>
      <c r="B715" s="241">
        <f>SUM(B714:B714)</f>
        <v>60000</v>
      </c>
    </row>
    <row r="716" spans="1:2">
      <c r="A716" s="61" t="s">
        <v>393</v>
      </c>
      <c r="B716" s="242">
        <v>270000</v>
      </c>
    </row>
    <row r="717" spans="1:2">
      <c r="A717" s="61" t="s">
        <v>376</v>
      </c>
      <c r="B717" s="242">
        <v>120000</v>
      </c>
    </row>
    <row r="718" spans="1:2">
      <c r="A718" s="61" t="s">
        <v>394</v>
      </c>
      <c r="B718" s="242">
        <v>15000</v>
      </c>
    </row>
    <row r="719" spans="1:2">
      <c r="A719" s="228" t="s">
        <v>378</v>
      </c>
      <c r="B719" s="241">
        <f>SUM(B716:B718)</f>
        <v>405000</v>
      </c>
    </row>
    <row r="720" spans="1:2">
      <c r="A720" s="61" t="s">
        <v>395</v>
      </c>
      <c r="B720" s="242">
        <v>50000</v>
      </c>
    </row>
    <row r="721" spans="1:2">
      <c r="A721" s="61" t="s">
        <v>500</v>
      </c>
      <c r="B721" s="242">
        <f>1300000-50000</f>
        <v>1250000</v>
      </c>
    </row>
    <row r="722" spans="1:2">
      <c r="A722" s="61" t="s">
        <v>397</v>
      </c>
      <c r="B722" s="227">
        <v>80000</v>
      </c>
    </row>
    <row r="723" spans="1:2">
      <c r="A723" s="228" t="s">
        <v>398</v>
      </c>
      <c r="B723" s="241">
        <f>SUM(B720:B722)</f>
        <v>1380000</v>
      </c>
    </row>
    <row r="724" spans="1:2">
      <c r="A724" s="61" t="s">
        <v>377</v>
      </c>
      <c r="B724" s="242">
        <f>B706*0.05+(B707+B721)*0.05+(B710+B711+B712+B714+B716+B718+B720+B722+B717+B708)*0.27</f>
        <v>307190</v>
      </c>
    </row>
    <row r="725" spans="1:2">
      <c r="A725" s="239" t="s">
        <v>400</v>
      </c>
      <c r="B725" s="241">
        <f>SUM(B724:B724)</f>
        <v>307190</v>
      </c>
    </row>
    <row r="726" spans="1:2">
      <c r="A726" s="231" t="s">
        <v>379</v>
      </c>
      <c r="B726" s="241">
        <f>B709+B713+B715+B719+B723+B725</f>
        <v>3164190</v>
      </c>
    </row>
    <row r="727" spans="1:2">
      <c r="A727" s="231"/>
      <c r="B727" s="272"/>
    </row>
    <row r="728" spans="1:2">
      <c r="A728" s="232" t="s">
        <v>380</v>
      </c>
      <c r="B728" s="277">
        <f>B700+B704+B726</f>
        <v>7843235</v>
      </c>
    </row>
    <row r="729" spans="1:2">
      <c r="A729" s="195"/>
      <c r="B729" s="272"/>
    </row>
    <row r="730" spans="1:2">
      <c r="A730" s="237" t="s">
        <v>383</v>
      </c>
      <c r="B730" s="277">
        <f>B641+B675+B700+B621</f>
        <v>69194721</v>
      </c>
    </row>
    <row r="731" spans="1:2">
      <c r="A731" s="237" t="s">
        <v>385</v>
      </c>
      <c r="B731" s="277">
        <f>B647+B681+B704+B625</f>
        <v>14256215</v>
      </c>
    </row>
    <row r="732" spans="1:2">
      <c r="A732" s="231" t="s">
        <v>436</v>
      </c>
      <c r="B732" s="277">
        <f>B632+B666+B692+B726</f>
        <v>60770780</v>
      </c>
    </row>
    <row r="733" spans="1:2" ht="22.5">
      <c r="A733" s="268" t="s">
        <v>501</v>
      </c>
      <c r="B733" s="277">
        <f>SUM(B730:B732)</f>
        <v>144221716</v>
      </c>
    </row>
    <row r="734" spans="1:2">
      <c r="A734" s="53"/>
      <c r="B734" s="53"/>
    </row>
    <row r="735" spans="1:2">
      <c r="A735" s="53"/>
      <c r="B735" s="53"/>
    </row>
    <row r="736" spans="1:2">
      <c r="A736" s="53"/>
      <c r="B736" s="53"/>
    </row>
    <row r="737" spans="1:2">
      <c r="A737" s="53"/>
      <c r="B737" s="53"/>
    </row>
    <row r="738" spans="1:2">
      <c r="A738" s="53"/>
      <c r="B738" s="53"/>
    </row>
    <row r="739" spans="1:2">
      <c r="A739" s="53"/>
      <c r="B739" s="53"/>
    </row>
    <row r="740" spans="1:2">
      <c r="A740" s="53"/>
      <c r="B740" s="53"/>
    </row>
    <row r="741" spans="1:2">
      <c r="A741" s="53"/>
      <c r="B741" s="53"/>
    </row>
    <row r="742" spans="1:2">
      <c r="A742" s="53"/>
      <c r="B742" s="53"/>
    </row>
    <row r="743" spans="1:2">
      <c r="A743" s="53"/>
      <c r="B743" s="53"/>
    </row>
    <row r="744" spans="1:2">
      <c r="A744" s="53"/>
      <c r="B744" s="53"/>
    </row>
    <row r="745" spans="1:2">
      <c r="A745" s="53"/>
      <c r="B745" s="53"/>
    </row>
    <row r="746" spans="1:2">
      <c r="A746" s="53"/>
      <c r="B746" s="53"/>
    </row>
    <row r="747" spans="1:2">
      <c r="A747" s="53"/>
      <c r="B747" s="53"/>
    </row>
    <row r="748" spans="1:2">
      <c r="A748" s="53"/>
      <c r="B748" s="53"/>
    </row>
    <row r="749" spans="1:2">
      <c r="A749" s="53"/>
      <c r="B749" s="53"/>
    </row>
    <row r="750" spans="1:2">
      <c r="A750" s="53"/>
      <c r="B750" s="53"/>
    </row>
    <row r="751" spans="1:2">
      <c r="A751" s="53"/>
      <c r="B751" s="53"/>
    </row>
    <row r="752" spans="1:2">
      <c r="A752" s="53"/>
      <c r="B752" s="53"/>
    </row>
    <row r="753" spans="1:2">
      <c r="A753" s="53"/>
      <c r="B753" s="53"/>
    </row>
    <row r="754" spans="1:2">
      <c r="A754" s="53"/>
      <c r="B754" s="53"/>
    </row>
    <row r="755" spans="1:2">
      <c r="A755" s="53"/>
      <c r="B755" s="53"/>
    </row>
    <row r="756" spans="1:2">
      <c r="A756" s="53"/>
      <c r="B756" s="53"/>
    </row>
    <row r="757" spans="1:2">
      <c r="A757" s="53"/>
      <c r="B757" s="53"/>
    </row>
    <row r="758" spans="1:2">
      <c r="A758" s="53"/>
      <c r="B758" s="53"/>
    </row>
    <row r="759" spans="1:2">
      <c r="A759" s="53"/>
      <c r="B759" s="53"/>
    </row>
    <row r="760" spans="1:2">
      <c r="A760" s="53"/>
      <c r="B760" s="53"/>
    </row>
    <row r="761" spans="1:2">
      <c r="A761" s="53"/>
      <c r="B761" s="53"/>
    </row>
    <row r="762" spans="1:2">
      <c r="A762" s="53"/>
      <c r="B762" s="53"/>
    </row>
    <row r="763" spans="1:2">
      <c r="A763" s="53"/>
      <c r="B763" s="53"/>
    </row>
    <row r="764" spans="1:2">
      <c r="A764" s="53"/>
      <c r="B764" s="53"/>
    </row>
    <row r="765" spans="1:2">
      <c r="A765" s="53"/>
      <c r="B765" s="53"/>
    </row>
    <row r="766" spans="1:2">
      <c r="A766" s="53"/>
      <c r="B766" s="53"/>
    </row>
    <row r="767" spans="1:2">
      <c r="A767" s="53"/>
      <c r="B767" s="53"/>
    </row>
    <row r="768" spans="1:2">
      <c r="A768" s="53"/>
      <c r="B768" s="53"/>
    </row>
    <row r="769" spans="1:2">
      <c r="A769" s="53"/>
      <c r="B769" s="53"/>
    </row>
    <row r="770" spans="1:2">
      <c r="A770" s="53"/>
      <c r="B770" s="53"/>
    </row>
    <row r="771" spans="1:2">
      <c r="A771" s="53"/>
      <c r="B771" s="53"/>
    </row>
    <row r="772" spans="1:2">
      <c r="A772" s="53"/>
      <c r="B772" s="53"/>
    </row>
    <row r="773" spans="1:2">
      <c r="A773" s="53"/>
      <c r="B773" s="53"/>
    </row>
    <row r="774" spans="1:2">
      <c r="A774" s="53"/>
      <c r="B774" s="53"/>
    </row>
    <row r="775" spans="1:2">
      <c r="A775" s="53"/>
      <c r="B775" s="53"/>
    </row>
    <row r="776" spans="1:2">
      <c r="A776" s="53"/>
      <c r="B776" s="53"/>
    </row>
    <row r="777" spans="1:2">
      <c r="A777" s="53"/>
      <c r="B777" s="53"/>
    </row>
    <row r="778" spans="1:2">
      <c r="A778" s="53"/>
      <c r="B778" s="53"/>
    </row>
    <row r="779" spans="1:2">
      <c r="A779" s="53"/>
      <c r="B779" s="53"/>
    </row>
    <row r="780" spans="1:2">
      <c r="A780" s="53"/>
      <c r="B780" s="53"/>
    </row>
    <row r="781" spans="1:2">
      <c r="A781" s="53"/>
      <c r="B781" s="53"/>
    </row>
    <row r="782" spans="1:2">
      <c r="A782" s="53"/>
      <c r="B782" s="53"/>
    </row>
    <row r="783" spans="1:2">
      <c r="A783" s="53"/>
      <c r="B783" s="53"/>
    </row>
    <row r="784" spans="1:2">
      <c r="A784" s="53"/>
      <c r="B784" s="53"/>
    </row>
    <row r="785" spans="1:2">
      <c r="A785" s="53"/>
      <c r="B785" s="53"/>
    </row>
    <row r="786" spans="1:2">
      <c r="A786" s="53"/>
      <c r="B786" s="53"/>
    </row>
    <row r="787" spans="1:2">
      <c r="A787" s="53"/>
      <c r="B787" s="53"/>
    </row>
    <row r="788" spans="1:2">
      <c r="A788" s="53"/>
      <c r="B788" s="53"/>
    </row>
    <row r="789" spans="1:2">
      <c r="A789" s="53"/>
      <c r="B789" s="53"/>
    </row>
    <row r="790" spans="1:2">
      <c r="A790" s="53"/>
      <c r="B790" s="53"/>
    </row>
    <row r="791" spans="1:2">
      <c r="A791" s="53"/>
      <c r="B791" s="53"/>
    </row>
    <row r="792" spans="1:2">
      <c r="A792" s="53"/>
      <c r="B792" s="53"/>
    </row>
    <row r="793" spans="1:2">
      <c r="A793" s="53"/>
      <c r="B793" s="53"/>
    </row>
    <row r="794" spans="1:2">
      <c r="A794" s="53"/>
      <c r="B794" s="53"/>
    </row>
    <row r="795" spans="1:2">
      <c r="A795" s="53"/>
      <c r="B795" s="53"/>
    </row>
    <row r="796" spans="1:2">
      <c r="A796" s="53"/>
      <c r="B796" s="53"/>
    </row>
    <row r="797" spans="1:2">
      <c r="A797" s="53"/>
      <c r="B797" s="53"/>
    </row>
    <row r="798" spans="1:2">
      <c r="A798" s="53"/>
      <c r="B798" s="53"/>
    </row>
    <row r="799" spans="1:2">
      <c r="A799" s="36"/>
      <c r="B799" s="36"/>
    </row>
    <row r="800" spans="1:2">
      <c r="A800" s="36"/>
      <c r="B800" s="36"/>
    </row>
  </sheetData>
  <mergeCells count="43">
    <mergeCell ref="A696:B696"/>
    <mergeCell ref="A614:B614"/>
    <mergeCell ref="A616:B616"/>
    <mergeCell ref="A618:B618"/>
    <mergeCell ref="A628:B628"/>
    <mergeCell ref="A636:B636"/>
    <mergeCell ref="A669:B669"/>
    <mergeCell ref="A456:B456"/>
    <mergeCell ref="A501:B501"/>
    <mergeCell ref="A512:B512"/>
    <mergeCell ref="A550:B550"/>
    <mergeCell ref="A569:B569"/>
    <mergeCell ref="A606:B606"/>
    <mergeCell ref="A316:B316"/>
    <mergeCell ref="A318:B318"/>
    <mergeCell ref="A333:B333"/>
    <mergeCell ref="A345:B345"/>
    <mergeCell ref="A389:B389"/>
    <mergeCell ref="A413:B413"/>
    <mergeCell ref="A222:B222"/>
    <mergeCell ref="A224:B224"/>
    <mergeCell ref="A277:B277"/>
    <mergeCell ref="A286:B286"/>
    <mergeCell ref="A296:B296"/>
    <mergeCell ref="A314:B314"/>
    <mergeCell ref="A120:B120"/>
    <mergeCell ref="A159:B159"/>
    <mergeCell ref="A161:B161"/>
    <mergeCell ref="A199:B199"/>
    <mergeCell ref="A201:B201"/>
    <mergeCell ref="A203:B203"/>
    <mergeCell ref="A48:B48"/>
    <mergeCell ref="A64:B64"/>
    <mergeCell ref="A76:B76"/>
    <mergeCell ref="A87:B87"/>
    <mergeCell ref="A99:B99"/>
    <mergeCell ref="A101:B101"/>
    <mergeCell ref="A1:B1"/>
    <mergeCell ref="A3:B3"/>
    <mergeCell ref="A5:B5"/>
    <mergeCell ref="A7:B7"/>
    <mergeCell ref="A9:B9"/>
    <mergeCell ref="A18:B18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view="pageLayout" zoomScaleNormal="100" workbookViewId="0">
      <selection activeCell="A3" sqref="A3"/>
    </sheetView>
  </sheetViews>
  <sheetFormatPr defaultRowHeight="12.75"/>
  <cols>
    <col min="2" max="2" width="45.85546875" customWidth="1"/>
    <col min="3" max="3" width="10.28515625" customWidth="1"/>
    <col min="4" max="5" width="10.85546875" customWidth="1"/>
    <col min="6" max="6" width="17.28515625" bestFit="1" customWidth="1"/>
  </cols>
  <sheetData>
    <row r="1" spans="1:7">
      <c r="A1" s="281" t="s">
        <v>502</v>
      </c>
      <c r="B1" s="281"/>
      <c r="C1" s="281"/>
      <c r="D1" s="281"/>
      <c r="E1" s="282"/>
    </row>
    <row r="2" spans="1:7">
      <c r="A2" s="3" t="s">
        <v>503</v>
      </c>
      <c r="B2" s="3"/>
      <c r="C2" s="210"/>
      <c r="D2" s="210"/>
      <c r="E2" s="210"/>
    </row>
    <row r="3" spans="1:7">
      <c r="A3" s="3"/>
      <c r="B3" s="3"/>
      <c r="C3" s="210"/>
      <c r="D3" s="210"/>
      <c r="E3" s="210"/>
    </row>
    <row r="4" spans="1:7">
      <c r="A4" s="283" t="s">
        <v>504</v>
      </c>
      <c r="B4" s="284"/>
      <c r="C4" s="284"/>
      <c r="D4" s="284"/>
      <c r="E4" s="284"/>
    </row>
    <row r="5" spans="1:7">
      <c r="A5" s="283" t="s">
        <v>505</v>
      </c>
      <c r="B5" s="284"/>
      <c r="C5" s="284"/>
      <c r="D5" s="284"/>
      <c r="E5" s="284"/>
    </row>
    <row r="6" spans="1:7">
      <c r="A6" s="285"/>
      <c r="B6" s="286"/>
      <c r="C6" s="210"/>
      <c r="D6" s="287"/>
      <c r="E6" s="210"/>
    </row>
    <row r="7" spans="1:7">
      <c r="A7" s="285"/>
      <c r="B7" s="286"/>
      <c r="C7" s="210"/>
      <c r="D7" s="287"/>
      <c r="E7" s="210"/>
    </row>
    <row r="8" spans="1:7">
      <c r="A8" s="285"/>
      <c r="B8" s="286"/>
      <c r="C8" s="210"/>
      <c r="D8" s="287"/>
      <c r="E8" s="210"/>
    </row>
    <row r="9" spans="1:7">
      <c r="A9" s="288" t="s">
        <v>506</v>
      </c>
      <c r="B9" s="288" t="s">
        <v>507</v>
      </c>
      <c r="C9" s="289"/>
      <c r="D9" s="290"/>
      <c r="E9" s="291" t="s">
        <v>508</v>
      </c>
    </row>
    <row r="10" spans="1:7">
      <c r="A10" s="292"/>
      <c r="B10" s="293"/>
      <c r="C10" s="289"/>
      <c r="D10" s="290"/>
      <c r="E10" s="289"/>
    </row>
    <row r="11" spans="1:7">
      <c r="A11" s="294" t="s">
        <v>509</v>
      </c>
      <c r="B11" s="294"/>
      <c r="C11" s="289"/>
      <c r="D11" s="290" t="s">
        <v>510</v>
      </c>
      <c r="E11" s="289"/>
    </row>
    <row r="12" spans="1:7">
      <c r="A12" s="292"/>
      <c r="B12" s="293"/>
      <c r="C12" s="295" t="s">
        <v>511</v>
      </c>
      <c r="D12" s="295" t="s">
        <v>512</v>
      </c>
      <c r="E12" s="295" t="s">
        <v>513</v>
      </c>
    </row>
    <row r="13" spans="1:7">
      <c r="A13" s="292">
        <v>1</v>
      </c>
      <c r="B13" s="293" t="s">
        <v>514</v>
      </c>
      <c r="C13" s="296">
        <f>123685+5000</f>
        <v>128685</v>
      </c>
      <c r="D13" s="296">
        <f>123685+5000</f>
        <v>128685</v>
      </c>
      <c r="E13" s="296">
        <f>123685+5000</f>
        <v>128685</v>
      </c>
      <c r="F13" s="33"/>
      <c r="G13" s="33"/>
    </row>
    <row r="14" spans="1:7">
      <c r="A14" s="292">
        <v>2</v>
      </c>
      <c r="B14" s="293" t="s">
        <v>515</v>
      </c>
      <c r="C14" s="296">
        <f>146350+5000+57</f>
        <v>151407</v>
      </c>
      <c r="D14" s="296">
        <f>146350+5000+57</f>
        <v>151407</v>
      </c>
      <c r="E14" s="296">
        <f>146350+5000+57</f>
        <v>151407</v>
      </c>
      <c r="F14" s="33"/>
      <c r="G14" s="33"/>
    </row>
    <row r="15" spans="1:7" ht="12" customHeight="1">
      <c r="A15" s="297">
        <v>3</v>
      </c>
      <c r="B15" s="298" t="s">
        <v>516</v>
      </c>
      <c r="C15" s="296">
        <v>381932</v>
      </c>
      <c r="D15" s="296">
        <v>381932</v>
      </c>
      <c r="E15" s="296">
        <v>381932</v>
      </c>
      <c r="F15" s="33"/>
      <c r="G15" s="33"/>
    </row>
    <row r="16" spans="1:7">
      <c r="A16" s="292">
        <v>4</v>
      </c>
      <c r="B16" s="293" t="s">
        <v>517</v>
      </c>
      <c r="C16" s="296">
        <v>0</v>
      </c>
      <c r="D16" s="296">
        <v>0</v>
      </c>
      <c r="E16" s="296">
        <v>0</v>
      </c>
      <c r="F16" s="33"/>
      <c r="G16" s="33"/>
    </row>
    <row r="17" spans="1:7">
      <c r="A17" s="292">
        <v>5</v>
      </c>
      <c r="B17" s="293" t="s">
        <v>518</v>
      </c>
      <c r="C17" s="296">
        <v>24000</v>
      </c>
      <c r="D17" s="296">
        <v>24000</v>
      </c>
      <c r="E17" s="296">
        <v>24000</v>
      </c>
      <c r="F17" s="33"/>
      <c r="G17" s="33"/>
    </row>
    <row r="18" spans="1:7">
      <c r="A18" s="299">
        <v>6</v>
      </c>
      <c r="B18" s="293" t="s">
        <v>519</v>
      </c>
      <c r="C18" s="296">
        <v>0</v>
      </c>
      <c r="D18" s="296">
        <v>0</v>
      </c>
      <c r="E18" s="296">
        <v>0</v>
      </c>
      <c r="F18" s="33"/>
      <c r="G18" s="33"/>
    </row>
    <row r="19" spans="1:7">
      <c r="A19" s="300">
        <v>7</v>
      </c>
      <c r="B19" s="301" t="s">
        <v>520</v>
      </c>
      <c r="C19" s="302">
        <f>SUM(C13:C18)</f>
        <v>686024</v>
      </c>
      <c r="D19" s="302">
        <f>SUM(D13:D18)</f>
        <v>686024</v>
      </c>
      <c r="E19" s="302">
        <f>SUM(E13:E18)</f>
        <v>686024</v>
      </c>
      <c r="F19" s="33"/>
      <c r="G19" s="33"/>
    </row>
    <row r="20" spans="1:7">
      <c r="A20" s="292">
        <v>8</v>
      </c>
      <c r="B20" s="293" t="s">
        <v>521</v>
      </c>
      <c r="C20" s="296">
        <v>313385</v>
      </c>
      <c r="D20" s="296">
        <v>313385</v>
      </c>
      <c r="E20" s="296">
        <v>313385</v>
      </c>
      <c r="F20" s="33"/>
      <c r="G20" s="33"/>
    </row>
    <row r="21" spans="1:7">
      <c r="A21" s="292">
        <v>9</v>
      </c>
      <c r="B21" s="293" t="s">
        <v>522</v>
      </c>
      <c r="C21" s="296">
        <v>62881</v>
      </c>
      <c r="D21" s="296">
        <v>62881</v>
      </c>
      <c r="E21" s="296">
        <v>62881</v>
      </c>
      <c r="F21" s="33"/>
      <c r="G21" s="33"/>
    </row>
    <row r="22" spans="1:7">
      <c r="A22" s="292">
        <v>10</v>
      </c>
      <c r="B22" s="293" t="s">
        <v>523</v>
      </c>
      <c r="C22" s="296">
        <v>202532</v>
      </c>
      <c r="D22" s="296">
        <v>202532</v>
      </c>
      <c r="E22" s="296">
        <v>202532</v>
      </c>
      <c r="F22" s="33"/>
      <c r="G22" s="33"/>
    </row>
    <row r="23" spans="1:7">
      <c r="A23" s="292">
        <v>11</v>
      </c>
      <c r="B23" s="293" t="s">
        <v>524</v>
      </c>
      <c r="C23" s="296">
        <v>87450</v>
      </c>
      <c r="D23" s="296">
        <v>87450</v>
      </c>
      <c r="E23" s="296">
        <v>87450</v>
      </c>
      <c r="F23" s="33"/>
      <c r="G23" s="33"/>
    </row>
    <row r="24" spans="1:7">
      <c r="A24" s="299">
        <v>12</v>
      </c>
      <c r="B24" s="293" t="s">
        <v>525</v>
      </c>
      <c r="C24" s="296">
        <v>0</v>
      </c>
      <c r="D24" s="296">
        <v>0</v>
      </c>
      <c r="E24" s="296">
        <v>0</v>
      </c>
      <c r="F24" s="33"/>
      <c r="G24" s="33"/>
    </row>
    <row r="25" spans="1:7">
      <c r="A25" s="303">
        <v>13</v>
      </c>
      <c r="B25" s="293" t="s">
        <v>526</v>
      </c>
      <c r="C25" s="296">
        <v>0</v>
      </c>
      <c r="D25" s="296">
        <v>0</v>
      </c>
      <c r="E25" s="296">
        <v>0</v>
      </c>
      <c r="F25" s="33"/>
      <c r="G25" s="33"/>
    </row>
    <row r="26" spans="1:7">
      <c r="A26" s="304">
        <v>14</v>
      </c>
      <c r="B26" s="301" t="s">
        <v>527</v>
      </c>
      <c r="C26" s="302">
        <f>SUM(C20:C25)</f>
        <v>666248</v>
      </c>
      <c r="D26" s="302">
        <f>SUM(D20:D25)</f>
        <v>666248</v>
      </c>
      <c r="E26" s="302">
        <f>SUM(E20:E25)</f>
        <v>666248</v>
      </c>
      <c r="F26" s="33"/>
      <c r="G26" s="33"/>
    </row>
    <row r="27" spans="1:7">
      <c r="A27" s="292"/>
      <c r="B27" s="293"/>
      <c r="C27" s="289"/>
      <c r="D27" s="290"/>
      <c r="E27" s="289"/>
      <c r="F27" s="33"/>
      <c r="G27" s="33"/>
    </row>
    <row r="28" spans="1:7">
      <c r="A28" s="294" t="s">
        <v>528</v>
      </c>
      <c r="B28" s="294"/>
      <c r="C28" s="289"/>
      <c r="D28" s="290"/>
      <c r="E28" s="289"/>
      <c r="F28" s="33"/>
      <c r="G28" s="33"/>
    </row>
    <row r="29" spans="1:7">
      <c r="A29" s="292"/>
      <c r="B29" s="293"/>
      <c r="C29" s="289"/>
      <c r="D29" s="290"/>
      <c r="E29" s="289"/>
      <c r="F29" s="33"/>
      <c r="G29" s="33"/>
    </row>
    <row r="30" spans="1:7">
      <c r="A30" s="292">
        <v>15</v>
      </c>
      <c r="B30" s="293" t="s">
        <v>529</v>
      </c>
      <c r="C30" s="296">
        <v>0</v>
      </c>
      <c r="D30" s="296">
        <v>0</v>
      </c>
      <c r="E30" s="296">
        <v>0</v>
      </c>
      <c r="F30" s="33"/>
      <c r="G30" s="33"/>
    </row>
    <row r="31" spans="1:7">
      <c r="A31" s="292">
        <f t="shared" ref="A31:A41" si="0">A30+1</f>
        <v>16</v>
      </c>
      <c r="B31" s="293" t="s">
        <v>530</v>
      </c>
      <c r="C31" s="296">
        <v>0</v>
      </c>
      <c r="D31" s="296">
        <v>0</v>
      </c>
      <c r="E31" s="296">
        <v>0</v>
      </c>
      <c r="F31" s="33"/>
      <c r="G31" s="33"/>
    </row>
    <row r="32" spans="1:7">
      <c r="A32" s="292">
        <f t="shared" si="0"/>
        <v>17</v>
      </c>
      <c r="B32" s="293" t="s">
        <v>531</v>
      </c>
      <c r="C32" s="296">
        <v>0</v>
      </c>
      <c r="D32" s="296">
        <v>0</v>
      </c>
      <c r="E32" s="296">
        <v>0</v>
      </c>
      <c r="F32" s="33"/>
      <c r="G32" s="33"/>
    </row>
    <row r="33" spans="1:7">
      <c r="A33" s="300">
        <f t="shared" si="0"/>
        <v>18</v>
      </c>
      <c r="B33" s="301" t="s">
        <v>532</v>
      </c>
      <c r="C33" s="302">
        <f>SUM(C30:C32)</f>
        <v>0</v>
      </c>
      <c r="D33" s="302">
        <f>SUM(D30:D32)</f>
        <v>0</v>
      </c>
      <c r="E33" s="302">
        <f>SUM(E30:E32)</f>
        <v>0</v>
      </c>
      <c r="F33" s="33"/>
      <c r="G33" s="33"/>
    </row>
    <row r="34" spans="1:7">
      <c r="A34" s="292">
        <f t="shared" si="0"/>
        <v>19</v>
      </c>
      <c r="B34" s="293" t="s">
        <v>533</v>
      </c>
      <c r="C34" s="296">
        <v>0</v>
      </c>
      <c r="D34" s="296">
        <v>0</v>
      </c>
      <c r="E34" s="296">
        <v>0</v>
      </c>
      <c r="F34" s="33"/>
      <c r="G34" s="33"/>
    </row>
    <row r="35" spans="1:7">
      <c r="A35" s="292">
        <f t="shared" si="0"/>
        <v>20</v>
      </c>
      <c r="B35" s="293" t="s">
        <v>534</v>
      </c>
      <c r="C35" s="296">
        <v>0</v>
      </c>
      <c r="D35" s="296">
        <v>0</v>
      </c>
      <c r="E35" s="296">
        <v>0</v>
      </c>
      <c r="F35" s="33"/>
      <c r="G35" s="33"/>
    </row>
    <row r="36" spans="1:7">
      <c r="A36" s="292">
        <f t="shared" si="0"/>
        <v>21</v>
      </c>
      <c r="B36" s="293" t="s">
        <v>535</v>
      </c>
      <c r="C36" s="296">
        <v>0</v>
      </c>
      <c r="D36" s="296">
        <v>0</v>
      </c>
      <c r="E36" s="296">
        <v>0</v>
      </c>
      <c r="F36" s="33"/>
      <c r="G36" s="33"/>
    </row>
    <row r="37" spans="1:7">
      <c r="A37" s="292">
        <f t="shared" si="0"/>
        <v>22</v>
      </c>
      <c r="B37" s="293" t="s">
        <v>536</v>
      </c>
      <c r="C37" s="296">
        <v>19776</v>
      </c>
      <c r="D37" s="296">
        <v>19776</v>
      </c>
      <c r="E37" s="296">
        <v>19776</v>
      </c>
      <c r="F37" s="33"/>
      <c r="G37" s="33"/>
    </row>
    <row r="38" spans="1:7">
      <c r="A38" s="292">
        <f t="shared" si="0"/>
        <v>23</v>
      </c>
      <c r="B38" s="293" t="s">
        <v>537</v>
      </c>
      <c r="C38" s="296">
        <v>0</v>
      </c>
      <c r="D38" s="296">
        <v>0</v>
      </c>
      <c r="E38" s="296">
        <v>0</v>
      </c>
      <c r="F38" s="33"/>
      <c r="G38" s="33"/>
    </row>
    <row r="39" spans="1:7">
      <c r="A39" s="300">
        <f t="shared" si="0"/>
        <v>24</v>
      </c>
      <c r="B39" s="301" t="s">
        <v>538</v>
      </c>
      <c r="C39" s="302">
        <f>SUM(C34:C38)</f>
        <v>19776</v>
      </c>
      <c r="D39" s="302">
        <f>SUM(D34:D38)</f>
        <v>19776</v>
      </c>
      <c r="E39" s="302">
        <f>SUM(E34:E38)</f>
        <v>19776</v>
      </c>
      <c r="F39" s="33"/>
      <c r="G39" s="33"/>
    </row>
    <row r="40" spans="1:7">
      <c r="A40" s="300">
        <f t="shared" si="0"/>
        <v>25</v>
      </c>
      <c r="B40" s="301" t="s">
        <v>539</v>
      </c>
      <c r="C40" s="302">
        <f>C19+C33</f>
        <v>686024</v>
      </c>
      <c r="D40" s="302">
        <f>D19+D33</f>
        <v>686024</v>
      </c>
      <c r="E40" s="302">
        <f>E19+E33</f>
        <v>686024</v>
      </c>
      <c r="F40" s="33"/>
      <c r="G40" s="33"/>
    </row>
    <row r="41" spans="1:7">
      <c r="A41" s="300">
        <f t="shared" si="0"/>
        <v>26</v>
      </c>
      <c r="B41" s="301" t="s">
        <v>540</v>
      </c>
      <c r="C41" s="302">
        <f>C26+C39</f>
        <v>686024</v>
      </c>
      <c r="D41" s="302">
        <f>D26+D39</f>
        <v>686024</v>
      </c>
      <c r="E41" s="302">
        <f>E26+E39</f>
        <v>686024</v>
      </c>
      <c r="F41" s="33"/>
      <c r="G41" s="33"/>
    </row>
    <row r="42" spans="1:7">
      <c r="C42" s="108"/>
      <c r="D42" s="108"/>
      <c r="E42" s="108"/>
    </row>
  </sheetData>
  <mergeCells count="4">
    <mergeCell ref="A4:E4"/>
    <mergeCell ref="A5:E5"/>
    <mergeCell ref="A11:B11"/>
    <mergeCell ref="A28:B28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164"/>
  <sheetViews>
    <sheetView workbookViewId="0">
      <selection activeCell="A3" sqref="A3"/>
    </sheetView>
  </sheetViews>
  <sheetFormatPr defaultRowHeight="12.75"/>
  <cols>
    <col min="1" max="1" width="44.42578125" customWidth="1"/>
    <col min="2" max="2" width="24.85546875" customWidth="1"/>
    <col min="3" max="3" width="20.7109375" customWidth="1"/>
    <col min="4" max="4" width="24" customWidth="1"/>
  </cols>
  <sheetData>
    <row r="1" spans="1:5">
      <c r="A1" s="3" t="s">
        <v>502</v>
      </c>
      <c r="B1" s="305"/>
      <c r="C1" s="306" t="s">
        <v>541</v>
      </c>
      <c r="D1" s="307"/>
      <c r="E1" s="308"/>
    </row>
    <row r="2" spans="1:5">
      <c r="A2" s="3" t="s">
        <v>542</v>
      </c>
      <c r="B2" s="305"/>
      <c r="C2" s="305"/>
      <c r="D2" s="305"/>
    </row>
    <row r="3" spans="1:5">
      <c r="A3" s="305"/>
      <c r="B3" s="305"/>
      <c r="C3" s="305"/>
      <c r="D3" s="305"/>
    </row>
    <row r="4" spans="1:5" ht="15.75">
      <c r="A4" s="309" t="s">
        <v>543</v>
      </c>
      <c r="B4" s="309"/>
      <c r="C4" s="309"/>
      <c r="D4" s="309"/>
      <c r="E4" s="309"/>
    </row>
    <row r="5" spans="1:5">
      <c r="A5" s="310"/>
      <c r="B5" s="310"/>
      <c r="C5" s="310"/>
      <c r="D5" s="310"/>
    </row>
    <row r="6" spans="1:5">
      <c r="A6" s="305"/>
      <c r="B6" s="305"/>
      <c r="C6" s="305"/>
      <c r="D6" s="307" t="s">
        <v>544</v>
      </c>
    </row>
    <row r="7" spans="1:5" ht="50.25" customHeight="1">
      <c r="A7" s="311" t="s">
        <v>507</v>
      </c>
      <c r="B7" s="311" t="s">
        <v>545</v>
      </c>
      <c r="C7" s="311" t="s">
        <v>546</v>
      </c>
      <c r="D7" s="311" t="s">
        <v>547</v>
      </c>
    </row>
    <row r="8" spans="1:5" ht="22.5" customHeight="1">
      <c r="A8" s="312" t="s">
        <v>548</v>
      </c>
      <c r="B8" s="313"/>
      <c r="C8" s="313"/>
      <c r="D8" s="313"/>
    </row>
    <row r="9" spans="1:5">
      <c r="A9" s="314" t="s">
        <v>549</v>
      </c>
      <c r="B9" s="315">
        <v>743</v>
      </c>
      <c r="C9" s="315">
        <v>0</v>
      </c>
      <c r="D9" s="315">
        <v>553</v>
      </c>
    </row>
    <row r="10" spans="1:5">
      <c r="A10" s="314" t="s">
        <v>550</v>
      </c>
      <c r="B10" s="315">
        <v>0</v>
      </c>
      <c r="C10" s="315">
        <v>0</v>
      </c>
      <c r="D10" s="315">
        <v>0</v>
      </c>
    </row>
    <row r="11" spans="1:5">
      <c r="A11" s="314" t="s">
        <v>551</v>
      </c>
      <c r="B11" s="315">
        <v>0</v>
      </c>
      <c r="C11" s="315">
        <v>0</v>
      </c>
      <c r="D11" s="315">
        <v>0</v>
      </c>
    </row>
    <row r="12" spans="1:5" ht="21" customHeight="1">
      <c r="A12" s="316" t="s">
        <v>552</v>
      </c>
      <c r="B12" s="317">
        <f>SUM(B9:B11)</f>
        <v>743</v>
      </c>
      <c r="C12" s="317">
        <v>0</v>
      </c>
      <c r="D12" s="317">
        <f>SUM(D9:D11)</f>
        <v>553</v>
      </c>
    </row>
    <row r="13" spans="1:5" ht="25.5">
      <c r="A13" s="314" t="s">
        <v>553</v>
      </c>
      <c r="B13" s="315">
        <v>4628274</v>
      </c>
      <c r="C13" s="315">
        <v>0</v>
      </c>
      <c r="D13" s="315">
        <v>4475550</v>
      </c>
    </row>
    <row r="14" spans="1:5" ht="28.15" customHeight="1">
      <c r="A14" s="314" t="s">
        <v>554</v>
      </c>
      <c r="B14" s="315">
        <v>648224</v>
      </c>
      <c r="C14" s="315">
        <v>0</v>
      </c>
      <c r="D14" s="315">
        <v>556437</v>
      </c>
    </row>
    <row r="15" spans="1:5">
      <c r="A15" s="314" t="s">
        <v>555</v>
      </c>
      <c r="B15" s="315">
        <v>0</v>
      </c>
      <c r="C15" s="315">
        <v>0</v>
      </c>
      <c r="D15" s="315">
        <v>0</v>
      </c>
    </row>
    <row r="16" spans="1:5">
      <c r="A16" s="314" t="s">
        <v>556</v>
      </c>
      <c r="B16" s="315">
        <v>11190</v>
      </c>
      <c r="C16" s="315">
        <v>0</v>
      </c>
      <c r="D16" s="315">
        <v>104925</v>
      </c>
    </row>
    <row r="17" spans="1:4">
      <c r="A17" s="314" t="s">
        <v>557</v>
      </c>
      <c r="B17" s="315">
        <v>0</v>
      </c>
      <c r="C17" s="315">
        <v>0</v>
      </c>
      <c r="D17" s="315">
        <v>0</v>
      </c>
    </row>
    <row r="18" spans="1:4">
      <c r="A18" s="316" t="s">
        <v>558</v>
      </c>
      <c r="B18" s="317">
        <f>SUM(B13:B17)</f>
        <v>5287688</v>
      </c>
      <c r="C18" s="317">
        <f>C16</f>
        <v>0</v>
      </c>
      <c r="D18" s="317">
        <f>SUM(D13:D17)</f>
        <v>5136912</v>
      </c>
    </row>
    <row r="19" spans="1:4">
      <c r="A19" s="318" t="s">
        <v>559</v>
      </c>
      <c r="B19" s="315">
        <v>34686</v>
      </c>
      <c r="C19" s="315">
        <v>0</v>
      </c>
      <c r="D19" s="315">
        <v>34686</v>
      </c>
    </row>
    <row r="20" spans="1:4" ht="25.5">
      <c r="A20" s="314" t="s">
        <v>560</v>
      </c>
      <c r="B20" s="315">
        <v>0</v>
      </c>
      <c r="C20" s="315">
        <v>0</v>
      </c>
      <c r="D20" s="315">
        <v>0</v>
      </c>
    </row>
    <row r="21" spans="1:4" ht="25.5">
      <c r="A21" s="314" t="s">
        <v>561</v>
      </c>
      <c r="B21" s="315">
        <v>0</v>
      </c>
      <c r="C21" s="315">
        <v>0</v>
      </c>
      <c r="D21" s="315">
        <v>0</v>
      </c>
    </row>
    <row r="22" spans="1:4" ht="25.5">
      <c r="A22" s="314" t="s">
        <v>562</v>
      </c>
      <c r="B22" s="315">
        <v>0</v>
      </c>
      <c r="C22" s="315">
        <v>0</v>
      </c>
      <c r="D22" s="315">
        <v>0</v>
      </c>
    </row>
    <row r="23" spans="1:4">
      <c r="A23" s="314" t="s">
        <v>563</v>
      </c>
      <c r="B23" s="315">
        <v>0</v>
      </c>
      <c r="C23" s="315">
        <v>0</v>
      </c>
      <c r="D23" s="315">
        <v>0</v>
      </c>
    </row>
    <row r="24" spans="1:4" ht="25.5">
      <c r="A24" s="314" t="s">
        <v>564</v>
      </c>
      <c r="B24" s="315">
        <v>0</v>
      </c>
      <c r="C24" s="315">
        <v>0</v>
      </c>
      <c r="D24" s="315">
        <v>0</v>
      </c>
    </row>
    <row r="25" spans="1:4" ht="25.5">
      <c r="A25" s="314" t="s">
        <v>565</v>
      </c>
      <c r="B25" s="315">
        <v>0</v>
      </c>
      <c r="C25" s="315">
        <v>0</v>
      </c>
      <c r="D25" s="315">
        <v>0</v>
      </c>
    </row>
    <row r="26" spans="1:4" ht="25.5">
      <c r="A26" s="316" t="s">
        <v>566</v>
      </c>
      <c r="B26" s="317">
        <f>SUM(B19:B25)</f>
        <v>34686</v>
      </c>
      <c r="C26" s="317">
        <v>0</v>
      </c>
      <c r="D26" s="317">
        <f>SUM(D19:D25)</f>
        <v>34686</v>
      </c>
    </row>
    <row r="27" spans="1:4" ht="37.5" customHeight="1">
      <c r="A27" s="314" t="s">
        <v>567</v>
      </c>
      <c r="B27" s="315">
        <v>0</v>
      </c>
      <c r="C27" s="315">
        <v>0</v>
      </c>
      <c r="D27" s="315">
        <v>0</v>
      </c>
    </row>
    <row r="28" spans="1:4" ht="35.25" customHeight="1">
      <c r="A28" s="314" t="s">
        <v>568</v>
      </c>
      <c r="B28" s="315">
        <v>0</v>
      </c>
      <c r="C28" s="315">
        <v>0</v>
      </c>
      <c r="D28" s="315">
        <v>0</v>
      </c>
    </row>
    <row r="29" spans="1:4" ht="35.25" customHeight="1">
      <c r="A29" s="316" t="s">
        <v>569</v>
      </c>
      <c r="B29" s="317">
        <v>0</v>
      </c>
      <c r="C29" s="317">
        <v>0</v>
      </c>
      <c r="D29" s="317">
        <v>0</v>
      </c>
    </row>
    <row r="30" spans="1:4" ht="28.5" customHeight="1">
      <c r="A30" s="316" t="s">
        <v>570</v>
      </c>
      <c r="B30" s="317">
        <f>B26+B18+B12</f>
        <v>5323117</v>
      </c>
      <c r="C30" s="317">
        <f>C18</f>
        <v>0</v>
      </c>
      <c r="D30" s="317">
        <f>D26+D18+D12</f>
        <v>5172151</v>
      </c>
    </row>
    <row r="31" spans="1:4">
      <c r="A31" s="314" t="s">
        <v>571</v>
      </c>
      <c r="B31" s="315">
        <v>0</v>
      </c>
      <c r="C31" s="315">
        <v>0</v>
      </c>
      <c r="D31" s="315">
        <v>0</v>
      </c>
    </row>
    <row r="32" spans="1:4" ht="18" customHeight="1">
      <c r="A32" s="314" t="s">
        <v>572</v>
      </c>
      <c r="B32" s="315">
        <v>0</v>
      </c>
      <c r="C32" s="315">
        <v>0</v>
      </c>
      <c r="D32" s="315">
        <v>0</v>
      </c>
    </row>
    <row r="33" spans="1:4">
      <c r="A33" s="314" t="s">
        <v>573</v>
      </c>
      <c r="B33" s="315">
        <v>0</v>
      </c>
      <c r="C33" s="315">
        <v>0</v>
      </c>
      <c r="D33" s="315">
        <v>0</v>
      </c>
    </row>
    <row r="34" spans="1:4" ht="32.25" customHeight="1">
      <c r="A34" s="314" t="s">
        <v>574</v>
      </c>
      <c r="B34" s="315">
        <v>0</v>
      </c>
      <c r="C34" s="315">
        <v>0</v>
      </c>
      <c r="D34" s="315">
        <v>0</v>
      </c>
    </row>
    <row r="35" spans="1:4">
      <c r="A35" s="314" t="s">
        <v>575</v>
      </c>
      <c r="B35" s="315">
        <v>0</v>
      </c>
      <c r="C35" s="315">
        <v>0</v>
      </c>
      <c r="D35" s="315">
        <v>0</v>
      </c>
    </row>
    <row r="36" spans="1:4" ht="18" customHeight="1">
      <c r="A36" s="316" t="s">
        <v>576</v>
      </c>
      <c r="B36" s="317">
        <v>0</v>
      </c>
      <c r="C36" s="317">
        <v>0</v>
      </c>
      <c r="D36" s="317">
        <v>0</v>
      </c>
    </row>
    <row r="37" spans="1:4">
      <c r="A37" s="314" t="s">
        <v>577</v>
      </c>
      <c r="B37" s="315">
        <v>0</v>
      </c>
      <c r="C37" s="315">
        <v>0</v>
      </c>
      <c r="D37" s="315">
        <v>0</v>
      </c>
    </row>
    <row r="38" spans="1:4" ht="28.5" customHeight="1">
      <c r="A38" s="314" t="s">
        <v>578</v>
      </c>
      <c r="B38" s="315">
        <f>B40</f>
        <v>270000</v>
      </c>
      <c r="C38" s="315">
        <v>0</v>
      </c>
      <c r="D38" s="315">
        <v>225000</v>
      </c>
    </row>
    <row r="39" spans="1:4">
      <c r="A39" s="314" t="s">
        <v>579</v>
      </c>
      <c r="B39" s="315">
        <v>0</v>
      </c>
      <c r="C39" s="315">
        <v>0</v>
      </c>
      <c r="D39" s="315">
        <v>0</v>
      </c>
    </row>
    <row r="40" spans="1:4">
      <c r="A40" s="314" t="s">
        <v>580</v>
      </c>
      <c r="B40" s="315">
        <v>270000</v>
      </c>
      <c r="C40" s="315">
        <v>0</v>
      </c>
      <c r="D40" s="315">
        <v>0</v>
      </c>
    </row>
    <row r="41" spans="1:4">
      <c r="A41" s="314" t="s">
        <v>581</v>
      </c>
      <c r="B41" s="315">
        <v>0</v>
      </c>
      <c r="C41" s="315">
        <v>0</v>
      </c>
      <c r="D41" s="315">
        <v>225000</v>
      </c>
    </row>
    <row r="42" spans="1:4" ht="25.5">
      <c r="A42" s="314" t="s">
        <v>582</v>
      </c>
      <c r="B42" s="315">
        <v>0</v>
      </c>
      <c r="C42" s="315">
        <v>0</v>
      </c>
      <c r="D42" s="315">
        <v>0</v>
      </c>
    </row>
    <row r="43" spans="1:4">
      <c r="A43" s="314" t="s">
        <v>583</v>
      </c>
      <c r="B43" s="315">
        <v>0</v>
      </c>
      <c r="C43" s="315">
        <v>0</v>
      </c>
      <c r="D43" s="315">
        <v>0</v>
      </c>
    </row>
    <row r="44" spans="1:4">
      <c r="A44" s="316" t="s">
        <v>584</v>
      </c>
      <c r="B44" s="317">
        <f>B38</f>
        <v>270000</v>
      </c>
      <c r="C44" s="317">
        <v>0</v>
      </c>
      <c r="D44" s="317">
        <f>D40</f>
        <v>0</v>
      </c>
    </row>
    <row r="45" spans="1:4" ht="26.25" customHeight="1">
      <c r="A45" s="316" t="s">
        <v>585</v>
      </c>
      <c r="B45" s="317">
        <f>B36+B44</f>
        <v>270000</v>
      </c>
      <c r="C45" s="317">
        <v>0</v>
      </c>
      <c r="D45" s="317">
        <f>D38</f>
        <v>225000</v>
      </c>
    </row>
    <row r="46" spans="1:4">
      <c r="A46" s="314" t="s">
        <v>586</v>
      </c>
      <c r="B46" s="315">
        <v>0</v>
      </c>
      <c r="C46" s="315">
        <v>0</v>
      </c>
      <c r="D46" s="315">
        <v>0</v>
      </c>
    </row>
    <row r="47" spans="1:4">
      <c r="A47" s="314" t="s">
        <v>587</v>
      </c>
      <c r="B47" s="315">
        <v>1262</v>
      </c>
      <c r="C47" s="315">
        <v>0</v>
      </c>
      <c r="D47" s="315">
        <v>1522</v>
      </c>
    </row>
    <row r="48" spans="1:4">
      <c r="A48" s="314" t="s">
        <v>588</v>
      </c>
      <c r="B48" s="315">
        <v>107204</v>
      </c>
      <c r="C48" s="315">
        <v>0</v>
      </c>
      <c r="D48" s="315">
        <v>196827</v>
      </c>
    </row>
    <row r="49" spans="1:4">
      <c r="A49" s="314" t="s">
        <v>589</v>
      </c>
      <c r="B49" s="315">
        <v>0</v>
      </c>
      <c r="C49" s="315">
        <v>0</v>
      </c>
      <c r="D49" s="315">
        <v>0</v>
      </c>
    </row>
    <row r="50" spans="1:4">
      <c r="A50" s="314" t="s">
        <v>590</v>
      </c>
      <c r="B50" s="315">
        <v>0</v>
      </c>
      <c r="C50" s="315">
        <v>0</v>
      </c>
      <c r="D50" s="315">
        <v>0</v>
      </c>
    </row>
    <row r="51" spans="1:4">
      <c r="A51" s="316" t="s">
        <v>591</v>
      </c>
      <c r="B51" s="317">
        <f>B47+B48</f>
        <v>108466</v>
      </c>
      <c r="C51" s="317">
        <v>0</v>
      </c>
      <c r="D51" s="317">
        <f>D47+D48</f>
        <v>198349</v>
      </c>
    </row>
    <row r="52" spans="1:4" ht="48" customHeight="1">
      <c r="A52" s="318" t="s">
        <v>592</v>
      </c>
      <c r="B52" s="315">
        <v>0</v>
      </c>
      <c r="C52" s="315">
        <v>0</v>
      </c>
      <c r="D52" s="315">
        <v>0</v>
      </c>
    </row>
    <row r="53" spans="1:4" ht="60.75" customHeight="1">
      <c r="A53" s="314" t="s">
        <v>593</v>
      </c>
      <c r="B53" s="315">
        <v>0</v>
      </c>
      <c r="C53" s="315">
        <v>0</v>
      </c>
      <c r="D53" s="315">
        <v>0</v>
      </c>
    </row>
    <row r="54" spans="1:4" ht="47.25" customHeight="1">
      <c r="A54" s="318" t="s">
        <v>594</v>
      </c>
      <c r="B54" s="315">
        <v>0</v>
      </c>
      <c r="C54" s="315">
        <v>0</v>
      </c>
      <c r="D54" s="315">
        <v>0</v>
      </c>
    </row>
    <row r="55" spans="1:4" ht="60.75" customHeight="1">
      <c r="A55" s="314" t="s">
        <v>595</v>
      </c>
      <c r="B55" s="315">
        <v>0</v>
      </c>
      <c r="C55" s="315">
        <v>0</v>
      </c>
      <c r="D55" s="315">
        <v>0</v>
      </c>
    </row>
    <row r="56" spans="1:4" ht="35.25" customHeight="1">
      <c r="A56" s="314" t="s">
        <v>596</v>
      </c>
      <c r="B56" s="315">
        <v>7539</v>
      </c>
      <c r="C56" s="315">
        <v>0</v>
      </c>
      <c r="D56" s="315">
        <v>13186</v>
      </c>
    </row>
    <row r="57" spans="1:4" ht="36" customHeight="1">
      <c r="A57" s="314" t="s">
        <v>597</v>
      </c>
      <c r="B57" s="315">
        <v>15497</v>
      </c>
      <c r="C57" s="315">
        <v>0</v>
      </c>
      <c r="D57" s="315">
        <v>13932</v>
      </c>
    </row>
    <row r="58" spans="1:4" ht="32.25" customHeight="1">
      <c r="A58" s="314" t="s">
        <v>598</v>
      </c>
      <c r="B58" s="315">
        <v>0</v>
      </c>
      <c r="C58" s="315">
        <v>0</v>
      </c>
      <c r="D58" s="315">
        <v>0</v>
      </c>
    </row>
    <row r="59" spans="1:4" ht="34.5" customHeight="1">
      <c r="A59" s="318" t="s">
        <v>599</v>
      </c>
      <c r="B59" s="315">
        <v>0</v>
      </c>
      <c r="C59" s="315">
        <v>0</v>
      </c>
      <c r="D59" s="315">
        <v>0</v>
      </c>
    </row>
    <row r="60" spans="1:4" ht="59.25" customHeight="1">
      <c r="A60" s="314" t="s">
        <v>600</v>
      </c>
      <c r="B60" s="315">
        <v>0</v>
      </c>
      <c r="C60" s="315">
        <v>0</v>
      </c>
      <c r="D60" s="315">
        <v>0</v>
      </c>
    </row>
    <row r="61" spans="1:4" ht="42.75" customHeight="1">
      <c r="A61" s="318" t="s">
        <v>601</v>
      </c>
      <c r="B61" s="315">
        <v>0</v>
      </c>
      <c r="C61" s="315">
        <v>0</v>
      </c>
      <c r="D61" s="315">
        <v>0</v>
      </c>
    </row>
    <row r="62" spans="1:4" ht="60" customHeight="1">
      <c r="A62" s="314" t="s">
        <v>602</v>
      </c>
      <c r="B62" s="315">
        <v>0</v>
      </c>
      <c r="C62" s="315">
        <v>0</v>
      </c>
      <c r="D62" s="315">
        <v>0</v>
      </c>
    </row>
    <row r="63" spans="1:4" ht="35.25" customHeight="1">
      <c r="A63" s="318" t="s">
        <v>603</v>
      </c>
      <c r="B63" s="315">
        <v>0</v>
      </c>
      <c r="C63" s="315">
        <v>0</v>
      </c>
      <c r="D63" s="315">
        <v>0</v>
      </c>
    </row>
    <row r="64" spans="1:4" ht="49.5" customHeight="1">
      <c r="A64" s="314" t="s">
        <v>604</v>
      </c>
      <c r="B64" s="315">
        <v>0</v>
      </c>
      <c r="C64" s="315">
        <v>0</v>
      </c>
      <c r="D64" s="315">
        <v>0</v>
      </c>
    </row>
    <row r="65" spans="1:4" ht="31.5" customHeight="1">
      <c r="A65" s="316" t="s">
        <v>605</v>
      </c>
      <c r="B65" s="317">
        <f>SUM(B52:B64)</f>
        <v>23036</v>
      </c>
      <c r="C65" s="317">
        <v>0</v>
      </c>
      <c r="D65" s="317">
        <f>SUM(D52:D64)</f>
        <v>27118</v>
      </c>
    </row>
    <row r="66" spans="1:4" ht="46.5" customHeight="1">
      <c r="A66" s="318" t="s">
        <v>606</v>
      </c>
      <c r="B66" s="315">
        <v>0</v>
      </c>
      <c r="C66" s="315">
        <v>0</v>
      </c>
      <c r="D66" s="315">
        <v>0</v>
      </c>
    </row>
    <row r="67" spans="1:4" ht="63" customHeight="1">
      <c r="A67" s="314" t="s">
        <v>607</v>
      </c>
      <c r="B67" s="315">
        <v>0</v>
      </c>
      <c r="C67" s="315">
        <v>0</v>
      </c>
      <c r="D67" s="315">
        <v>0</v>
      </c>
    </row>
    <row r="68" spans="1:4" ht="46.5" customHeight="1">
      <c r="A68" s="318" t="s">
        <v>608</v>
      </c>
      <c r="B68" s="315">
        <v>0</v>
      </c>
      <c r="C68" s="315">
        <v>0</v>
      </c>
      <c r="D68" s="315">
        <v>0</v>
      </c>
    </row>
    <row r="69" spans="1:4" ht="62.25" customHeight="1">
      <c r="A69" s="314" t="s">
        <v>609</v>
      </c>
      <c r="B69" s="315">
        <v>0</v>
      </c>
      <c r="C69" s="315">
        <v>0</v>
      </c>
      <c r="D69" s="315">
        <v>0</v>
      </c>
    </row>
    <row r="70" spans="1:4" ht="33.75" customHeight="1">
      <c r="A70" s="314" t="s">
        <v>610</v>
      </c>
      <c r="B70" s="315">
        <v>0</v>
      </c>
      <c r="C70" s="315">
        <v>0</v>
      </c>
      <c r="D70" s="315">
        <v>0</v>
      </c>
    </row>
    <row r="71" spans="1:4" ht="36" customHeight="1">
      <c r="A71" s="314" t="s">
        <v>611</v>
      </c>
      <c r="B71" s="315">
        <v>25</v>
      </c>
      <c r="C71" s="315">
        <v>0</v>
      </c>
      <c r="D71" s="315">
        <v>0</v>
      </c>
    </row>
    <row r="72" spans="1:4" ht="33.75" customHeight="1">
      <c r="A72" s="314" t="s">
        <v>612</v>
      </c>
      <c r="B72" s="315">
        <v>0</v>
      </c>
      <c r="C72" s="315">
        <v>0</v>
      </c>
      <c r="D72" s="315">
        <v>0</v>
      </c>
    </row>
    <row r="73" spans="1:4" ht="36.75" customHeight="1">
      <c r="A73" s="318" t="s">
        <v>613</v>
      </c>
      <c r="B73" s="315">
        <v>0</v>
      </c>
      <c r="C73" s="315">
        <v>0</v>
      </c>
      <c r="D73" s="315">
        <v>0</v>
      </c>
    </row>
    <row r="74" spans="1:4" ht="57" customHeight="1">
      <c r="A74" s="314" t="s">
        <v>614</v>
      </c>
      <c r="B74" s="315">
        <v>0</v>
      </c>
      <c r="C74" s="315">
        <v>0</v>
      </c>
      <c r="D74" s="315">
        <v>0</v>
      </c>
    </row>
    <row r="75" spans="1:4" ht="31.5" customHeight="1">
      <c r="A75" s="318" t="s">
        <v>615</v>
      </c>
      <c r="B75" s="315">
        <v>0</v>
      </c>
      <c r="C75" s="315">
        <v>0</v>
      </c>
      <c r="D75" s="315">
        <v>0</v>
      </c>
    </row>
    <row r="76" spans="1:4" ht="54.75" customHeight="1">
      <c r="A76" s="314" t="s">
        <v>616</v>
      </c>
      <c r="B76" s="315">
        <v>0</v>
      </c>
      <c r="C76" s="315">
        <v>0</v>
      </c>
      <c r="D76" s="315">
        <v>0</v>
      </c>
    </row>
    <row r="77" spans="1:4" ht="35.25" customHeight="1">
      <c r="A77" s="318" t="s">
        <v>617</v>
      </c>
      <c r="B77" s="315">
        <v>0</v>
      </c>
      <c r="C77" s="315">
        <v>0</v>
      </c>
      <c r="D77" s="315">
        <v>0</v>
      </c>
    </row>
    <row r="78" spans="1:4" ht="38.25">
      <c r="A78" s="314" t="s">
        <v>618</v>
      </c>
      <c r="B78" s="315">
        <v>0</v>
      </c>
      <c r="C78" s="315">
        <v>0</v>
      </c>
      <c r="D78" s="315">
        <v>0</v>
      </c>
    </row>
    <row r="79" spans="1:4" ht="25.5">
      <c r="A79" s="316" t="s">
        <v>619</v>
      </c>
      <c r="B79" s="317">
        <f>SUM(B66:B78)</f>
        <v>25</v>
      </c>
      <c r="C79" s="317">
        <v>0</v>
      </c>
      <c r="D79" s="317">
        <f>SUM(D66:D78)</f>
        <v>0</v>
      </c>
    </row>
    <row r="80" spans="1:4">
      <c r="A80" s="314" t="s">
        <v>620</v>
      </c>
      <c r="B80" s="315">
        <f>B81+B82+B83</f>
        <v>80</v>
      </c>
      <c r="C80" s="315">
        <v>0</v>
      </c>
      <c r="D80" s="315">
        <f>D82</f>
        <v>135</v>
      </c>
    </row>
    <row r="81" spans="1:4">
      <c r="A81" s="318" t="s">
        <v>621</v>
      </c>
      <c r="B81" s="315">
        <v>37</v>
      </c>
      <c r="C81" s="315">
        <v>0</v>
      </c>
      <c r="D81" s="315">
        <v>0</v>
      </c>
    </row>
    <row r="82" spans="1:4" ht="25.5">
      <c r="A82" s="318" t="s">
        <v>622</v>
      </c>
      <c r="B82" s="315">
        <v>20</v>
      </c>
      <c r="C82" s="315">
        <v>0</v>
      </c>
      <c r="D82" s="315">
        <v>135</v>
      </c>
    </row>
    <row r="83" spans="1:4">
      <c r="A83" s="318" t="s">
        <v>623</v>
      </c>
      <c r="B83" s="315">
        <v>23</v>
      </c>
      <c r="C83" s="315">
        <v>0</v>
      </c>
      <c r="D83" s="315">
        <v>37</v>
      </c>
    </row>
    <row r="84" spans="1:4" ht="44.25" customHeight="1">
      <c r="A84" s="314" t="s">
        <v>624</v>
      </c>
      <c r="B84" s="315">
        <v>0</v>
      </c>
      <c r="C84" s="315">
        <v>0</v>
      </c>
      <c r="D84" s="315">
        <v>0</v>
      </c>
    </row>
    <row r="85" spans="1:4" ht="25.5">
      <c r="A85" s="314" t="s">
        <v>625</v>
      </c>
      <c r="B85" s="315">
        <v>0</v>
      </c>
      <c r="C85" s="315">
        <v>0</v>
      </c>
      <c r="D85" s="315">
        <v>0</v>
      </c>
    </row>
    <row r="86" spans="1:4">
      <c r="A86" s="314" t="s">
        <v>626</v>
      </c>
      <c r="B86" s="315">
        <v>400</v>
      </c>
      <c r="C86" s="315">
        <v>0</v>
      </c>
      <c r="D86" s="315">
        <v>700</v>
      </c>
    </row>
    <row r="87" spans="1:4" ht="30.75" customHeight="1">
      <c r="A87" s="314" t="s">
        <v>627</v>
      </c>
      <c r="B87" s="315">
        <v>0</v>
      </c>
      <c r="C87" s="315">
        <v>0</v>
      </c>
      <c r="D87" s="315">
        <v>0</v>
      </c>
    </row>
    <row r="88" spans="1:4" ht="41.25" customHeight="1">
      <c r="A88" s="314" t="s">
        <v>628</v>
      </c>
      <c r="B88" s="315">
        <v>0</v>
      </c>
      <c r="C88" s="315">
        <v>0</v>
      </c>
      <c r="D88" s="315">
        <v>0</v>
      </c>
    </row>
    <row r="89" spans="1:4" ht="41.25" customHeight="1">
      <c r="A89" s="314" t="s">
        <v>629</v>
      </c>
      <c r="B89" s="315">
        <v>0</v>
      </c>
      <c r="C89" s="315">
        <v>0</v>
      </c>
      <c r="D89" s="315">
        <v>178</v>
      </c>
    </row>
    <row r="90" spans="1:4" ht="31.5" customHeight="1">
      <c r="A90" s="316" t="s">
        <v>630</v>
      </c>
      <c r="B90" s="317">
        <f>B80+B84+B86</f>
        <v>480</v>
      </c>
      <c r="C90" s="317">
        <v>0</v>
      </c>
      <c r="D90" s="317">
        <f>D80+D86+D89</f>
        <v>1013</v>
      </c>
    </row>
    <row r="91" spans="1:4">
      <c r="A91" s="316" t="s">
        <v>631</v>
      </c>
      <c r="B91" s="317">
        <f>B65+B79+B90</f>
        <v>23541</v>
      </c>
      <c r="C91" s="317">
        <v>0</v>
      </c>
      <c r="D91" s="317">
        <f>D65+D79+D90</f>
        <v>28131</v>
      </c>
    </row>
    <row r="92" spans="1:4" ht="29.25" customHeight="1">
      <c r="A92" s="316" t="s">
        <v>632</v>
      </c>
      <c r="B92" s="317">
        <v>3948</v>
      </c>
      <c r="C92" s="317">
        <v>0</v>
      </c>
      <c r="D92" s="317">
        <v>4830</v>
      </c>
    </row>
    <row r="93" spans="1:4" ht="28.5" customHeight="1">
      <c r="A93" s="314" t="s">
        <v>633</v>
      </c>
      <c r="B93" s="315">
        <v>0</v>
      </c>
      <c r="C93" s="315">
        <v>0</v>
      </c>
      <c r="D93" s="315">
        <v>0</v>
      </c>
    </row>
    <row r="94" spans="1:4" ht="25.5">
      <c r="A94" s="314" t="s">
        <v>634</v>
      </c>
      <c r="B94" s="315">
        <v>0</v>
      </c>
      <c r="C94" s="315">
        <v>0</v>
      </c>
      <c r="D94" s="315">
        <v>0</v>
      </c>
    </row>
    <row r="95" spans="1:4">
      <c r="A95" s="314" t="s">
        <v>635</v>
      </c>
      <c r="B95" s="315">
        <v>0</v>
      </c>
      <c r="C95" s="315">
        <v>0</v>
      </c>
      <c r="D95" s="315">
        <v>0</v>
      </c>
    </row>
    <row r="96" spans="1:4" ht="39" customHeight="1">
      <c r="A96" s="316" t="s">
        <v>636</v>
      </c>
      <c r="B96" s="317">
        <v>0</v>
      </c>
      <c r="C96" s="317">
        <v>0</v>
      </c>
      <c r="D96" s="317">
        <v>0</v>
      </c>
    </row>
    <row r="97" spans="1:4">
      <c r="A97" s="316" t="s">
        <v>637</v>
      </c>
      <c r="B97" s="317">
        <f>B30+B45+B51+B91+B92+B96</f>
        <v>5729072</v>
      </c>
      <c r="C97" s="317">
        <f>C30</f>
        <v>0</v>
      </c>
      <c r="D97" s="317">
        <f>D30+D45+D51+D91+D92+D96</f>
        <v>5628461</v>
      </c>
    </row>
    <row r="98" spans="1:4">
      <c r="A98" s="316"/>
      <c r="B98" s="317"/>
      <c r="C98" s="317"/>
      <c r="D98" s="317"/>
    </row>
    <row r="99" spans="1:4" ht="28.5" customHeight="1">
      <c r="A99" s="312" t="s">
        <v>638</v>
      </c>
      <c r="B99" s="313"/>
      <c r="C99" s="313"/>
      <c r="D99" s="313"/>
    </row>
    <row r="100" spans="1:4" ht="19.899999999999999" customHeight="1">
      <c r="A100" s="314" t="s">
        <v>639</v>
      </c>
      <c r="B100" s="315">
        <f>176522+8477+3259209</f>
        <v>3444208</v>
      </c>
      <c r="C100" s="315">
        <v>0</v>
      </c>
      <c r="D100" s="315">
        <f>3267686+176522</f>
        <v>3444208</v>
      </c>
    </row>
    <row r="101" spans="1:4" ht="19.899999999999999" customHeight="1">
      <c r="A101" s="314" t="s">
        <v>640</v>
      </c>
      <c r="B101" s="315">
        <v>323981</v>
      </c>
      <c r="C101" s="315">
        <v>0</v>
      </c>
      <c r="D101" s="315">
        <v>258544</v>
      </c>
    </row>
    <row r="102" spans="1:4" ht="25.5">
      <c r="A102" s="314" t="s">
        <v>641</v>
      </c>
      <c r="B102" s="315">
        <v>17146</v>
      </c>
      <c r="C102" s="315">
        <v>0</v>
      </c>
      <c r="D102" s="315">
        <f>5883+6210+4978+75</f>
        <v>17146</v>
      </c>
    </row>
    <row r="103" spans="1:4" ht="18" customHeight="1">
      <c r="A103" s="314" t="s">
        <v>642</v>
      </c>
      <c r="B103" s="315">
        <v>-526356</v>
      </c>
      <c r="C103" s="315">
        <v>0</v>
      </c>
      <c r="D103" s="315">
        <v>-372434</v>
      </c>
    </row>
    <row r="104" spans="1:4" ht="15.6" customHeight="1">
      <c r="A104" s="314" t="s">
        <v>643</v>
      </c>
      <c r="B104" s="315">
        <v>0</v>
      </c>
      <c r="C104" s="315">
        <v>0</v>
      </c>
      <c r="D104" s="315">
        <v>0</v>
      </c>
    </row>
    <row r="105" spans="1:4" ht="22.9" customHeight="1">
      <c r="A105" s="314" t="s">
        <v>644</v>
      </c>
      <c r="B105" s="315">
        <v>153922</v>
      </c>
      <c r="C105" s="315">
        <v>0</v>
      </c>
      <c r="D105" s="315">
        <v>50990</v>
      </c>
    </row>
    <row r="106" spans="1:4" ht="20.45" customHeight="1">
      <c r="A106" s="316" t="s">
        <v>645</v>
      </c>
      <c r="B106" s="317">
        <f>SUM(B100:B105)</f>
        <v>3412901</v>
      </c>
      <c r="C106" s="317">
        <f>C105</f>
        <v>0</v>
      </c>
      <c r="D106" s="317">
        <f>SUM(D100:D105)</f>
        <v>3398454</v>
      </c>
    </row>
    <row r="107" spans="1:4" ht="43.5" customHeight="1">
      <c r="A107" s="314" t="s">
        <v>646</v>
      </c>
      <c r="B107" s="315">
        <v>0</v>
      </c>
      <c r="C107" s="315">
        <v>0</v>
      </c>
      <c r="D107" s="315">
        <v>0</v>
      </c>
    </row>
    <row r="108" spans="1:4" ht="50.25" customHeight="1">
      <c r="A108" s="314" t="s">
        <v>647</v>
      </c>
      <c r="B108" s="315">
        <v>0</v>
      </c>
      <c r="C108" s="315">
        <v>0</v>
      </c>
      <c r="D108" s="315">
        <v>0</v>
      </c>
    </row>
    <row r="109" spans="1:4" ht="36" customHeight="1">
      <c r="A109" s="314" t="s">
        <v>648</v>
      </c>
      <c r="B109" s="315">
        <v>840</v>
      </c>
      <c r="C109" s="315">
        <v>0</v>
      </c>
      <c r="D109" s="315">
        <v>633</v>
      </c>
    </row>
    <row r="110" spans="1:4" ht="36.75" customHeight="1">
      <c r="A110" s="314" t="s">
        <v>649</v>
      </c>
      <c r="B110" s="315">
        <v>0</v>
      </c>
      <c r="C110" s="315">
        <v>0</v>
      </c>
      <c r="D110" s="315">
        <v>0</v>
      </c>
    </row>
    <row r="111" spans="1:4" ht="33" customHeight="1">
      <c r="A111" s="318" t="s">
        <v>650</v>
      </c>
      <c r="B111" s="315">
        <v>0</v>
      </c>
      <c r="C111" s="315">
        <v>0</v>
      </c>
      <c r="D111" s="315">
        <v>0</v>
      </c>
    </row>
    <row r="112" spans="1:4" ht="63.75" customHeight="1">
      <c r="A112" s="314" t="s">
        <v>651</v>
      </c>
      <c r="B112" s="315">
        <v>0</v>
      </c>
      <c r="C112" s="315">
        <v>0</v>
      </c>
      <c r="D112" s="315">
        <v>0</v>
      </c>
    </row>
    <row r="113" spans="1:4" ht="38.25" customHeight="1">
      <c r="A113" s="314" t="s">
        <v>652</v>
      </c>
      <c r="B113" s="315">
        <v>0</v>
      </c>
      <c r="C113" s="315">
        <v>0</v>
      </c>
      <c r="D113" s="315">
        <v>0</v>
      </c>
    </row>
    <row r="114" spans="1:4" ht="34.5" customHeight="1">
      <c r="A114" s="314" t="s">
        <v>653</v>
      </c>
      <c r="B114" s="315">
        <v>7</v>
      </c>
      <c r="C114" s="315">
        <v>0</v>
      </c>
      <c r="D114" s="315">
        <v>0</v>
      </c>
    </row>
    <row r="115" spans="1:4" ht="33.75" customHeight="1">
      <c r="A115" s="318" t="s">
        <v>654</v>
      </c>
      <c r="B115" s="315">
        <v>0</v>
      </c>
      <c r="C115" s="315">
        <v>0</v>
      </c>
      <c r="D115" s="315">
        <v>0</v>
      </c>
    </row>
    <row r="116" spans="1:4" ht="54.75" customHeight="1">
      <c r="A116" s="314" t="s">
        <v>655</v>
      </c>
      <c r="B116" s="315">
        <v>0</v>
      </c>
      <c r="C116" s="315">
        <v>0</v>
      </c>
      <c r="D116" s="315">
        <v>0</v>
      </c>
    </row>
    <row r="117" spans="1:4" ht="36.75" customHeight="1">
      <c r="A117" s="318" t="s">
        <v>656</v>
      </c>
      <c r="B117" s="315">
        <v>0</v>
      </c>
      <c r="C117" s="315">
        <v>0</v>
      </c>
      <c r="D117" s="315">
        <v>0</v>
      </c>
    </row>
    <row r="118" spans="1:4" ht="48.75" customHeight="1">
      <c r="A118" s="314" t="s">
        <v>657</v>
      </c>
      <c r="B118" s="315">
        <v>0</v>
      </c>
      <c r="C118" s="315">
        <v>0</v>
      </c>
      <c r="D118" s="315">
        <v>0</v>
      </c>
    </row>
    <row r="119" spans="1:4" ht="48.75" customHeight="1">
      <c r="A119" s="314" t="s">
        <v>658</v>
      </c>
      <c r="B119" s="315">
        <v>0</v>
      </c>
      <c r="C119" s="315">
        <v>0</v>
      </c>
      <c r="D119" s="315">
        <v>4944</v>
      </c>
    </row>
    <row r="120" spans="1:4" ht="48" customHeight="1">
      <c r="A120" s="314" t="s">
        <v>659</v>
      </c>
      <c r="B120" s="315">
        <v>0</v>
      </c>
      <c r="C120" s="315">
        <v>0</v>
      </c>
      <c r="D120" s="315">
        <v>0</v>
      </c>
    </row>
    <row r="121" spans="1:4" ht="45.75" customHeight="1">
      <c r="A121" s="314" t="s">
        <v>660</v>
      </c>
      <c r="B121" s="315">
        <v>0</v>
      </c>
      <c r="C121" s="315">
        <v>0</v>
      </c>
      <c r="D121" s="315">
        <v>0</v>
      </c>
    </row>
    <row r="122" spans="1:4" ht="48" customHeight="1">
      <c r="A122" s="314" t="s">
        <v>661</v>
      </c>
      <c r="B122" s="315">
        <v>0</v>
      </c>
      <c r="C122" s="315">
        <v>0</v>
      </c>
      <c r="D122" s="315">
        <v>0</v>
      </c>
    </row>
    <row r="123" spans="1:4" ht="46.5" customHeight="1">
      <c r="A123" s="314" t="s">
        <v>662</v>
      </c>
      <c r="B123" s="315">
        <v>0</v>
      </c>
      <c r="C123" s="315">
        <v>0</v>
      </c>
      <c r="D123" s="315">
        <v>0</v>
      </c>
    </row>
    <row r="124" spans="1:4" ht="42" customHeight="1">
      <c r="A124" s="314" t="s">
        <v>663</v>
      </c>
      <c r="B124" s="315">
        <v>0</v>
      </c>
      <c r="C124" s="315">
        <v>0</v>
      </c>
      <c r="D124" s="315">
        <v>0</v>
      </c>
    </row>
    <row r="125" spans="1:4" ht="33.75" customHeight="1">
      <c r="A125" s="314" t="s">
        <v>664</v>
      </c>
      <c r="B125" s="315">
        <v>0</v>
      </c>
      <c r="C125" s="315">
        <v>0</v>
      </c>
      <c r="D125" s="315">
        <v>0</v>
      </c>
    </row>
    <row r="126" spans="1:4" ht="39.75" customHeight="1">
      <c r="A126" s="316" t="s">
        <v>665</v>
      </c>
      <c r="B126" s="317">
        <f>SUM(B107:B125)</f>
        <v>847</v>
      </c>
      <c r="C126" s="317">
        <v>0</v>
      </c>
      <c r="D126" s="317">
        <f>SUM(D107:D125)</f>
        <v>5577</v>
      </c>
    </row>
    <row r="127" spans="1:4" ht="33.75" customHeight="1">
      <c r="A127" s="314" t="s">
        <v>666</v>
      </c>
      <c r="B127" s="315">
        <v>0</v>
      </c>
      <c r="C127" s="315">
        <v>0</v>
      </c>
      <c r="D127" s="315">
        <v>0</v>
      </c>
    </row>
    <row r="128" spans="1:4" ht="47.25" customHeight="1">
      <c r="A128" s="314" t="s">
        <v>667</v>
      </c>
      <c r="B128" s="315">
        <v>0</v>
      </c>
      <c r="C128" s="315">
        <v>0</v>
      </c>
      <c r="D128" s="315">
        <v>0</v>
      </c>
    </row>
    <row r="129" spans="1:4" ht="33" customHeight="1">
      <c r="A129" s="314" t="s">
        <v>668</v>
      </c>
      <c r="B129" s="315">
        <v>0</v>
      </c>
      <c r="C129" s="315">
        <v>0</v>
      </c>
      <c r="D129" s="315">
        <v>0</v>
      </c>
    </row>
    <row r="130" spans="1:4" ht="33.75" customHeight="1">
      <c r="A130" s="314" t="s">
        <v>669</v>
      </c>
      <c r="B130" s="315">
        <v>0</v>
      </c>
      <c r="C130" s="315">
        <v>0</v>
      </c>
      <c r="D130" s="315">
        <v>0</v>
      </c>
    </row>
    <row r="131" spans="1:4" ht="36" customHeight="1">
      <c r="A131" s="318" t="s">
        <v>670</v>
      </c>
      <c r="B131" s="315">
        <v>22</v>
      </c>
      <c r="C131" s="315">
        <v>0</v>
      </c>
      <c r="D131" s="315">
        <v>0</v>
      </c>
    </row>
    <row r="132" spans="1:4" ht="51">
      <c r="A132" s="314" t="s">
        <v>671</v>
      </c>
      <c r="B132" s="315">
        <v>0</v>
      </c>
      <c r="C132" s="315">
        <v>0</v>
      </c>
      <c r="D132" s="315">
        <v>0</v>
      </c>
    </row>
    <row r="133" spans="1:4" ht="25.5">
      <c r="A133" s="314" t="s">
        <v>672</v>
      </c>
      <c r="B133" s="315">
        <v>0</v>
      </c>
      <c r="C133" s="315">
        <v>0</v>
      </c>
      <c r="D133" s="315">
        <v>0</v>
      </c>
    </row>
    <row r="134" spans="1:4" ht="32.25" customHeight="1">
      <c r="A134" s="314" t="s">
        <v>673</v>
      </c>
      <c r="B134" s="315">
        <v>0</v>
      </c>
      <c r="C134" s="315">
        <v>0</v>
      </c>
      <c r="D134" s="315">
        <v>0</v>
      </c>
    </row>
    <row r="135" spans="1:4" ht="31.5" customHeight="1">
      <c r="A135" s="318" t="s">
        <v>674</v>
      </c>
      <c r="B135" s="315">
        <v>0</v>
      </c>
      <c r="C135" s="315">
        <v>0</v>
      </c>
      <c r="D135" s="315">
        <v>0</v>
      </c>
    </row>
    <row r="136" spans="1:4" ht="63" customHeight="1">
      <c r="A136" s="314" t="s">
        <v>675</v>
      </c>
      <c r="B136" s="315">
        <v>0</v>
      </c>
      <c r="C136" s="315">
        <v>0</v>
      </c>
      <c r="D136" s="315">
        <v>0</v>
      </c>
    </row>
    <row r="137" spans="1:4" ht="36" customHeight="1">
      <c r="A137" s="318" t="s">
        <v>676</v>
      </c>
      <c r="B137" s="315">
        <f>B138+B139</f>
        <v>243505</v>
      </c>
      <c r="C137" s="315">
        <v>0</v>
      </c>
      <c r="D137" s="315">
        <f>D138+D139</f>
        <v>230527</v>
      </c>
    </row>
    <row r="138" spans="1:4" ht="45" customHeight="1">
      <c r="A138" s="314" t="s">
        <v>677</v>
      </c>
      <c r="B138" s="315">
        <v>10169</v>
      </c>
      <c r="C138" s="315">
        <v>0</v>
      </c>
      <c r="D138" s="315">
        <v>12023</v>
      </c>
    </row>
    <row r="139" spans="1:4" ht="42" customHeight="1">
      <c r="A139" s="314" t="s">
        <v>678</v>
      </c>
      <c r="B139" s="315">
        <v>233336</v>
      </c>
      <c r="C139" s="315">
        <v>0</v>
      </c>
      <c r="D139" s="315">
        <v>218504</v>
      </c>
    </row>
    <row r="140" spans="1:4" ht="48" customHeight="1">
      <c r="A140" s="314" t="s">
        <v>679</v>
      </c>
      <c r="B140" s="315">
        <v>0</v>
      </c>
      <c r="C140" s="315">
        <v>0</v>
      </c>
      <c r="D140" s="315">
        <v>0</v>
      </c>
    </row>
    <row r="141" spans="1:4" ht="45" customHeight="1">
      <c r="A141" s="314" t="s">
        <v>680</v>
      </c>
      <c r="B141" s="315">
        <v>0</v>
      </c>
      <c r="C141" s="315">
        <v>0</v>
      </c>
      <c r="D141" s="315">
        <v>0</v>
      </c>
    </row>
    <row r="142" spans="1:4" ht="48.75" customHeight="1">
      <c r="A142" s="314" t="s">
        <v>681</v>
      </c>
      <c r="B142" s="315">
        <v>0</v>
      </c>
      <c r="C142" s="315">
        <v>0</v>
      </c>
      <c r="D142" s="315">
        <v>0</v>
      </c>
    </row>
    <row r="143" spans="1:4" ht="45" customHeight="1">
      <c r="A143" s="314" t="s">
        <v>682</v>
      </c>
      <c r="B143" s="315">
        <v>0</v>
      </c>
      <c r="C143" s="315">
        <v>0</v>
      </c>
      <c r="D143" s="315">
        <v>0</v>
      </c>
    </row>
    <row r="144" spans="1:4" ht="45.75" customHeight="1">
      <c r="A144" s="314" t="s">
        <v>683</v>
      </c>
      <c r="B144" s="315">
        <v>0</v>
      </c>
      <c r="C144" s="315">
        <v>0</v>
      </c>
      <c r="D144" s="315">
        <v>0</v>
      </c>
    </row>
    <row r="145" spans="1:4" ht="45.75" customHeight="1">
      <c r="A145" s="314" t="s">
        <v>684</v>
      </c>
      <c r="B145" s="315">
        <v>0</v>
      </c>
      <c r="C145" s="315">
        <v>0</v>
      </c>
      <c r="D145" s="315">
        <v>0</v>
      </c>
    </row>
    <row r="146" spans="1:4" ht="36" customHeight="1">
      <c r="A146" s="316" t="s">
        <v>685</v>
      </c>
      <c r="B146" s="317">
        <f>B127+B128+B129+B130+B131+B133+B134+B135+B137</f>
        <v>243527</v>
      </c>
      <c r="C146" s="317">
        <v>0</v>
      </c>
      <c r="D146" s="317">
        <f>D127+D128+D129+D130+D131+D133+D134+D135+D137</f>
        <v>230527</v>
      </c>
    </row>
    <row r="147" spans="1:4">
      <c r="A147" s="314" t="s">
        <v>686</v>
      </c>
      <c r="B147" s="315">
        <v>8482</v>
      </c>
      <c r="C147" s="315">
        <v>0</v>
      </c>
      <c r="D147" s="315">
        <v>15220</v>
      </c>
    </row>
    <row r="148" spans="1:4" ht="39" customHeight="1">
      <c r="A148" s="314" t="s">
        <v>687</v>
      </c>
      <c r="B148" s="315">
        <v>0</v>
      </c>
      <c r="C148" s="315">
        <v>0</v>
      </c>
      <c r="D148" s="315">
        <v>0</v>
      </c>
    </row>
    <row r="149" spans="1:4" ht="25.5">
      <c r="A149" s="314" t="s">
        <v>688</v>
      </c>
      <c r="B149" s="315">
        <v>410</v>
      </c>
      <c r="C149" s="315">
        <v>0</v>
      </c>
      <c r="D149" s="315">
        <v>388</v>
      </c>
    </row>
    <row r="150" spans="1:4">
      <c r="A150" s="314" t="s">
        <v>689</v>
      </c>
      <c r="B150" s="315">
        <v>0</v>
      </c>
      <c r="C150" s="315">
        <v>0</v>
      </c>
      <c r="D150" s="315">
        <v>0</v>
      </c>
    </row>
    <row r="151" spans="1:4" ht="44.25" customHeight="1">
      <c r="A151" s="314" t="s">
        <v>690</v>
      </c>
      <c r="B151" s="315">
        <v>0</v>
      </c>
      <c r="C151" s="315">
        <v>0</v>
      </c>
      <c r="D151" s="315">
        <v>0</v>
      </c>
    </row>
    <row r="152" spans="1:4" ht="43.5" customHeight="1">
      <c r="A152" s="314" t="s">
        <v>691</v>
      </c>
      <c r="B152" s="315">
        <v>0</v>
      </c>
      <c r="C152" s="315">
        <v>0</v>
      </c>
      <c r="D152" s="315">
        <v>0</v>
      </c>
    </row>
    <row r="153" spans="1:4" ht="36" customHeight="1">
      <c r="A153" s="314" t="s">
        <v>692</v>
      </c>
      <c r="B153" s="315">
        <v>0</v>
      </c>
      <c r="C153" s="315">
        <v>0</v>
      </c>
      <c r="D153" s="315">
        <v>0</v>
      </c>
    </row>
    <row r="154" spans="1:4" ht="30" customHeight="1">
      <c r="A154" s="318" t="s">
        <v>693</v>
      </c>
      <c r="B154" s="315">
        <v>28049</v>
      </c>
      <c r="C154" s="315"/>
      <c r="D154" s="315">
        <v>28049</v>
      </c>
    </row>
    <row r="155" spans="1:4" ht="32.25" customHeight="1">
      <c r="A155" s="316" t="s">
        <v>694</v>
      </c>
      <c r="B155" s="317">
        <f>SUM(B147:B154)</f>
        <v>36941</v>
      </c>
      <c r="C155" s="317">
        <v>0</v>
      </c>
      <c r="D155" s="317">
        <f>SUM(D147:D154)</f>
        <v>43657</v>
      </c>
    </row>
    <row r="156" spans="1:4">
      <c r="A156" s="316" t="s">
        <v>695</v>
      </c>
      <c r="B156" s="317">
        <f>B126+B146+B155</f>
        <v>281315</v>
      </c>
      <c r="C156" s="317">
        <v>0</v>
      </c>
      <c r="D156" s="317">
        <f>D126+D146+D155</f>
        <v>279761</v>
      </c>
    </row>
    <row r="157" spans="1:4" ht="39.75" customHeight="1">
      <c r="A157" s="316" t="s">
        <v>696</v>
      </c>
      <c r="B157" s="317">
        <v>0</v>
      </c>
      <c r="C157" s="317">
        <v>0</v>
      </c>
      <c r="D157" s="317">
        <v>0</v>
      </c>
    </row>
    <row r="158" spans="1:4" ht="40.5" customHeight="1">
      <c r="A158" s="318" t="s">
        <v>697</v>
      </c>
      <c r="B158" s="315">
        <v>0</v>
      </c>
      <c r="C158" s="315">
        <v>0</v>
      </c>
      <c r="D158" s="315">
        <v>0</v>
      </c>
    </row>
    <row r="159" spans="1:4" ht="25.5">
      <c r="A159" s="318" t="s">
        <v>698</v>
      </c>
      <c r="B159" s="315">
        <v>31958</v>
      </c>
      <c r="C159" s="315">
        <v>0</v>
      </c>
      <c r="D159" s="315">
        <v>30866</v>
      </c>
    </row>
    <row r="160" spans="1:4">
      <c r="A160" s="318" t="s">
        <v>699</v>
      </c>
      <c r="B160" s="315">
        <v>2002898</v>
      </c>
      <c r="C160" s="315">
        <v>0</v>
      </c>
      <c r="D160" s="315">
        <v>1919380</v>
      </c>
    </row>
    <row r="161" spans="1:5" ht="29.25" customHeight="1">
      <c r="A161" s="316" t="s">
        <v>700</v>
      </c>
      <c r="B161" s="317">
        <f>B160+B159</f>
        <v>2034856</v>
      </c>
      <c r="C161" s="317">
        <v>0</v>
      </c>
      <c r="D161" s="317">
        <f>SUM(D158:D160)</f>
        <v>1950246</v>
      </c>
    </row>
    <row r="162" spans="1:5">
      <c r="A162" s="316" t="s">
        <v>701</v>
      </c>
      <c r="B162" s="317">
        <f>B106+B156+B157+B161</f>
        <v>5729072</v>
      </c>
      <c r="C162" s="317">
        <f>C105</f>
        <v>0</v>
      </c>
      <c r="D162" s="317">
        <f>D106+D156+D157+D161</f>
        <v>5628461</v>
      </c>
      <c r="E162" s="108"/>
    </row>
    <row r="163" spans="1:5">
      <c r="B163" s="319"/>
      <c r="C163" s="319"/>
      <c r="D163" s="319"/>
    </row>
    <row r="164" spans="1:5">
      <c r="E164" s="108"/>
    </row>
  </sheetData>
  <mergeCells count="2">
    <mergeCell ref="A4:E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81"/>
  <sheetViews>
    <sheetView workbookViewId="0">
      <selection activeCell="A3" sqref="A3"/>
    </sheetView>
  </sheetViews>
  <sheetFormatPr defaultRowHeight="12.75"/>
  <cols>
    <col min="1" max="1" width="29.42578125" customWidth="1"/>
    <col min="2" max="2" width="15.28515625" customWidth="1"/>
    <col min="3" max="3" width="15" customWidth="1"/>
    <col min="4" max="4" width="14.7109375" customWidth="1"/>
    <col min="5" max="5" width="13.7109375" customWidth="1"/>
    <col min="6" max="6" width="13.85546875" customWidth="1"/>
    <col min="7" max="7" width="14.7109375" customWidth="1"/>
    <col min="8" max="8" width="16" customWidth="1"/>
    <col min="9" max="9" width="14.42578125" customWidth="1"/>
    <col min="10" max="10" width="13.7109375" customWidth="1"/>
  </cols>
  <sheetData>
    <row r="1" spans="1:12" ht="24" customHeight="1">
      <c r="A1" s="3" t="s">
        <v>502</v>
      </c>
      <c r="B1" s="320"/>
      <c r="E1" s="321" t="s">
        <v>702</v>
      </c>
      <c r="G1" s="322"/>
      <c r="H1" s="322"/>
    </row>
    <row r="2" spans="1:12">
      <c r="A2" s="3" t="s">
        <v>542</v>
      </c>
    </row>
    <row r="3" spans="1:12">
      <c r="A3" s="3"/>
    </row>
    <row r="4" spans="1:12">
      <c r="A4" s="3"/>
    </row>
    <row r="5" spans="1:12">
      <c r="A5" s="219" t="s">
        <v>703</v>
      </c>
      <c r="B5" s="219"/>
      <c r="C5" s="219"/>
      <c r="D5" s="219"/>
      <c r="E5" s="219"/>
      <c r="F5" s="219"/>
      <c r="G5" s="219"/>
      <c r="H5" s="219"/>
      <c r="I5" s="322"/>
      <c r="J5" s="322"/>
    </row>
    <row r="6" spans="1:12" ht="18.600000000000001" customHeight="1">
      <c r="A6" s="219" t="s">
        <v>704</v>
      </c>
      <c r="B6" s="219"/>
      <c r="C6" s="219"/>
      <c r="D6" s="219"/>
      <c r="E6" s="219"/>
      <c r="F6" s="219"/>
      <c r="G6" s="219"/>
      <c r="H6" s="219"/>
      <c r="I6" s="322"/>
      <c r="J6" s="322"/>
      <c r="K6" s="323"/>
      <c r="L6" s="323"/>
    </row>
    <row r="7" spans="1:12" ht="22.9" customHeight="1">
      <c r="A7" s="118"/>
      <c r="B7" s="324"/>
      <c r="C7" s="219" t="s">
        <v>705</v>
      </c>
      <c r="D7" s="219"/>
      <c r="E7" s="219"/>
      <c r="F7" s="219"/>
      <c r="G7" s="324"/>
      <c r="H7" s="324"/>
      <c r="I7" s="324"/>
      <c r="J7" s="324"/>
      <c r="K7" s="323"/>
      <c r="L7" s="323"/>
    </row>
    <row r="8" spans="1:12" ht="22.9" customHeight="1">
      <c r="A8" s="118"/>
      <c r="B8" s="324"/>
      <c r="C8" s="220"/>
      <c r="D8" s="220"/>
      <c r="E8" s="220"/>
      <c r="F8" s="220"/>
      <c r="G8" s="324"/>
      <c r="H8" s="324"/>
      <c r="I8" s="324"/>
      <c r="J8" s="324"/>
      <c r="K8" s="323"/>
      <c r="L8" s="323"/>
    </row>
    <row r="9" spans="1:12">
      <c r="A9" s="118"/>
      <c r="B9" s="118"/>
      <c r="C9" s="118"/>
      <c r="D9" s="118"/>
      <c r="E9" s="118"/>
      <c r="F9" s="118"/>
      <c r="G9" s="118"/>
      <c r="H9" s="118"/>
      <c r="I9" s="325"/>
      <c r="J9" s="325"/>
    </row>
    <row r="10" spans="1:12">
      <c r="A10" s="118"/>
      <c r="B10" s="118"/>
      <c r="C10" s="326" t="s">
        <v>706</v>
      </c>
      <c r="D10" s="326"/>
      <c r="E10" s="326"/>
      <c r="F10" s="326"/>
      <c r="G10" s="322"/>
      <c r="H10" s="118"/>
      <c r="I10" s="325"/>
    </row>
    <row r="11" spans="1:12">
      <c r="A11" s="118"/>
      <c r="B11" s="118"/>
      <c r="C11" s="327"/>
      <c r="D11" s="327"/>
      <c r="E11" s="327"/>
      <c r="F11" s="327"/>
      <c r="G11" s="322"/>
      <c r="H11" s="118"/>
      <c r="I11" s="325"/>
    </row>
    <row r="12" spans="1:12">
      <c r="A12" s="118"/>
      <c r="B12" s="118"/>
      <c r="C12" s="327"/>
      <c r="D12" s="327"/>
      <c r="E12" s="327"/>
      <c r="F12" s="327"/>
      <c r="G12" s="322"/>
      <c r="H12" s="328" t="s">
        <v>707</v>
      </c>
      <c r="I12" s="325"/>
    </row>
    <row r="13" spans="1:12">
      <c r="A13" s="329" t="s">
        <v>708</v>
      </c>
      <c r="B13" s="330" t="s">
        <v>709</v>
      </c>
      <c r="C13" s="330" t="s">
        <v>710</v>
      </c>
      <c r="D13" s="330">
        <v>2020</v>
      </c>
      <c r="E13" s="330">
        <v>2021</v>
      </c>
      <c r="F13" s="330">
        <v>2022</v>
      </c>
      <c r="G13" s="330">
        <v>2023</v>
      </c>
      <c r="H13" s="330">
        <v>2024</v>
      </c>
    </row>
    <row r="14" spans="1:12" ht="22.5">
      <c r="A14" s="331" t="s">
        <v>711</v>
      </c>
      <c r="B14" s="332">
        <v>19776000</v>
      </c>
      <c r="C14" s="332">
        <v>19776000</v>
      </c>
      <c r="D14" s="332">
        <v>19776000</v>
      </c>
      <c r="E14" s="332">
        <v>19776000</v>
      </c>
      <c r="F14" s="332">
        <v>19776000</v>
      </c>
      <c r="G14" s="332">
        <v>19776000</v>
      </c>
      <c r="H14" s="332">
        <v>19776000</v>
      </c>
    </row>
    <row r="15" spans="1:12" ht="22.5">
      <c r="A15" s="331" t="s">
        <v>712</v>
      </c>
      <c r="B15" s="332">
        <v>9084000</v>
      </c>
      <c r="C15" s="332">
        <v>8223000</v>
      </c>
      <c r="D15" s="332">
        <v>7382000</v>
      </c>
      <c r="E15" s="332">
        <v>6531000</v>
      </c>
      <c r="F15" s="332">
        <v>5680000</v>
      </c>
      <c r="G15" s="332">
        <v>4829000</v>
      </c>
      <c r="H15" s="332">
        <v>3977000</v>
      </c>
    </row>
    <row r="16" spans="1:12" ht="26.25" customHeight="1">
      <c r="A16" s="333" t="s">
        <v>713</v>
      </c>
      <c r="B16" s="334">
        <f t="shared" ref="B16:H16" si="0">SUM(B14:B15)</f>
        <v>28860000</v>
      </c>
      <c r="C16" s="334">
        <f t="shared" si="0"/>
        <v>27999000</v>
      </c>
      <c r="D16" s="334">
        <f t="shared" si="0"/>
        <v>27158000</v>
      </c>
      <c r="E16" s="334">
        <f t="shared" si="0"/>
        <v>26307000</v>
      </c>
      <c r="F16" s="334">
        <f t="shared" si="0"/>
        <v>25456000</v>
      </c>
      <c r="G16" s="334">
        <f t="shared" si="0"/>
        <v>24605000</v>
      </c>
      <c r="H16" s="334">
        <f t="shared" si="0"/>
        <v>23753000</v>
      </c>
    </row>
    <row r="17" spans="1:10" ht="24" customHeight="1">
      <c r="A17" s="335"/>
      <c r="B17" s="336"/>
      <c r="C17" s="336"/>
      <c r="D17" s="336"/>
      <c r="E17" s="336"/>
      <c r="F17" s="336"/>
      <c r="G17" s="336"/>
      <c r="H17" s="336"/>
      <c r="I17" s="337"/>
    </row>
    <row r="18" spans="1:10" ht="24" customHeight="1">
      <c r="A18" s="329" t="s">
        <v>708</v>
      </c>
      <c r="B18" s="330">
        <v>2025</v>
      </c>
      <c r="C18" s="330">
        <v>2026</v>
      </c>
      <c r="D18" s="330">
        <v>2027</v>
      </c>
      <c r="E18" s="330">
        <v>2028</v>
      </c>
      <c r="F18" s="330">
        <v>2029</v>
      </c>
      <c r="G18" s="330" t="s">
        <v>714</v>
      </c>
      <c r="H18" s="337"/>
    </row>
    <row r="19" spans="1:10" ht="24" customHeight="1">
      <c r="A19" s="331" t="s">
        <v>715</v>
      </c>
      <c r="B19" s="332">
        <v>19776000</v>
      </c>
      <c r="C19" s="332">
        <v>19776000</v>
      </c>
      <c r="D19" s="332">
        <v>19776000</v>
      </c>
      <c r="E19" s="332">
        <v>19776000</v>
      </c>
      <c r="F19" s="332">
        <f>968344+4944000</f>
        <v>5912344</v>
      </c>
      <c r="G19" s="338">
        <f>B14+C14+D14+E14+F14+G14+H14+B19+C19+D19+E19+F19</f>
        <v>223448344</v>
      </c>
    </row>
    <row r="20" spans="1:10" ht="24" customHeight="1">
      <c r="A20" s="331" t="s">
        <v>712</v>
      </c>
      <c r="B20" s="339">
        <v>3126000</v>
      </c>
      <c r="C20" s="339">
        <v>2275000</v>
      </c>
      <c r="D20" s="339">
        <v>1424000</v>
      </c>
      <c r="E20" s="339">
        <v>573000</v>
      </c>
      <c r="F20" s="340">
        <v>10000</v>
      </c>
      <c r="G20" s="338">
        <f>B15+C15+D15+E15+F15+G15+H15+B20+C20+D20+E20+F20</f>
        <v>53114000</v>
      </c>
    </row>
    <row r="21" spans="1:10" ht="24" customHeight="1">
      <c r="A21" s="333" t="s">
        <v>713</v>
      </c>
      <c r="B21" s="334">
        <f t="shared" ref="B21:G21" si="1">SUM(B19:B20)</f>
        <v>22902000</v>
      </c>
      <c r="C21" s="334">
        <f t="shared" si="1"/>
        <v>22051000</v>
      </c>
      <c r="D21" s="334">
        <f t="shared" si="1"/>
        <v>21200000</v>
      </c>
      <c r="E21" s="334">
        <f t="shared" si="1"/>
        <v>20349000</v>
      </c>
      <c r="F21" s="334">
        <f t="shared" si="1"/>
        <v>5922344</v>
      </c>
      <c r="G21" s="334">
        <f t="shared" si="1"/>
        <v>276562344</v>
      </c>
    </row>
    <row r="22" spans="1:10" ht="24" customHeight="1">
      <c r="A22" s="335"/>
      <c r="B22" s="341"/>
      <c r="C22" s="341"/>
      <c r="D22" s="341"/>
      <c r="E22" s="341"/>
      <c r="F22" s="341"/>
      <c r="G22" s="341"/>
      <c r="H22" s="341"/>
    </row>
    <row r="23" spans="1:10" ht="24" customHeight="1">
      <c r="A23" s="335"/>
      <c r="B23" s="341"/>
      <c r="C23" s="341"/>
      <c r="D23" s="341"/>
      <c r="E23" s="341"/>
      <c r="F23" s="341"/>
      <c r="G23" s="341"/>
      <c r="H23" s="341"/>
    </row>
    <row r="24" spans="1:10" ht="24" customHeight="1">
      <c r="A24" s="335"/>
      <c r="B24" s="341"/>
      <c r="C24" s="341"/>
      <c r="D24" s="341"/>
      <c r="E24" s="341"/>
      <c r="F24" s="341"/>
      <c r="G24" s="341"/>
      <c r="H24" s="341"/>
    </row>
    <row r="25" spans="1:10" ht="24" customHeight="1">
      <c r="A25" s="118"/>
      <c r="B25" s="118"/>
      <c r="C25" s="326" t="s">
        <v>716</v>
      </c>
      <c r="D25" s="326"/>
      <c r="E25" s="326"/>
      <c r="F25" s="326"/>
      <c r="G25" s="342"/>
      <c r="H25" s="118"/>
      <c r="I25" s="325"/>
      <c r="J25" s="337"/>
    </row>
    <row r="26" spans="1:10" ht="12" customHeight="1">
      <c r="A26" s="118"/>
      <c r="B26" s="118"/>
      <c r="C26" s="327"/>
      <c r="D26" s="327"/>
      <c r="E26" s="327"/>
      <c r="F26" s="327"/>
      <c r="G26" s="342"/>
      <c r="H26" s="118"/>
      <c r="I26" s="325"/>
      <c r="J26" s="337"/>
    </row>
    <row r="27" spans="1:10">
      <c r="A27" s="118"/>
      <c r="B27" s="118"/>
      <c r="C27" s="118"/>
      <c r="D27" s="118"/>
      <c r="E27" s="118"/>
      <c r="F27" s="118"/>
      <c r="G27" s="118"/>
      <c r="H27" s="328" t="s">
        <v>707</v>
      </c>
      <c r="J27" s="325"/>
    </row>
    <row r="28" spans="1:10">
      <c r="A28" s="343" t="s">
        <v>717</v>
      </c>
      <c r="B28" s="330" t="s">
        <v>709</v>
      </c>
      <c r="C28" s="330" t="s">
        <v>710</v>
      </c>
      <c r="D28" s="330">
        <v>2020</v>
      </c>
      <c r="E28" s="330">
        <v>2021</v>
      </c>
      <c r="F28" s="330">
        <v>2022</v>
      </c>
      <c r="G28" s="330">
        <v>2023</v>
      </c>
      <c r="H28" s="330">
        <v>2024</v>
      </c>
    </row>
    <row r="29" spans="1:10">
      <c r="A29" s="331" t="s">
        <v>718</v>
      </c>
      <c r="B29" s="344">
        <v>135100000</v>
      </c>
      <c r="C29" s="344">
        <v>135100000</v>
      </c>
      <c r="D29" s="344">
        <v>135100000</v>
      </c>
      <c r="E29" s="344">
        <v>135100000</v>
      </c>
      <c r="F29" s="344">
        <v>135100000</v>
      </c>
      <c r="G29" s="344">
        <v>135100000</v>
      </c>
      <c r="H29" s="344">
        <v>135100000</v>
      </c>
    </row>
    <row r="30" spans="1:10" ht="23.25" customHeight="1">
      <c r="A30" s="331" t="s">
        <v>719</v>
      </c>
      <c r="B30" s="344">
        <v>0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</row>
    <row r="31" spans="1:10" ht="27" customHeight="1">
      <c r="A31" s="331" t="s">
        <v>720</v>
      </c>
      <c r="B31" s="344">
        <v>16433000</v>
      </c>
      <c r="C31" s="344">
        <v>16433000</v>
      </c>
      <c r="D31" s="344">
        <v>16433000</v>
      </c>
      <c r="E31" s="344">
        <v>16433000</v>
      </c>
      <c r="F31" s="344">
        <v>16433000</v>
      </c>
      <c r="G31" s="344">
        <v>16433000</v>
      </c>
      <c r="H31" s="344">
        <v>16433000</v>
      </c>
    </row>
    <row r="32" spans="1:10" ht="33.75">
      <c r="A32" s="331" t="s">
        <v>721</v>
      </c>
      <c r="B32" s="339">
        <v>10000000</v>
      </c>
      <c r="C32" s="339">
        <v>0</v>
      </c>
      <c r="D32" s="339">
        <v>0</v>
      </c>
      <c r="E32" s="339">
        <v>0</v>
      </c>
      <c r="F32" s="339">
        <v>0</v>
      </c>
      <c r="G32" s="339">
        <v>0</v>
      </c>
      <c r="H32" s="339">
        <v>0</v>
      </c>
    </row>
    <row r="33" spans="1:10" ht="16.149999999999999" customHeight="1">
      <c r="A33" s="331" t="s">
        <v>722</v>
      </c>
      <c r="B33" s="344">
        <v>700000</v>
      </c>
      <c r="C33" s="344">
        <v>700000</v>
      </c>
      <c r="D33" s="344">
        <v>700000</v>
      </c>
      <c r="E33" s="344">
        <v>700000</v>
      </c>
      <c r="F33" s="344">
        <v>700000</v>
      </c>
      <c r="G33" s="344">
        <v>700000</v>
      </c>
      <c r="H33" s="344">
        <v>700000</v>
      </c>
    </row>
    <row r="34" spans="1:10" ht="23.25" customHeight="1">
      <c r="A34" s="331" t="s">
        <v>723</v>
      </c>
      <c r="B34" s="339">
        <v>0</v>
      </c>
      <c r="C34" s="339">
        <v>0</v>
      </c>
      <c r="D34" s="339">
        <v>0</v>
      </c>
      <c r="E34" s="339">
        <v>0</v>
      </c>
      <c r="F34" s="339">
        <v>0</v>
      </c>
      <c r="G34" s="339">
        <v>0</v>
      </c>
      <c r="H34" s="339">
        <v>0</v>
      </c>
    </row>
    <row r="35" spans="1:10">
      <c r="A35" s="345" t="s">
        <v>713</v>
      </c>
      <c r="B35" s="334">
        <f>SUM(B29:B34)</f>
        <v>162233000</v>
      </c>
      <c r="C35" s="334">
        <f t="shared" ref="C35:H35" si="2">SUM(C29:C34)</f>
        <v>152233000</v>
      </c>
      <c r="D35" s="334">
        <f t="shared" si="2"/>
        <v>152233000</v>
      </c>
      <c r="E35" s="334">
        <f t="shared" si="2"/>
        <v>152233000</v>
      </c>
      <c r="F35" s="334">
        <f t="shared" si="2"/>
        <v>152233000</v>
      </c>
      <c r="G35" s="334">
        <f t="shared" si="2"/>
        <v>152233000</v>
      </c>
      <c r="H35" s="334">
        <f t="shared" si="2"/>
        <v>152233000</v>
      </c>
    </row>
    <row r="36" spans="1:10" ht="22.5" customHeight="1">
      <c r="A36" s="346"/>
      <c r="B36" s="118"/>
      <c r="C36" s="118"/>
      <c r="D36" s="118"/>
      <c r="E36" s="118"/>
      <c r="F36" s="118"/>
      <c r="G36" s="118"/>
      <c r="H36" s="118"/>
    </row>
    <row r="37" spans="1:10" ht="27.75" customHeight="1">
      <c r="A37" s="343" t="s">
        <v>717</v>
      </c>
      <c r="B37" s="330">
        <v>2025</v>
      </c>
      <c r="C37" s="330">
        <v>2026</v>
      </c>
      <c r="D37" s="330">
        <v>2027</v>
      </c>
      <c r="E37" s="330">
        <v>2028</v>
      </c>
      <c r="F37" s="330">
        <v>2029</v>
      </c>
      <c r="G37" s="330" t="s">
        <v>714</v>
      </c>
    </row>
    <row r="38" spans="1:10">
      <c r="A38" s="331" t="s">
        <v>718</v>
      </c>
      <c r="B38" s="344">
        <v>135100000</v>
      </c>
      <c r="C38" s="344">
        <v>135100000</v>
      </c>
      <c r="D38" s="344">
        <v>135100000</v>
      </c>
      <c r="E38" s="344">
        <v>135100000</v>
      </c>
      <c r="F38" s="344">
        <v>135100000</v>
      </c>
      <c r="G38" s="338">
        <f>B29+C29+D29+E29+F29+G29+H29+B38+C38+D38+E38+F38</f>
        <v>1621200000</v>
      </c>
      <c r="H38" s="347"/>
    </row>
    <row r="39" spans="1:10" ht="22.5">
      <c r="A39" s="331" t="s">
        <v>719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  <c r="G39" s="338">
        <f>B3</f>
        <v>0</v>
      </c>
      <c r="H39" s="348"/>
    </row>
    <row r="40" spans="1:10" ht="22.5">
      <c r="A40" s="331" t="s">
        <v>720</v>
      </c>
      <c r="B40" s="344">
        <v>16433000</v>
      </c>
      <c r="C40" s="344">
        <v>16433000</v>
      </c>
      <c r="D40" s="344">
        <v>16433000</v>
      </c>
      <c r="E40" s="344">
        <v>16433000</v>
      </c>
      <c r="F40" s="344">
        <v>16433000</v>
      </c>
      <c r="G40" s="338">
        <f>B31+C31+D31+E31+F31+G31+H31+B40+C40+D40+E40+F40</f>
        <v>197196000</v>
      </c>
      <c r="H40" s="349"/>
    </row>
    <row r="41" spans="1:10" ht="33.75">
      <c r="A41" s="331" t="s">
        <v>721</v>
      </c>
      <c r="B41" s="339">
        <v>0</v>
      </c>
      <c r="C41" s="339">
        <v>0</v>
      </c>
      <c r="D41" s="339">
        <v>0</v>
      </c>
      <c r="E41" s="339">
        <v>0</v>
      </c>
      <c r="F41" s="339">
        <v>0</v>
      </c>
      <c r="G41" s="339">
        <v>10000000</v>
      </c>
      <c r="H41" s="350"/>
    </row>
    <row r="42" spans="1:10">
      <c r="A42" s="331" t="s">
        <v>722</v>
      </c>
      <c r="B42" s="344">
        <v>700000</v>
      </c>
      <c r="C42" s="344">
        <v>700000</v>
      </c>
      <c r="D42" s="344">
        <v>700000</v>
      </c>
      <c r="E42" s="344">
        <v>700000</v>
      </c>
      <c r="F42" s="344">
        <v>700000</v>
      </c>
      <c r="G42" s="344">
        <f>B33+C33+D33+E33+F33+G33+H33+B42+C42+D42+E42+F42</f>
        <v>8400000</v>
      </c>
      <c r="H42" s="350"/>
    </row>
    <row r="43" spans="1:10" ht="22.5">
      <c r="A43" s="331" t="s">
        <v>723</v>
      </c>
      <c r="B43" s="339">
        <v>0</v>
      </c>
      <c r="C43" s="339">
        <v>0</v>
      </c>
      <c r="D43" s="339">
        <v>0</v>
      </c>
      <c r="E43" s="339">
        <v>0</v>
      </c>
      <c r="F43" s="339">
        <v>0</v>
      </c>
      <c r="G43" s="338">
        <v>0</v>
      </c>
      <c r="H43" s="349"/>
    </row>
    <row r="44" spans="1:10">
      <c r="A44" s="345" t="s">
        <v>713</v>
      </c>
      <c r="B44" s="334">
        <f>SUM(B38:B43)</f>
        <v>152233000</v>
      </c>
      <c r="C44" s="334">
        <f>SUM(C38:C43)</f>
        <v>152233000</v>
      </c>
      <c r="D44" s="334">
        <f>SUM(D38:D43)</f>
        <v>152233000</v>
      </c>
      <c r="E44" s="334">
        <f>SUM(E38:E43)</f>
        <v>152233000</v>
      </c>
      <c r="F44" s="334">
        <f>SUM(F38:F43)</f>
        <v>152233000</v>
      </c>
      <c r="G44" s="334">
        <f>SUM(G38:G42)</f>
        <v>1836796000</v>
      </c>
      <c r="H44" s="350"/>
    </row>
    <row r="45" spans="1:10">
      <c r="A45" s="118"/>
      <c r="B45" s="118"/>
      <c r="C45" s="118"/>
      <c r="D45" s="118"/>
      <c r="E45" s="118"/>
      <c r="F45" s="118"/>
      <c r="G45" s="118"/>
      <c r="H45" s="118"/>
      <c r="J45" s="341"/>
    </row>
    <row r="46" spans="1:10">
      <c r="A46" s="118"/>
      <c r="B46" s="118"/>
      <c r="C46" s="118"/>
      <c r="D46" s="118"/>
      <c r="E46" s="118"/>
      <c r="F46" s="118"/>
      <c r="G46" s="118"/>
      <c r="H46" s="118"/>
    </row>
    <row r="47" spans="1:10">
      <c r="A47" s="118"/>
      <c r="B47" s="118"/>
      <c r="C47" s="118"/>
      <c r="D47" s="118"/>
      <c r="E47" s="118"/>
      <c r="F47" s="118"/>
      <c r="G47" s="118"/>
      <c r="H47" s="118"/>
    </row>
    <row r="48" spans="1:10">
      <c r="A48" s="118"/>
      <c r="B48" s="118"/>
      <c r="C48" s="118"/>
      <c r="D48" s="118"/>
      <c r="E48" s="118"/>
      <c r="F48" s="118"/>
      <c r="G48" s="118"/>
      <c r="H48" s="118"/>
    </row>
    <row r="49" spans="1:8">
      <c r="A49" s="118"/>
      <c r="B49" s="118"/>
      <c r="C49" s="118"/>
      <c r="D49" s="118"/>
      <c r="E49" s="118"/>
      <c r="F49" s="118"/>
      <c r="G49" s="118"/>
      <c r="H49" s="118"/>
    </row>
    <row r="50" spans="1:8">
      <c r="A50" s="118"/>
      <c r="B50" s="118"/>
      <c r="C50" s="118"/>
      <c r="D50" s="118"/>
      <c r="E50" s="118"/>
      <c r="F50" s="118"/>
      <c r="G50" s="118"/>
      <c r="H50" s="118"/>
    </row>
    <row r="51" spans="1:8">
      <c r="A51" s="118"/>
      <c r="B51" s="118"/>
      <c r="C51" s="118"/>
      <c r="D51" s="118"/>
      <c r="E51" s="118"/>
      <c r="F51" s="118"/>
      <c r="G51" s="118"/>
      <c r="H51" s="118"/>
    </row>
    <row r="52" spans="1:8">
      <c r="A52" s="118"/>
      <c r="B52" s="118"/>
      <c r="C52" s="118"/>
      <c r="D52" s="118"/>
      <c r="E52" s="118"/>
      <c r="F52" s="118"/>
      <c r="G52" s="118"/>
      <c r="H52" s="118"/>
    </row>
    <row r="53" spans="1:8">
      <c r="A53" s="118"/>
      <c r="B53" s="118"/>
      <c r="C53" s="118"/>
      <c r="D53" s="118"/>
      <c r="E53" s="118"/>
      <c r="F53" s="118"/>
      <c r="G53" s="118"/>
      <c r="H53" s="118"/>
    </row>
    <row r="54" spans="1:8">
      <c r="A54" s="118"/>
      <c r="B54" s="118"/>
      <c r="C54" s="118"/>
      <c r="D54" s="118"/>
      <c r="E54" s="118"/>
      <c r="F54" s="118"/>
      <c r="G54" s="118"/>
      <c r="H54" s="118"/>
    </row>
    <row r="55" spans="1:8">
      <c r="A55" s="118"/>
      <c r="B55" s="118"/>
      <c r="C55" s="118"/>
      <c r="D55" s="118"/>
      <c r="E55" s="118"/>
      <c r="F55" s="118"/>
      <c r="G55" s="118"/>
      <c r="H55" s="118"/>
    </row>
    <row r="56" spans="1:8">
      <c r="A56" s="118"/>
      <c r="B56" s="118"/>
      <c r="C56" s="118"/>
      <c r="D56" s="118"/>
      <c r="E56" s="118"/>
      <c r="F56" s="118"/>
      <c r="G56" s="118"/>
      <c r="H56" s="118"/>
    </row>
    <row r="57" spans="1:8">
      <c r="A57" s="118"/>
      <c r="B57" s="118"/>
      <c r="C57" s="118"/>
      <c r="D57" s="118"/>
      <c r="E57" s="118"/>
      <c r="F57" s="118"/>
      <c r="G57" s="118"/>
      <c r="H57" s="118"/>
    </row>
    <row r="58" spans="1:8">
      <c r="A58" s="118"/>
      <c r="B58" s="118"/>
      <c r="C58" s="118"/>
      <c r="D58" s="118"/>
      <c r="E58" s="118"/>
      <c r="F58" s="118"/>
      <c r="G58" s="118"/>
      <c r="H58" s="118"/>
    </row>
    <row r="59" spans="1:8">
      <c r="A59" s="118"/>
      <c r="B59" s="118"/>
      <c r="C59" s="118"/>
      <c r="D59" s="118"/>
      <c r="E59" s="118"/>
      <c r="F59" s="118"/>
      <c r="G59" s="118"/>
      <c r="H59" s="118"/>
    </row>
    <row r="60" spans="1:8">
      <c r="A60" s="118"/>
      <c r="B60" s="118"/>
      <c r="C60" s="118"/>
      <c r="D60" s="118"/>
      <c r="E60" s="118"/>
      <c r="F60" s="118"/>
      <c r="G60" s="118"/>
      <c r="H60" s="118"/>
    </row>
    <row r="61" spans="1:8">
      <c r="A61" s="118"/>
      <c r="B61" s="118"/>
      <c r="C61" s="118"/>
      <c r="D61" s="118"/>
      <c r="E61" s="118"/>
      <c r="F61" s="118"/>
      <c r="G61" s="118"/>
      <c r="H61" s="118"/>
    </row>
    <row r="62" spans="1:8">
      <c r="A62" s="118"/>
      <c r="B62" s="118"/>
      <c r="C62" s="118"/>
      <c r="D62" s="118"/>
      <c r="E62" s="118"/>
      <c r="F62" s="118"/>
      <c r="G62" s="118"/>
      <c r="H62" s="118"/>
    </row>
    <row r="63" spans="1:8">
      <c r="A63" s="118"/>
      <c r="B63" s="118"/>
      <c r="C63" s="118"/>
      <c r="D63" s="118"/>
      <c r="E63" s="118"/>
      <c r="F63" s="118"/>
      <c r="G63" s="118"/>
      <c r="H63" s="118"/>
    </row>
    <row r="64" spans="1:8">
      <c r="A64" s="118"/>
      <c r="B64" s="118"/>
      <c r="C64" s="118"/>
      <c r="D64" s="118"/>
      <c r="E64" s="118"/>
      <c r="F64" s="118"/>
      <c r="G64" s="118"/>
      <c r="H64" s="118"/>
    </row>
    <row r="65" spans="1:8">
      <c r="A65" s="118"/>
      <c r="B65" s="118"/>
      <c r="C65" s="118"/>
      <c r="D65" s="118"/>
      <c r="E65" s="118"/>
      <c r="F65" s="118"/>
      <c r="G65" s="118"/>
      <c r="H65" s="118"/>
    </row>
    <row r="66" spans="1:8">
      <c r="A66" s="118"/>
      <c r="B66" s="118"/>
      <c r="C66" s="118"/>
      <c r="D66" s="118"/>
      <c r="E66" s="118"/>
      <c r="F66" s="118"/>
      <c r="G66" s="118"/>
      <c r="H66" s="118"/>
    </row>
    <row r="67" spans="1:8">
      <c r="A67" s="118"/>
      <c r="B67" s="118"/>
      <c r="C67" s="118"/>
      <c r="D67" s="118"/>
      <c r="E67" s="118"/>
      <c r="F67" s="118"/>
      <c r="G67" s="118"/>
      <c r="H67" s="118"/>
    </row>
    <row r="68" spans="1:8">
      <c r="A68" s="118"/>
      <c r="B68" s="118"/>
      <c r="C68" s="118"/>
      <c r="D68" s="118"/>
      <c r="E68" s="118"/>
      <c r="F68" s="118"/>
      <c r="G68" s="118"/>
      <c r="H68" s="118"/>
    </row>
    <row r="69" spans="1:8">
      <c r="A69" s="118"/>
      <c r="B69" s="118"/>
      <c r="C69" s="118"/>
      <c r="D69" s="118"/>
      <c r="E69" s="118"/>
      <c r="F69" s="118"/>
      <c r="G69" s="118"/>
      <c r="H69" s="118"/>
    </row>
    <row r="70" spans="1:8">
      <c r="A70" s="118"/>
      <c r="B70" s="118"/>
      <c r="C70" s="118"/>
      <c r="D70" s="118"/>
      <c r="E70" s="118"/>
      <c r="F70" s="118"/>
      <c r="G70" s="118"/>
      <c r="H70" s="118"/>
    </row>
    <row r="71" spans="1:8">
      <c r="A71" s="118"/>
      <c r="B71" s="118"/>
      <c r="C71" s="118"/>
      <c r="D71" s="118"/>
      <c r="E71" s="118"/>
      <c r="F71" s="118"/>
      <c r="G71" s="118"/>
      <c r="H71" s="118"/>
    </row>
    <row r="72" spans="1:8">
      <c r="A72" s="118"/>
      <c r="B72" s="118"/>
      <c r="C72" s="118"/>
      <c r="D72" s="118"/>
      <c r="E72" s="118"/>
      <c r="F72" s="118"/>
      <c r="G72" s="118"/>
      <c r="H72" s="118"/>
    </row>
    <row r="73" spans="1:8">
      <c r="A73" s="118"/>
      <c r="B73" s="118"/>
      <c r="C73" s="118"/>
      <c r="D73" s="118"/>
      <c r="E73" s="118"/>
      <c r="F73" s="118"/>
      <c r="G73" s="118"/>
      <c r="H73" s="118"/>
    </row>
    <row r="74" spans="1:8">
      <c r="A74" s="118"/>
      <c r="B74" s="118"/>
      <c r="C74" s="118"/>
      <c r="D74" s="118"/>
      <c r="E74" s="118"/>
      <c r="F74" s="118"/>
      <c r="G74" s="118"/>
      <c r="H74" s="118"/>
    </row>
    <row r="75" spans="1:8">
      <c r="A75" s="118"/>
      <c r="B75" s="118"/>
      <c r="C75" s="118"/>
      <c r="D75" s="118"/>
      <c r="E75" s="118"/>
      <c r="F75" s="118"/>
      <c r="G75" s="118"/>
      <c r="H75" s="118"/>
    </row>
    <row r="76" spans="1:8">
      <c r="A76" s="118"/>
      <c r="B76" s="118"/>
      <c r="C76" s="118"/>
      <c r="D76" s="118"/>
      <c r="E76" s="118"/>
      <c r="F76" s="118"/>
      <c r="G76" s="118"/>
      <c r="H76" s="118"/>
    </row>
    <row r="77" spans="1:8">
      <c r="A77" s="118"/>
      <c r="B77" s="118"/>
      <c r="C77" s="118"/>
      <c r="D77" s="118"/>
      <c r="E77" s="118"/>
      <c r="F77" s="118"/>
      <c r="G77" s="118"/>
      <c r="H77" s="118"/>
    </row>
    <row r="78" spans="1:8">
      <c r="A78" s="118"/>
      <c r="B78" s="118"/>
      <c r="C78" s="118"/>
      <c r="D78" s="118"/>
      <c r="E78" s="118"/>
      <c r="F78" s="118"/>
      <c r="G78" s="118"/>
      <c r="H78" s="118"/>
    </row>
    <row r="79" spans="1:8">
      <c r="A79" s="118"/>
      <c r="B79" s="118"/>
      <c r="C79" s="118"/>
      <c r="D79" s="118"/>
      <c r="E79" s="118"/>
      <c r="F79" s="118"/>
      <c r="G79" s="118"/>
      <c r="H79" s="118"/>
    </row>
    <row r="80" spans="1:8">
      <c r="A80" s="118"/>
      <c r="B80" s="118"/>
      <c r="C80" s="118"/>
      <c r="D80" s="118"/>
      <c r="E80" s="118"/>
      <c r="F80" s="118"/>
      <c r="G80" s="118"/>
      <c r="H80" s="118"/>
    </row>
    <row r="81" spans="1:8">
      <c r="A81" s="118"/>
      <c r="B81" s="118"/>
      <c r="C81" s="118"/>
      <c r="D81" s="118"/>
      <c r="E81" s="118"/>
      <c r="F81" s="118"/>
      <c r="G81" s="118"/>
      <c r="H81" s="118"/>
    </row>
  </sheetData>
  <mergeCells count="5">
    <mergeCell ref="A5:H5"/>
    <mergeCell ref="A6:H6"/>
    <mergeCell ref="C7:F7"/>
    <mergeCell ref="C10:F10"/>
    <mergeCell ref="C25:F25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rendelet</vt:lpstr>
      <vt:lpstr>bevételek</vt:lpstr>
      <vt:lpstr>kiadások</vt:lpstr>
      <vt:lpstr>3_melléklet</vt:lpstr>
      <vt:lpstr>4_ melléklet</vt:lpstr>
      <vt:lpstr>5_melléklet</vt:lpstr>
      <vt:lpstr>6_melléklet</vt:lpstr>
      <vt:lpstr>7_melléklet</vt:lpstr>
      <vt:lpstr>8_melléklet</vt:lpstr>
      <vt:lpstr>9_melléklet</vt:lpstr>
      <vt:lpstr>10_melléklet</vt:lpstr>
      <vt:lpstr>11_sz_melléklet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2018-02-26T08:25:20Z</dcterms:created>
  <dcterms:modified xsi:type="dcterms:W3CDTF">2018-02-26T08:25:36Z</dcterms:modified>
</cp:coreProperties>
</file>