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5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5" i="1"/>
  <c r="B16" i="1"/>
  <c r="B18" i="1"/>
  <c r="B24" i="1"/>
  <c r="B27" i="1"/>
  <c r="B33" i="1"/>
  <c r="B42" i="1" s="1"/>
  <c r="B40" i="1"/>
  <c r="B48" i="1"/>
  <c r="B52" i="1"/>
  <c r="B53" i="1" s="1"/>
  <c r="B55" i="1" s="1"/>
  <c r="B60" i="1"/>
  <c r="B61" i="1"/>
  <c r="B63" i="1"/>
  <c r="B64" i="1"/>
  <c r="B67" i="1"/>
  <c r="B72" i="1"/>
  <c r="B73" i="1" s="1"/>
  <c r="B75" i="1" s="1"/>
  <c r="B79" i="1"/>
  <c r="B81" i="1"/>
  <c r="B83" i="1"/>
  <c r="B85" i="1"/>
  <c r="B87" i="1"/>
  <c r="B88" i="1"/>
  <c r="B90" i="1" s="1"/>
  <c r="B99" i="1"/>
  <c r="B100" i="1" s="1"/>
  <c r="B102" i="1" s="1"/>
  <c r="B111" i="1"/>
  <c r="B113" i="1"/>
  <c r="B114" i="1" s="1"/>
  <c r="B116" i="1"/>
  <c r="B127" i="1" s="1"/>
  <c r="B117" i="1"/>
  <c r="B121" i="1"/>
  <c r="B129" i="1" s="1"/>
  <c r="B131" i="1" s="1"/>
  <c r="B125" i="1"/>
  <c r="B126" i="1"/>
  <c r="B128" i="1"/>
  <c r="B135" i="1"/>
  <c r="B137" i="1"/>
  <c r="B145" i="1"/>
  <c r="B149" i="1"/>
  <c r="B166" i="1" s="1"/>
  <c r="B152" i="1"/>
  <c r="B154" i="1"/>
  <c r="B164" i="1" s="1"/>
  <c r="B156" i="1"/>
  <c r="B158" i="1"/>
  <c r="B160" i="1"/>
  <c r="B162" i="1"/>
  <c r="B163" i="1"/>
  <c r="B179" i="1"/>
  <c r="B181" i="1"/>
  <c r="B184" i="1"/>
  <c r="B207" i="1" s="1"/>
  <c r="B189" i="1"/>
  <c r="B190" i="1"/>
  <c r="B194" i="1" s="1"/>
  <c r="B196" i="1" s="1"/>
  <c r="B191" i="1"/>
  <c r="B193" i="1"/>
  <c r="B201" i="1"/>
  <c r="B202" i="1"/>
  <c r="B204" i="1" s="1"/>
  <c r="B206" i="1"/>
  <c r="B209" i="1"/>
  <c r="B220" i="1"/>
  <c r="B226" i="1"/>
  <c r="B227" i="1"/>
  <c r="B229" i="1"/>
  <c r="B235" i="1"/>
  <c r="B239" i="1"/>
  <c r="B242" i="1"/>
  <c r="B244" i="1"/>
  <c r="B248" i="1" s="1"/>
  <c r="B254" i="1"/>
  <c r="B261" i="1"/>
  <c r="B266" i="1" s="1"/>
  <c r="B263" i="1"/>
  <c r="B264" i="1"/>
  <c r="B272" i="1"/>
  <c r="B277" i="1" s="1"/>
  <c r="B275" i="1"/>
  <c r="B282" i="1"/>
  <c r="B287" i="1" s="1"/>
  <c r="B285" i="1"/>
  <c r="B290" i="1"/>
  <c r="B292" i="1"/>
  <c r="B294" i="1"/>
  <c r="B295" i="1" s="1"/>
  <c r="B301" i="1"/>
  <c r="B304" i="1" s="1"/>
  <c r="B302" i="1"/>
  <c r="B303" i="1"/>
  <c r="B306" i="1"/>
  <c r="B308" i="1" s="1"/>
  <c r="B307" i="1"/>
  <c r="B310" i="1"/>
  <c r="B311" i="1"/>
  <c r="B312" i="1"/>
  <c r="B329" i="1"/>
  <c r="B330" i="1"/>
  <c r="B331" i="1"/>
  <c r="B336" i="1" s="1"/>
  <c r="B333" i="1"/>
  <c r="B334" i="1"/>
  <c r="B335" i="1"/>
  <c r="B339" i="1"/>
  <c r="B341" i="1"/>
  <c r="B343" i="1"/>
  <c r="B344" i="1"/>
  <c r="B346" i="1"/>
  <c r="B349" i="1"/>
  <c r="B355" i="1"/>
  <c r="B366" i="1" s="1"/>
  <c r="B361" i="1"/>
  <c r="B372" i="1"/>
  <c r="B376" i="1"/>
  <c r="B377" i="1" s="1"/>
  <c r="B389" i="1" s="1"/>
  <c r="B379" i="1"/>
  <c r="B383" i="1" s="1"/>
  <c r="B386" i="1"/>
  <c r="B387" i="1" s="1"/>
  <c r="B393" i="1"/>
  <c r="B399" i="1" s="1"/>
  <c r="B397" i="1"/>
  <c r="B401" i="1"/>
  <c r="B405" i="1" s="1"/>
  <c r="B408" i="1"/>
  <c r="B417" i="1" s="1"/>
  <c r="B411" i="1"/>
  <c r="B424" i="1"/>
  <c r="B428" i="1"/>
  <c r="B430" i="1" s="1"/>
  <c r="B432" i="1"/>
  <c r="B436" i="1" s="1"/>
  <c r="B439" i="1"/>
  <c r="B450" i="1" s="1"/>
  <c r="B442" i="1"/>
  <c r="B449" i="1"/>
  <c r="B457" i="1"/>
  <c r="B458" i="1"/>
  <c r="B460" i="1" s="1"/>
  <c r="B469" i="1"/>
  <c r="B470" i="1" s="1"/>
  <c r="B492" i="1" s="1"/>
  <c r="B472" i="1"/>
  <c r="B476" i="1" s="1"/>
  <c r="B482" i="1"/>
  <c r="B489" i="1" s="1"/>
  <c r="B490" i="1" s="1"/>
  <c r="B499" i="1"/>
  <c r="B500" i="1" s="1"/>
  <c r="B503" i="1"/>
  <c r="B507" i="1" s="1"/>
  <c r="B511" i="1"/>
  <c r="B512" i="1" s="1"/>
  <c r="B518" i="1"/>
  <c r="B522" i="1"/>
  <c r="B523" i="1"/>
  <c r="B543" i="1" s="1"/>
  <c r="B525" i="1"/>
  <c r="B529" i="1" s="1"/>
  <c r="B534" i="1"/>
  <c r="B540" i="1"/>
  <c r="B541" i="1"/>
  <c r="B563" i="1"/>
  <c r="B565" i="1"/>
  <c r="B567" i="1"/>
  <c r="B569" i="1" s="1"/>
  <c r="B577" i="1"/>
  <c r="B578" i="1"/>
  <c r="B580" i="1" s="1"/>
  <c r="B587" i="1"/>
  <c r="B591" i="1"/>
  <c r="B596" i="1"/>
  <c r="B603" i="1" s="1"/>
  <c r="B601" i="1"/>
  <c r="B616" i="1"/>
  <c r="B618" i="1"/>
  <c r="B619" i="1"/>
  <c r="B626" i="1" s="1"/>
  <c r="B623" i="1"/>
  <c r="B624" i="1" s="1"/>
  <c r="B632" i="1"/>
  <c r="B633" i="1"/>
  <c r="B635" i="1"/>
  <c r="B637" i="1"/>
  <c r="B656" i="1" s="1"/>
  <c r="B639" i="1"/>
  <c r="B649" i="1" s="1"/>
  <c r="B642" i="1"/>
  <c r="B650" i="1" s="1"/>
  <c r="B655" i="1"/>
  <c r="B652" i="1" l="1"/>
  <c r="B514" i="1"/>
  <c r="B420" i="1"/>
  <c r="B297" i="1"/>
  <c r="B267" i="1"/>
  <c r="B319" i="1"/>
  <c r="B44" i="1"/>
  <c r="B548" i="1"/>
  <c r="B571" i="1"/>
  <c r="B368" i="1"/>
  <c r="B452" i="1"/>
  <c r="B547" i="1"/>
  <c r="B314" i="1"/>
  <c r="B318" i="1"/>
  <c r="B604" i="1"/>
  <c r="B606" i="1" s="1"/>
  <c r="B418" i="1"/>
  <c r="B546" i="1"/>
  <c r="B317" i="1"/>
  <c r="B320" i="1" s="1"/>
  <c r="B91" i="1"/>
  <c r="B208" i="1" s="1"/>
  <c r="B210" i="1" s="1"/>
  <c r="B549" i="1" l="1"/>
  <c r="B93" i="1"/>
  <c r="B657" i="1"/>
  <c r="B658" i="1" s="1"/>
</calcChain>
</file>

<file path=xl/sharedStrings.xml><?xml version="1.0" encoding="utf-8"?>
<sst xmlns="http://schemas.openxmlformats.org/spreadsheetml/2006/main" count="496" uniqueCount="111">
  <si>
    <t>"</t>
  </si>
  <si>
    <r>
      <t xml:space="preserve">NAGYSZÉNÁSI ÖNKORMÁNYZATI ÓVODA ÉS KÖNYVTÁR  ÖSSZESEN: (20 fő közalk. + 1 fő részm. alk. +  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</si>
  <si>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</si>
  <si>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</si>
  <si>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</si>
  <si>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</si>
  <si>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</si>
  <si>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Működési célú előzetesen felszámított általános forgalmi adó</t>
  </si>
  <si>
    <t>Egyéb szolgáltatások</t>
  </si>
  <si>
    <t>Szakmai tevékenységet segítő szolgáltatások</t>
  </si>
  <si>
    <t>Karbantartás, kisjavítás</t>
  </si>
  <si>
    <t xml:space="preserve">         víz- és csatornadíj</t>
  </si>
  <si>
    <t xml:space="preserve">         villamosenergia díjak</t>
  </si>
  <si>
    <t>ebből: gázenergia díjak</t>
  </si>
  <si>
    <t>Közüzemi díjak</t>
  </si>
  <si>
    <t>Egyéb kommunikációs szolgáltatások</t>
  </si>
  <si>
    <t>Üzemeltetési anyagok beszerzése</t>
  </si>
  <si>
    <t>Szakmai anyagok beszerzése</t>
  </si>
  <si>
    <t>Táppénzhozzájárulás</t>
  </si>
  <si>
    <t>Szociális hozzájárulási adó</t>
  </si>
  <si>
    <t>Foglalkoztatottak egyéb személyi juttatásai</t>
  </si>
  <si>
    <t>Egyéb költségtérítések</t>
  </si>
  <si>
    <t>Törvény szerinti illetmények (1 fő + 1 fő részmunkaidős)</t>
  </si>
  <si>
    <t>082042 Könyvtári állomány gyarapítása, nyilvántartása</t>
  </si>
  <si>
    <t>Jubileumi jutalom</t>
  </si>
  <si>
    <t>Nem saját foglalkoztatottak juttatásai</t>
  </si>
  <si>
    <t>Közlekedési költségtérítés</t>
  </si>
  <si>
    <t>Törvény szerinti illetmények  (13 fő)</t>
  </si>
  <si>
    <t>091110  Óvodai nevelés, ellátás szakmai feladatai</t>
  </si>
  <si>
    <t xml:space="preserve">         termálhő díja</t>
  </si>
  <si>
    <t>Informatikai szolgáltatások igénybevétele</t>
  </si>
  <si>
    <t>Törvény szerinti illetmények (6 fő)</t>
  </si>
  <si>
    <t>091140  Óvodai nevelés, ellátás működtetési feladatai</t>
  </si>
  <si>
    <t>Vásárolt élelmezés-Iskola</t>
  </si>
  <si>
    <t>Vásárolt élelmezés-Óvoda</t>
  </si>
  <si>
    <t>096015 Gyermekétkeztetés köznevelési intézményekben</t>
  </si>
  <si>
    <t>Törvény szerinti illetmények (4 fő időszakosan)</t>
  </si>
  <si>
    <t xml:space="preserve">041233  Hosszabb időtartamú közfoglalkoztatás </t>
  </si>
  <si>
    <t>Kötelező önkormányzati feladatok</t>
  </si>
  <si>
    <t>NAGYSZÉNÁSI ÖNKORMÁNYZATI ÓVODA ÉS KÖNYVTÁR</t>
  </si>
  <si>
    <r>
      <t xml:space="preserve">GONDOZÁSI KÖZPONT ÖSSZESEN: ( 33 fő közalk. + 1 fő részm. közalk. + 1 fő közalkalmazott 2019.07.01.-től + 1 fő részmunkaidős MT. alkalmazott + 24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</si>
  <si>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Munkadókat terhelő egyéb járulék kötelezettségek</t>
  </si>
  <si>
    <t>Egészségügyi hozzájárulás</t>
  </si>
  <si>
    <t>Céljuttatás, projektprémium</t>
  </si>
  <si>
    <t>Törvény szerinti illetmények (12 fő)</t>
  </si>
  <si>
    <t>107052 Házi segítségnyújtás</t>
  </si>
  <si>
    <t>Vásárolt élelmezés</t>
  </si>
  <si>
    <t>107051 Szociális étkeztetés</t>
  </si>
  <si>
    <t xml:space="preserve">          távhő</t>
  </si>
  <si>
    <t>Törvény szerinti illetmények (2 fő + 1 fő félévtől)</t>
  </si>
  <si>
    <t>104042 Család- és gyermekjóléti szolgáltatások</t>
  </si>
  <si>
    <t>104035 Gyermekétkezetés bölcsődében</t>
  </si>
  <si>
    <t>Törvény szerinti illetmények (9 fő)</t>
  </si>
  <si>
    <t xml:space="preserve">104031 Gyermekek bölcsődei ellátása </t>
  </si>
  <si>
    <t>Szociális gondozó</t>
  </si>
  <si>
    <t>Törvény szerinti illetmények (6 fő + 1 fő részmunkaidős Mt. foglalkoztatott)</t>
  </si>
  <si>
    <t>102031 Idősek nappali ellátása</t>
  </si>
  <si>
    <t>Törvény szerinti illetmények (1 fő)</t>
  </si>
  <si>
    <t>074032 Ifjúság-egészségügyi gondozás</t>
  </si>
  <si>
    <t>Egyéb dologi kiadások</t>
  </si>
  <si>
    <t>Közvetített szolgáltatások</t>
  </si>
  <si>
    <t xml:space="preserve">          termálhő</t>
  </si>
  <si>
    <t>Törvény szerinti illetmények (2 fő)</t>
  </si>
  <si>
    <t>074031 Család és nővédelmi egészségügyi gondozás</t>
  </si>
  <si>
    <t>Törvény szerinti illetmények (23 fő támogatott foglalkoztatott)</t>
  </si>
  <si>
    <t>041233  Hosszabb időtartamú közfoglalkoztatás + GINOP + Megváltozott munkaképességűek foglalkoztatása</t>
  </si>
  <si>
    <t>GONDOZÁSI KÖZPONT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</si>
  <si>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MT</t>
    </r>
    <r>
      <rPr>
        <b/>
        <u/>
        <sz val="8"/>
        <rFont val="Arial CE"/>
        <family val="2"/>
        <charset val="238"/>
      </rPr>
      <t>. alkalmazott, 2 fő támogatott foglalkoztatott időszakosan)</t>
    </r>
  </si>
  <si>
    <t>Reprezentáció</t>
  </si>
  <si>
    <t>Egyéb külső személyi juttatások</t>
  </si>
  <si>
    <t>016010 Országgyűlési, önkormányzati, európai parlamenti választások lebonyolítása</t>
  </si>
  <si>
    <t>Törvény szerinti illetmények (1 fő támogatott foglalkoztatott)</t>
  </si>
  <si>
    <t>Törvény szerinti illetmények</t>
  </si>
  <si>
    <t>092120 Köznevelési intézmények 5-8. évfolyamán tanulók nevelésével, oktatásával összefüggő feladat.</t>
  </si>
  <si>
    <t>Fizetendő általános forgalmi adó</t>
  </si>
  <si>
    <t>Bérleti és lízingdíjak</t>
  </si>
  <si>
    <t>ebből: termálhő díja</t>
  </si>
  <si>
    <t>Béren kívüli juttatások</t>
  </si>
  <si>
    <t>Törvény szerinti illetmények (20 fő és  1 fő támogatott foglalkoztatott időszakosan)</t>
  </si>
  <si>
    <t>011130 Önkormányzatok és  önkormányzati hivatalok jogalkotó és általános igazgatási tevékenysége</t>
  </si>
  <si>
    <t>Államigazgatási feladatok</t>
  </si>
  <si>
    <t>066020 Város- és községgazdálkodási egyéb szolgáltatások</t>
  </si>
  <si>
    <t>POLGÁRMESTERI HIVATAL</t>
  </si>
  <si>
    <r>
      <t xml:space="preserve">NAGYSZÉNÁS NAGYKÖZSÉG ÖNKORMÁNYZATA ÖSSZESEN:      (polgármester, 14 fő MT szerinti alkalmazott,  2 fő MT. alkalmazozott              4 hónapra,  6 fő MT. szerinti alkamazott március 1-től, 34  </t>
    </r>
    <r>
      <rPr>
        <b/>
        <u/>
        <sz val="8"/>
        <rFont val="Arial CE"/>
        <charset val="238"/>
      </rPr>
      <t xml:space="preserve">fő tám. fogl. </t>
    </r>
  </si>
  <si>
    <t>PÉNZESZKÖZ ÁTADÁS, EGYÉB TÁMOGATÁS:</t>
  </si>
  <si>
    <t>Üzemeltetési  anyagok beszerzése (téli rezsi csökkentés fűtőanyag)</t>
  </si>
  <si>
    <t>107060 Egyéb szociális pénzbeli és természetbeni ellátások, támogatások</t>
  </si>
  <si>
    <t>Kamatkiadások</t>
  </si>
  <si>
    <t>Választott tisztségviselők juttatásai</t>
  </si>
  <si>
    <t>Törvény szerinti illetmények (diákmunkások)</t>
  </si>
  <si>
    <t>Reklám és propaganda kiadások</t>
  </si>
  <si>
    <t>Törvény szerinti illetmények (14 fő + 2 fő szezonális alk.)</t>
  </si>
  <si>
    <t>081061 Szabadidős park, fürdő és strandszolgáltatás (termálhő szolgáltatása)</t>
  </si>
  <si>
    <t>Egyéb dologi kiadások (víziközművek biztosítása)</t>
  </si>
  <si>
    <t>063080 Vízellátással kapcsolatos közmű építése, fenntartása, üzemeltetése</t>
  </si>
  <si>
    <t xml:space="preserve">066020 Város-, és községgazdálkodási egyéb szolgáltatások </t>
  </si>
  <si>
    <t>Önként vállalt önkormányzati feladatok</t>
  </si>
  <si>
    <t>104037 Intézményen kívüli gyermekétkeztetés</t>
  </si>
  <si>
    <t>Törvény szerinti illetmények (30 fő)</t>
  </si>
  <si>
    <t>041237  Startmunka program</t>
  </si>
  <si>
    <t xml:space="preserve">         vízdíj</t>
  </si>
  <si>
    <t>Törvény szerinti illetmények (4 fő)</t>
  </si>
  <si>
    <t>041233  Hosszabb időtartamú közfoglalkoztatás</t>
  </si>
  <si>
    <t>072311 Fogorvosi alapellátás</t>
  </si>
  <si>
    <t>072111 Házi orvosi alapellátás</t>
  </si>
  <si>
    <t xml:space="preserve"> ebből: villamosenergia díjak</t>
  </si>
  <si>
    <t>064010 Közvilágítás</t>
  </si>
  <si>
    <t>NAGYSZÉNÁS NAGYKÖZSÉG ÖNKORMÁNYZATA</t>
  </si>
  <si>
    <t>2019. évi működési kiadások (adatok Ft-ban)</t>
  </si>
  <si>
    <t>"5. melléklet a 2/2019. (II.13.) önkormányzati rendelethez</t>
  </si>
  <si>
    <t>5. melléklet a 3/2020.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</si>
</sst>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sz val="10"/>
      <name val="Arial"/>
      <charset val="238"/>
    </font>
    <font>
      <sz val="8"/>
      <name val="Arial CE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 CE"/>
      <charset val="238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i/>
      <sz val="8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0" fillId="0" borderId="0"/>
    <xf numFmtId="0" fontId="20" fillId="0" borderId="0"/>
  </cellStyleXfs>
  <cellXfs count="8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Font="1"/>
    <xf numFmtId="0" fontId="4" fillId="0" borderId="0" xfId="0" applyFont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3" fontId="2" fillId="0" borderId="0" xfId="0" applyNumberFormat="1" applyFont="1"/>
    <xf numFmtId="0" fontId="7" fillId="0" borderId="0" xfId="0" applyFont="1" applyFill="1" applyBorder="1" applyAlignment="1"/>
    <xf numFmtId="3" fontId="0" fillId="0" borderId="0" xfId="0" applyNumberFormat="1" applyFont="1"/>
    <xf numFmtId="3" fontId="5" fillId="0" borderId="0" xfId="0" applyNumberFormat="1" applyFont="1"/>
    <xf numFmtId="3" fontId="8" fillId="0" borderId="0" xfId="0" applyNumberFormat="1" applyFont="1"/>
    <xf numFmtId="0" fontId="9" fillId="0" borderId="0" xfId="0" applyFont="1" applyBorder="1"/>
    <xf numFmtId="0" fontId="2" fillId="0" borderId="0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horizontal="right"/>
    </xf>
    <xf numFmtId="0" fontId="5" fillId="0" borderId="0" xfId="2" applyFont="1" applyBorder="1"/>
    <xf numFmtId="3" fontId="5" fillId="0" borderId="0" xfId="2" applyNumberFormat="1" applyFont="1" applyFill="1" applyBorder="1"/>
    <xf numFmtId="3" fontId="2" fillId="0" borderId="0" xfId="2" applyNumberFormat="1" applyFont="1" applyFill="1" applyBorder="1"/>
    <xf numFmtId="3" fontId="6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11" fillId="0" borderId="0" xfId="0" applyFont="1" applyBorder="1"/>
    <xf numFmtId="3" fontId="5" fillId="0" borderId="0" xfId="1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6" fillId="0" borderId="0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6" fillId="3" borderId="2" xfId="0" applyFont="1" applyFill="1" applyBorder="1" applyAlignment="1">
      <alignment horizontal="center" wrapText="1"/>
    </xf>
    <xf numFmtId="0" fontId="12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/>
    <xf numFmtId="0" fontId="3" fillId="0" borderId="0" xfId="0" applyFont="1" applyBorder="1" applyAlignment="1"/>
    <xf numFmtId="3" fontId="0" fillId="0" borderId="0" xfId="0" applyNumberFormat="1"/>
    <xf numFmtId="3" fontId="2" fillId="0" borderId="0" xfId="1" applyNumberFormat="1" applyFont="1" applyAlignment="1">
      <alignment horizontal="right"/>
    </xf>
    <xf numFmtId="4" fontId="4" fillId="0" borderId="0" xfId="0" applyNumberFormat="1" applyFont="1"/>
    <xf numFmtId="0" fontId="3" fillId="3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Fill="1" applyBorder="1" applyAlignment="1">
      <alignment wrapText="1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18" fillId="0" borderId="0" xfId="0" applyFont="1" applyBorder="1"/>
    <xf numFmtId="3" fontId="18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3" fontId="3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right"/>
    </xf>
    <xf numFmtId="0" fontId="0" fillId="0" borderId="0" xfId="0" applyFont="1" applyAlignment="1"/>
    <xf numFmtId="3" fontId="6" fillId="0" borderId="0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21" fillId="0" borderId="0" xfId="3" applyFont="1" applyFill="1" applyBorder="1" applyAlignment="1">
      <alignment horizontal="center"/>
    </xf>
    <xf numFmtId="3" fontId="5" fillId="0" borderId="0" xfId="0" applyNumberFormat="1" applyFont="1" applyBorder="1" applyAlignment="1"/>
    <xf numFmtId="3" fontId="2" fillId="0" borderId="0" xfId="0" applyNumberFormat="1" applyFont="1" applyBorder="1" applyAlignment="1"/>
    <xf numFmtId="0" fontId="7" fillId="3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3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9%20.%20&#233;vi%20k&#246;lts&#233;gvet&#233;s%20m&#243;dos&#237;t&#225;s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_melléklet"/>
    </sheetNames>
    <sheetDataSet>
      <sheetData sheetId="0">
        <row r="64">
          <cell r="B64">
            <v>1400000</v>
          </cell>
        </row>
        <row r="70">
          <cell r="B70">
            <v>150000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68285207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Finanszírozá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7"/>
  <sheetViews>
    <sheetView tabSelected="1" workbookViewId="0">
      <selection activeCell="A2" sqref="A2:B2"/>
    </sheetView>
  </sheetViews>
  <sheetFormatPr defaultRowHeight="12.75" x14ac:dyDescent="0.2"/>
  <cols>
    <col min="1" max="1" width="59" customWidth="1"/>
    <col min="2" max="2" width="23.42578125" customWidth="1"/>
    <col min="3" max="3" width="4.42578125" customWidth="1"/>
  </cols>
  <sheetData>
    <row r="1" spans="1:2" x14ac:dyDescent="0.2">
      <c r="A1" s="83" t="s">
        <v>110</v>
      </c>
      <c r="B1" s="83"/>
    </row>
    <row r="2" spans="1:2" x14ac:dyDescent="0.2">
      <c r="A2" s="82" t="s">
        <v>109</v>
      </c>
      <c r="B2" s="81"/>
    </row>
    <row r="3" spans="1:2" x14ac:dyDescent="0.2">
      <c r="A3" s="2"/>
      <c r="B3" s="2"/>
    </row>
    <row r="4" spans="1:2" x14ac:dyDescent="0.2">
      <c r="A4" s="80" t="s">
        <v>108</v>
      </c>
      <c r="B4" s="80"/>
    </row>
    <row r="5" spans="1:2" x14ac:dyDescent="0.2">
      <c r="A5" s="2"/>
      <c r="B5" s="2"/>
    </row>
    <row r="6" spans="1:2" x14ac:dyDescent="0.2">
      <c r="A6" s="80" t="s">
        <v>107</v>
      </c>
      <c r="B6" s="80"/>
    </row>
    <row r="7" spans="1:2" x14ac:dyDescent="0.2">
      <c r="A7" s="79"/>
      <c r="B7" s="2"/>
    </row>
    <row r="8" spans="1:2" x14ac:dyDescent="0.2">
      <c r="A8" s="55" t="s">
        <v>38</v>
      </c>
      <c r="B8" s="55"/>
    </row>
    <row r="9" spans="1:2" x14ac:dyDescent="0.2">
      <c r="A9" s="54"/>
      <c r="B9" s="2"/>
    </row>
    <row r="10" spans="1:2" x14ac:dyDescent="0.2">
      <c r="A10" s="54"/>
      <c r="B10" s="2"/>
    </row>
    <row r="11" spans="1:2" x14ac:dyDescent="0.2">
      <c r="A11" s="43" t="s">
        <v>106</v>
      </c>
      <c r="B11" s="33"/>
    </row>
    <row r="12" spans="1:2" x14ac:dyDescent="0.2">
      <c r="A12" s="21"/>
      <c r="B12" s="31"/>
    </row>
    <row r="13" spans="1:2" x14ac:dyDescent="0.2">
      <c r="A13" s="5" t="s">
        <v>14</v>
      </c>
      <c r="B13" s="13">
        <f>B14</f>
        <v>8300000</v>
      </c>
    </row>
    <row r="14" spans="1:2" x14ac:dyDescent="0.2">
      <c r="A14" s="7" t="s">
        <v>105</v>
      </c>
      <c r="B14" s="13">
        <v>8300000</v>
      </c>
    </row>
    <row r="15" spans="1:2" x14ac:dyDescent="0.2">
      <c r="A15" s="5" t="s">
        <v>7</v>
      </c>
      <c r="B15" s="13">
        <f>B14*0.27</f>
        <v>2241000</v>
      </c>
    </row>
    <row r="16" spans="1:2" x14ac:dyDescent="0.2">
      <c r="A16" s="4" t="s">
        <v>6</v>
      </c>
      <c r="B16" s="10">
        <f>SUM(B13:B15)-B14</f>
        <v>10541000</v>
      </c>
    </row>
    <row r="17" spans="1:2" x14ac:dyDescent="0.2">
      <c r="A17" s="21"/>
      <c r="B17" s="31"/>
    </row>
    <row r="18" spans="1:2" x14ac:dyDescent="0.2">
      <c r="A18" s="11" t="s">
        <v>5</v>
      </c>
      <c r="B18" s="19">
        <f>B16</f>
        <v>10541000</v>
      </c>
    </row>
    <row r="19" spans="1:2" x14ac:dyDescent="0.2">
      <c r="A19" s="11"/>
      <c r="B19" s="19"/>
    </row>
    <row r="20" spans="1:2" x14ac:dyDescent="0.2">
      <c r="A20" s="43" t="s">
        <v>104</v>
      </c>
      <c r="B20" s="33"/>
    </row>
    <row r="21" spans="1:2" x14ac:dyDescent="0.2">
      <c r="A21" s="21"/>
      <c r="B21" s="38"/>
    </row>
    <row r="22" spans="1:2" x14ac:dyDescent="0.2">
      <c r="A22" s="6" t="s">
        <v>72</v>
      </c>
      <c r="B22" s="13">
        <v>72600</v>
      </c>
    </row>
    <row r="23" spans="1:2" x14ac:dyDescent="0.2">
      <c r="A23" s="6" t="s">
        <v>25</v>
      </c>
      <c r="B23" s="13">
        <v>3526216</v>
      </c>
    </row>
    <row r="24" spans="1:2" x14ac:dyDescent="0.2">
      <c r="A24" s="8" t="s">
        <v>4</v>
      </c>
      <c r="B24" s="10">
        <f>SUM(B22:B23)</f>
        <v>3598816</v>
      </c>
    </row>
    <row r="25" spans="1:2" x14ac:dyDescent="0.2">
      <c r="A25" s="6"/>
      <c r="B25" s="13"/>
    </row>
    <row r="26" spans="1:2" x14ac:dyDescent="0.2">
      <c r="A26" s="6" t="s">
        <v>19</v>
      </c>
      <c r="B26" s="13">
        <v>633008</v>
      </c>
    </row>
    <row r="27" spans="1:2" x14ac:dyDescent="0.2">
      <c r="A27" s="8" t="s">
        <v>3</v>
      </c>
      <c r="B27" s="10">
        <f>SUM(B26:B26)</f>
        <v>633008</v>
      </c>
    </row>
    <row r="28" spans="1:2" x14ac:dyDescent="0.2">
      <c r="A28" s="2"/>
      <c r="B28" s="13"/>
    </row>
    <row r="29" spans="1:2" x14ac:dyDescent="0.2">
      <c r="A29" s="6" t="s">
        <v>17</v>
      </c>
      <c r="B29" s="13">
        <v>200000</v>
      </c>
    </row>
    <row r="30" spans="1:2" x14ac:dyDescent="0.2">
      <c r="A30" s="6" t="s">
        <v>16</v>
      </c>
      <c r="B30" s="13">
        <v>500000</v>
      </c>
    </row>
    <row r="31" spans="1:2" x14ac:dyDescent="0.2">
      <c r="A31" s="6" t="s">
        <v>30</v>
      </c>
      <c r="B31" s="13">
        <v>600000</v>
      </c>
    </row>
    <row r="32" spans="1:2" x14ac:dyDescent="0.2">
      <c r="A32" s="7" t="s">
        <v>15</v>
      </c>
      <c r="B32" s="13">
        <v>76000</v>
      </c>
    </row>
    <row r="33" spans="1:2" x14ac:dyDescent="0.2">
      <c r="A33" s="5" t="s">
        <v>14</v>
      </c>
      <c r="B33" s="13">
        <f>SUM(B34:B36)</f>
        <v>371000</v>
      </c>
    </row>
    <row r="34" spans="1:2" x14ac:dyDescent="0.2">
      <c r="A34" s="7" t="s">
        <v>13</v>
      </c>
      <c r="B34" s="13">
        <v>120000</v>
      </c>
    </row>
    <row r="35" spans="1:2" x14ac:dyDescent="0.2">
      <c r="A35" s="7" t="s">
        <v>12</v>
      </c>
      <c r="B35" s="13">
        <v>200000</v>
      </c>
    </row>
    <row r="36" spans="1:2" x14ac:dyDescent="0.2">
      <c r="A36" s="7" t="s">
        <v>11</v>
      </c>
      <c r="B36" s="13">
        <v>51000</v>
      </c>
    </row>
    <row r="37" spans="1:2" x14ac:dyDescent="0.2">
      <c r="A37" s="5" t="s">
        <v>10</v>
      </c>
      <c r="B37" s="13">
        <v>50000</v>
      </c>
    </row>
    <row r="38" spans="1:2" x14ac:dyDescent="0.2">
      <c r="A38" s="5" t="s">
        <v>9</v>
      </c>
      <c r="B38" s="13">
        <v>17050000</v>
      </c>
    </row>
    <row r="39" spans="1:2" x14ac:dyDescent="0.2">
      <c r="A39" s="5" t="s">
        <v>8</v>
      </c>
      <c r="B39" s="13">
        <v>20000</v>
      </c>
    </row>
    <row r="40" spans="1:2" x14ac:dyDescent="0.2">
      <c r="A40" s="5" t="s">
        <v>7</v>
      </c>
      <c r="B40" s="13">
        <f>(B29+B30+B31+B32+B33+B37+B39)*0.27</f>
        <v>490590.00000000006</v>
      </c>
    </row>
    <row r="41" spans="1:2" x14ac:dyDescent="0.2">
      <c r="A41" s="5" t="s">
        <v>59</v>
      </c>
      <c r="B41" s="13">
        <v>100000</v>
      </c>
    </row>
    <row r="42" spans="1:2" x14ac:dyDescent="0.2">
      <c r="A42" s="4" t="s">
        <v>6</v>
      </c>
      <c r="B42" s="10">
        <f>SUM(B29:B41)-B34-B35-B36</f>
        <v>19457590</v>
      </c>
    </row>
    <row r="43" spans="1:2" x14ac:dyDescent="0.2">
      <c r="A43" s="21"/>
      <c r="B43" s="20"/>
    </row>
    <row r="44" spans="1:2" x14ac:dyDescent="0.2">
      <c r="A44" s="11" t="s">
        <v>5</v>
      </c>
      <c r="B44" s="19">
        <f>B24+B27+B42</f>
        <v>23689414</v>
      </c>
    </row>
    <row r="45" spans="1:2" x14ac:dyDescent="0.2">
      <c r="A45" s="7"/>
      <c r="B45" s="74"/>
    </row>
    <row r="46" spans="1:2" x14ac:dyDescent="0.2">
      <c r="A46" s="78" t="s">
        <v>103</v>
      </c>
      <c r="B46" s="33"/>
    </row>
    <row r="47" spans="1:2" x14ac:dyDescent="0.2">
      <c r="A47" s="2"/>
      <c r="B47" s="13"/>
    </row>
    <row r="48" spans="1:2" x14ac:dyDescent="0.2">
      <c r="A48" s="5" t="s">
        <v>14</v>
      </c>
      <c r="B48" s="13">
        <f>SUM(B49:B51)</f>
        <v>124000</v>
      </c>
    </row>
    <row r="49" spans="1:2" x14ac:dyDescent="0.2">
      <c r="A49" s="7" t="s">
        <v>13</v>
      </c>
      <c r="B49" s="13">
        <v>40000</v>
      </c>
    </row>
    <row r="50" spans="1:2" x14ac:dyDescent="0.2">
      <c r="A50" s="7" t="s">
        <v>12</v>
      </c>
      <c r="B50" s="13">
        <v>67000</v>
      </c>
    </row>
    <row r="51" spans="1:2" x14ac:dyDescent="0.2">
      <c r="A51" s="7" t="s">
        <v>11</v>
      </c>
      <c r="B51" s="13">
        <v>17000</v>
      </c>
    </row>
    <row r="52" spans="1:2" x14ac:dyDescent="0.2">
      <c r="A52" s="5" t="s">
        <v>7</v>
      </c>
      <c r="B52" s="13">
        <f>(B48)*0.27</f>
        <v>33480</v>
      </c>
    </row>
    <row r="53" spans="1:2" x14ac:dyDescent="0.2">
      <c r="A53" s="4" t="s">
        <v>6</v>
      </c>
      <c r="B53" s="10">
        <f>SUM(B48:B52)-B49-B50-B51</f>
        <v>157480</v>
      </c>
    </row>
    <row r="54" spans="1:2" x14ac:dyDescent="0.2">
      <c r="A54" s="21"/>
      <c r="B54" s="20"/>
    </row>
    <row r="55" spans="1:2" x14ac:dyDescent="0.2">
      <c r="A55" s="11" t="s">
        <v>5</v>
      </c>
      <c r="B55" s="19">
        <f>B53</f>
        <v>157480</v>
      </c>
    </row>
    <row r="56" spans="1:2" x14ac:dyDescent="0.2">
      <c r="A56" s="11"/>
      <c r="B56" s="19"/>
    </row>
    <row r="57" spans="1:2" x14ac:dyDescent="0.2">
      <c r="A57" s="7"/>
      <c r="B57" s="74"/>
    </row>
    <row r="58" spans="1:2" x14ac:dyDescent="0.2">
      <c r="A58" s="34" t="s">
        <v>102</v>
      </c>
      <c r="B58" s="33"/>
    </row>
    <row r="59" spans="1:2" x14ac:dyDescent="0.2">
      <c r="A59" s="32"/>
      <c r="B59" s="31"/>
    </row>
    <row r="60" spans="1:2" x14ac:dyDescent="0.2">
      <c r="A60" s="6" t="s">
        <v>101</v>
      </c>
      <c r="B60" s="76">
        <f>290672+227118</f>
        <v>517790</v>
      </c>
    </row>
    <row r="61" spans="1:2" x14ac:dyDescent="0.2">
      <c r="A61" s="8" t="s">
        <v>4</v>
      </c>
      <c r="B61" s="77">
        <f>SUM(B60)</f>
        <v>517790</v>
      </c>
    </row>
    <row r="62" spans="1:2" x14ac:dyDescent="0.2">
      <c r="A62" s="32"/>
      <c r="B62" s="76"/>
    </row>
    <row r="63" spans="1:2" x14ac:dyDescent="0.2">
      <c r="A63" s="6" t="s">
        <v>19</v>
      </c>
      <c r="B63" s="76">
        <f>28340+22146</f>
        <v>50486</v>
      </c>
    </row>
    <row r="64" spans="1:2" x14ac:dyDescent="0.2">
      <c r="A64" s="8" t="s">
        <v>3</v>
      </c>
      <c r="B64" s="77">
        <f>SUM(B63)</f>
        <v>50486</v>
      </c>
    </row>
    <row r="65" spans="1:2" x14ac:dyDescent="0.2">
      <c r="A65" s="32"/>
      <c r="B65" s="76"/>
    </row>
    <row r="66" spans="1:2" x14ac:dyDescent="0.2">
      <c r="A66" s="6" t="s">
        <v>16</v>
      </c>
      <c r="B66" s="13">
        <v>200000</v>
      </c>
    </row>
    <row r="67" spans="1:2" x14ac:dyDescent="0.2">
      <c r="A67" s="5" t="s">
        <v>14</v>
      </c>
      <c r="B67" s="13">
        <f>SUM(B68:B70)</f>
        <v>418000</v>
      </c>
    </row>
    <row r="68" spans="1:2" x14ac:dyDescent="0.2">
      <c r="A68" s="7" t="s">
        <v>13</v>
      </c>
      <c r="B68" s="13">
        <v>260000</v>
      </c>
    </row>
    <row r="69" spans="1:2" x14ac:dyDescent="0.2">
      <c r="A69" s="7" t="s">
        <v>12</v>
      </c>
      <c r="B69" s="13">
        <v>118000</v>
      </c>
    </row>
    <row r="70" spans="1:2" x14ac:dyDescent="0.2">
      <c r="A70" s="7" t="s">
        <v>100</v>
      </c>
      <c r="B70" s="13">
        <v>40000</v>
      </c>
    </row>
    <row r="71" spans="1:2" x14ac:dyDescent="0.2">
      <c r="A71" s="5" t="s">
        <v>8</v>
      </c>
      <c r="B71" s="13">
        <v>140000</v>
      </c>
    </row>
    <row r="72" spans="1:2" x14ac:dyDescent="0.2">
      <c r="A72" s="5" t="s">
        <v>7</v>
      </c>
      <c r="B72" s="13">
        <f>(B67+B71+B66)*0.27</f>
        <v>204660</v>
      </c>
    </row>
    <row r="73" spans="1:2" x14ac:dyDescent="0.2">
      <c r="A73" s="4" t="s">
        <v>6</v>
      </c>
      <c r="B73" s="10">
        <f>B67+B71+B72+B66</f>
        <v>962660</v>
      </c>
    </row>
    <row r="74" spans="1:2" x14ac:dyDescent="0.2">
      <c r="A74" s="21"/>
      <c r="B74" s="31"/>
    </row>
    <row r="75" spans="1:2" x14ac:dyDescent="0.2">
      <c r="A75" s="11" t="s">
        <v>5</v>
      </c>
      <c r="B75" s="19">
        <f>B73</f>
        <v>962660</v>
      </c>
    </row>
    <row r="76" spans="1:2" x14ac:dyDescent="0.2">
      <c r="A76" s="32"/>
      <c r="B76" s="31"/>
    </row>
    <row r="77" spans="1:2" x14ac:dyDescent="0.2">
      <c r="A77" s="34" t="s">
        <v>99</v>
      </c>
      <c r="B77" s="33"/>
    </row>
    <row r="78" spans="1:2" x14ac:dyDescent="0.2">
      <c r="A78" s="32"/>
      <c r="B78" s="31"/>
    </row>
    <row r="79" spans="1:2" x14ac:dyDescent="0.2">
      <c r="A79" s="6" t="s">
        <v>98</v>
      </c>
      <c r="B79" s="13">
        <f>30155555+2038255</f>
        <v>32193810</v>
      </c>
    </row>
    <row r="80" spans="1:2" x14ac:dyDescent="0.2">
      <c r="A80" s="6" t="s">
        <v>20</v>
      </c>
      <c r="B80" s="13">
        <v>800000</v>
      </c>
    </row>
    <row r="81" spans="1:2" x14ac:dyDescent="0.2">
      <c r="A81" s="8" t="s">
        <v>4</v>
      </c>
      <c r="B81" s="10">
        <f>SUM(B79:B80)</f>
        <v>32993810</v>
      </c>
    </row>
    <row r="82" spans="1:2" x14ac:dyDescent="0.2">
      <c r="A82" s="6"/>
      <c r="B82" s="13"/>
    </row>
    <row r="83" spans="1:2" x14ac:dyDescent="0.2">
      <c r="A83" s="6" t="s">
        <v>19</v>
      </c>
      <c r="B83" s="13">
        <f>3018167+356695</f>
        <v>3374862</v>
      </c>
    </row>
    <row r="84" spans="1:2" x14ac:dyDescent="0.2">
      <c r="A84" s="6" t="s">
        <v>18</v>
      </c>
      <c r="B84" s="13">
        <v>150000</v>
      </c>
    </row>
    <row r="85" spans="1:2" x14ac:dyDescent="0.2">
      <c r="A85" s="8" t="s">
        <v>3</v>
      </c>
      <c r="B85" s="10">
        <f>SUM(B83:B84)</f>
        <v>3524862</v>
      </c>
    </row>
    <row r="86" spans="1:2" x14ac:dyDescent="0.2">
      <c r="A86" s="2"/>
      <c r="B86" s="13"/>
    </row>
    <row r="87" spans="1:2" x14ac:dyDescent="0.2">
      <c r="A87" s="6" t="s">
        <v>16</v>
      </c>
      <c r="B87" s="13">
        <f>1380000+1520000-B89</f>
        <v>2254000</v>
      </c>
    </row>
    <row r="88" spans="1:2" x14ac:dyDescent="0.2">
      <c r="A88" s="5" t="s">
        <v>46</v>
      </c>
      <c r="B88" s="13">
        <f>111000+79000</f>
        <v>190000</v>
      </c>
    </row>
    <row r="89" spans="1:2" x14ac:dyDescent="0.2">
      <c r="A89" s="5" t="s">
        <v>9</v>
      </c>
      <c r="B89" s="13">
        <v>646000</v>
      </c>
    </row>
    <row r="90" spans="1:2" x14ac:dyDescent="0.2">
      <c r="A90" s="5" t="s">
        <v>7</v>
      </c>
      <c r="B90" s="13">
        <f>(B87+B88+B89)*0.27</f>
        <v>834300</v>
      </c>
    </row>
    <row r="91" spans="1:2" x14ac:dyDescent="0.2">
      <c r="A91" s="4" t="s">
        <v>6</v>
      </c>
      <c r="B91" s="10">
        <f>SUM(B87:B90)</f>
        <v>3924300</v>
      </c>
    </row>
    <row r="92" spans="1:2" x14ac:dyDescent="0.2">
      <c r="A92" s="21"/>
      <c r="B92" s="20"/>
    </row>
    <row r="93" spans="1:2" x14ac:dyDescent="0.2">
      <c r="A93" s="11" t="s">
        <v>5</v>
      </c>
      <c r="B93" s="19">
        <f>B81+B85+B91</f>
        <v>40442972</v>
      </c>
    </row>
    <row r="94" spans="1:2" x14ac:dyDescent="0.2">
      <c r="A94" s="32"/>
      <c r="B94" s="31"/>
    </row>
    <row r="95" spans="1:2" x14ac:dyDescent="0.2">
      <c r="A95" s="43" t="s">
        <v>97</v>
      </c>
      <c r="B95" s="42"/>
    </row>
    <row r="96" spans="1:2" x14ac:dyDescent="0.2">
      <c r="A96" s="11"/>
      <c r="B96" s="19"/>
    </row>
    <row r="97" spans="1:2" x14ac:dyDescent="0.2">
      <c r="A97" s="2"/>
      <c r="B97" s="6"/>
    </row>
    <row r="98" spans="1:2" x14ac:dyDescent="0.2">
      <c r="A98" s="5" t="s">
        <v>46</v>
      </c>
      <c r="B98" s="13">
        <v>1400000</v>
      </c>
    </row>
    <row r="99" spans="1:2" x14ac:dyDescent="0.2">
      <c r="A99" s="5" t="s">
        <v>7</v>
      </c>
      <c r="B99" s="13">
        <f>B98*0.27</f>
        <v>378000</v>
      </c>
    </row>
    <row r="100" spans="1:2" x14ac:dyDescent="0.2">
      <c r="A100" s="4" t="s">
        <v>6</v>
      </c>
      <c r="B100" s="10">
        <f>SUM(B98:B99)</f>
        <v>1778000</v>
      </c>
    </row>
    <row r="101" spans="1:2" x14ac:dyDescent="0.2">
      <c r="A101" s="21"/>
      <c r="B101" s="76"/>
    </row>
    <row r="102" spans="1:2" x14ac:dyDescent="0.2">
      <c r="A102" s="11" t="s">
        <v>5</v>
      </c>
      <c r="B102" s="19">
        <f>B100</f>
        <v>1778000</v>
      </c>
    </row>
    <row r="103" spans="1:2" x14ac:dyDescent="0.2">
      <c r="A103" s="11"/>
      <c r="B103" s="19"/>
    </row>
    <row r="104" spans="1:2" x14ac:dyDescent="0.2">
      <c r="A104" s="32"/>
      <c r="B104" s="31"/>
    </row>
    <row r="105" spans="1:2" x14ac:dyDescent="0.2">
      <c r="A105" s="75" t="s">
        <v>96</v>
      </c>
      <c r="B105" s="75"/>
    </row>
    <row r="106" spans="1:2" x14ac:dyDescent="0.2">
      <c r="A106" s="11"/>
      <c r="B106" s="26"/>
    </row>
    <row r="107" spans="1:2" x14ac:dyDescent="0.2">
      <c r="A107" s="43" t="s">
        <v>95</v>
      </c>
      <c r="B107" s="33"/>
    </row>
    <row r="108" spans="1:2" x14ac:dyDescent="0.2">
      <c r="A108" s="21"/>
      <c r="B108" s="31"/>
    </row>
    <row r="109" spans="1:2" x14ac:dyDescent="0.2">
      <c r="A109" s="6" t="s">
        <v>31</v>
      </c>
      <c r="B109" s="74">
        <v>12105000</v>
      </c>
    </row>
    <row r="110" spans="1:2" x14ac:dyDescent="0.2">
      <c r="A110" s="6" t="s">
        <v>25</v>
      </c>
      <c r="B110" s="13">
        <v>135000</v>
      </c>
    </row>
    <row r="111" spans="1:2" x14ac:dyDescent="0.2">
      <c r="A111" s="8" t="s">
        <v>4</v>
      </c>
      <c r="B111" s="10">
        <f>SUM(B105:B110)</f>
        <v>12240000</v>
      </c>
    </row>
    <row r="112" spans="1:2" x14ac:dyDescent="0.2">
      <c r="A112" s="8"/>
      <c r="B112" s="10"/>
    </row>
    <row r="113" spans="1:4" x14ac:dyDescent="0.2">
      <c r="A113" s="6" t="s">
        <v>19</v>
      </c>
      <c r="B113" s="13">
        <f>23693+2360475</f>
        <v>2384168</v>
      </c>
    </row>
    <row r="114" spans="1:4" x14ac:dyDescent="0.2">
      <c r="A114" s="8" t="s">
        <v>3</v>
      </c>
      <c r="B114" s="10">
        <f>SUM(B113:B113)</f>
        <v>2384168</v>
      </c>
    </row>
    <row r="115" spans="1:4" x14ac:dyDescent="0.2">
      <c r="A115" s="8"/>
      <c r="B115" s="10"/>
    </row>
    <row r="116" spans="1:4" x14ac:dyDescent="0.2">
      <c r="A116" s="6" t="s">
        <v>16</v>
      </c>
      <c r="B116" s="13">
        <f>3500000+3900000+472440</f>
        <v>7872440</v>
      </c>
    </row>
    <row r="117" spans="1:4" x14ac:dyDescent="0.2">
      <c r="A117" s="5" t="s">
        <v>10</v>
      </c>
      <c r="B117" s="13">
        <f>80000+900000</f>
        <v>980000</v>
      </c>
    </row>
    <row r="118" spans="1:4" x14ac:dyDescent="0.2">
      <c r="A118" s="5" t="s">
        <v>75</v>
      </c>
      <c r="B118" s="13">
        <v>70000</v>
      </c>
      <c r="D118" s="13"/>
    </row>
    <row r="119" spans="1:4" x14ac:dyDescent="0.2">
      <c r="A119" s="7" t="s">
        <v>15</v>
      </c>
      <c r="B119" s="13">
        <v>200000</v>
      </c>
      <c r="D119" s="13"/>
    </row>
    <row r="120" spans="1:4" x14ac:dyDescent="0.2">
      <c r="A120" s="6" t="s">
        <v>30</v>
      </c>
      <c r="B120" s="13">
        <v>80000</v>
      </c>
      <c r="D120" s="13"/>
    </row>
    <row r="121" spans="1:4" x14ac:dyDescent="0.2">
      <c r="A121" s="5" t="s">
        <v>14</v>
      </c>
      <c r="B121" s="13">
        <f>B122+B123+B124</f>
        <v>495000</v>
      </c>
      <c r="D121" s="13"/>
    </row>
    <row r="122" spans="1:4" x14ac:dyDescent="0.2">
      <c r="A122" s="7" t="s">
        <v>13</v>
      </c>
      <c r="B122" s="13">
        <v>280000</v>
      </c>
    </row>
    <row r="123" spans="1:4" x14ac:dyDescent="0.2">
      <c r="A123" s="7" t="s">
        <v>12</v>
      </c>
      <c r="B123" s="13">
        <v>150000</v>
      </c>
    </row>
    <row r="124" spans="1:4" x14ac:dyDescent="0.2">
      <c r="A124" s="7" t="s">
        <v>11</v>
      </c>
      <c r="B124" s="13">
        <v>65000</v>
      </c>
    </row>
    <row r="125" spans="1:4" x14ac:dyDescent="0.2">
      <c r="A125" s="5" t="s">
        <v>9</v>
      </c>
      <c r="B125" s="13">
        <f>4200000+1400000+400000</f>
        <v>6000000</v>
      </c>
    </row>
    <row r="126" spans="1:4" x14ac:dyDescent="0.2">
      <c r="A126" s="5" t="s">
        <v>8</v>
      </c>
      <c r="B126" s="13">
        <f>500000+430000+3096800</f>
        <v>4026800</v>
      </c>
    </row>
    <row r="127" spans="1:4" x14ac:dyDescent="0.2">
      <c r="A127" s="5" t="s">
        <v>7</v>
      </c>
      <c r="B127" s="13">
        <f>(B116+B117+B125+B126+B118+B119+B120+B121)*0.27-472440*0.27+127560</f>
        <v>5325546.0000000009</v>
      </c>
    </row>
    <row r="128" spans="1:4" x14ac:dyDescent="0.2">
      <c r="A128" s="5" t="s">
        <v>59</v>
      </c>
      <c r="B128" s="13">
        <f>800000+750000</f>
        <v>1550000</v>
      </c>
    </row>
    <row r="129" spans="1:2" x14ac:dyDescent="0.2">
      <c r="A129" s="4" t="s">
        <v>6</v>
      </c>
      <c r="B129" s="10">
        <f>B116+B117+B118+B119+B120+B121+B125+B126+B127+B128</f>
        <v>26599786</v>
      </c>
    </row>
    <row r="130" spans="1:2" x14ac:dyDescent="0.2">
      <c r="A130" s="21"/>
      <c r="B130" s="20"/>
    </row>
    <row r="131" spans="1:2" x14ac:dyDescent="0.2">
      <c r="A131" s="11" t="s">
        <v>5</v>
      </c>
      <c r="B131" s="19">
        <f>B129+B114+B111</f>
        <v>41223954</v>
      </c>
    </row>
    <row r="132" spans="1:2" x14ac:dyDescent="0.2">
      <c r="A132" s="11"/>
      <c r="B132" s="19"/>
    </row>
    <row r="133" spans="1:2" x14ac:dyDescent="0.2">
      <c r="A133" s="67" t="s">
        <v>94</v>
      </c>
      <c r="B133" s="66"/>
    </row>
    <row r="134" spans="1:2" x14ac:dyDescent="0.2">
      <c r="A134" s="5" t="s">
        <v>93</v>
      </c>
      <c r="B134" s="28">
        <v>581623</v>
      </c>
    </row>
    <row r="135" spans="1:2" x14ac:dyDescent="0.2">
      <c r="A135" s="4" t="s">
        <v>6</v>
      </c>
      <c r="B135" s="19">
        <f>B134</f>
        <v>581623</v>
      </c>
    </row>
    <row r="136" spans="1:2" x14ac:dyDescent="0.2">
      <c r="A136" s="21"/>
      <c r="B136" s="19"/>
    </row>
    <row r="137" spans="1:2" x14ac:dyDescent="0.2">
      <c r="A137" s="11" t="s">
        <v>5</v>
      </c>
      <c r="B137" s="19">
        <f>B135</f>
        <v>581623</v>
      </c>
    </row>
    <row r="138" spans="1:2" x14ac:dyDescent="0.2">
      <c r="A138" s="11"/>
      <c r="B138" s="19"/>
    </row>
    <row r="139" spans="1:2" x14ac:dyDescent="0.2">
      <c r="A139" s="67" t="s">
        <v>92</v>
      </c>
      <c r="B139" s="66"/>
    </row>
    <row r="140" spans="1:2" x14ac:dyDescent="0.2">
      <c r="A140" s="65"/>
      <c r="B140" s="64"/>
    </row>
    <row r="141" spans="1:2" x14ac:dyDescent="0.2">
      <c r="A141" s="6" t="s">
        <v>91</v>
      </c>
      <c r="B141" s="13">
        <v>34624100</v>
      </c>
    </row>
    <row r="142" spans="1:2" x14ac:dyDescent="0.2">
      <c r="A142" s="6" t="s">
        <v>26</v>
      </c>
      <c r="B142" s="13">
        <v>596000</v>
      </c>
    </row>
    <row r="143" spans="1:2" x14ac:dyDescent="0.2">
      <c r="A143" s="6" t="s">
        <v>20</v>
      </c>
      <c r="B143" s="13">
        <v>1304000</v>
      </c>
    </row>
    <row r="144" spans="1:2" x14ac:dyDescent="0.2">
      <c r="A144" s="6" t="s">
        <v>25</v>
      </c>
      <c r="B144" s="13">
        <v>1100000</v>
      </c>
    </row>
    <row r="145" spans="1:2" x14ac:dyDescent="0.2">
      <c r="A145" s="8" t="s">
        <v>4</v>
      </c>
      <c r="B145" s="10">
        <f>SUM(B141:B144)</f>
        <v>37624100</v>
      </c>
    </row>
    <row r="146" spans="1:2" x14ac:dyDescent="0.2">
      <c r="A146" s="6"/>
      <c r="B146" s="13"/>
    </row>
    <row r="147" spans="1:2" x14ac:dyDescent="0.2">
      <c r="A147" s="6" t="s">
        <v>19</v>
      </c>
      <c r="B147" s="13">
        <v>7199030</v>
      </c>
    </row>
    <row r="148" spans="1:2" x14ac:dyDescent="0.2">
      <c r="A148" s="6" t="s">
        <v>18</v>
      </c>
      <c r="B148" s="13">
        <v>20000</v>
      </c>
    </row>
    <row r="149" spans="1:2" x14ac:dyDescent="0.2">
      <c r="A149" s="8" t="s">
        <v>3</v>
      </c>
      <c r="B149" s="10">
        <f>SUM(B147:B148)</f>
        <v>7219030</v>
      </c>
    </row>
    <row r="150" spans="1:2" x14ac:dyDescent="0.2">
      <c r="A150" s="2"/>
      <c r="B150" s="13"/>
    </row>
    <row r="151" spans="1:2" x14ac:dyDescent="0.2">
      <c r="A151" s="6" t="s">
        <v>17</v>
      </c>
      <c r="B151" s="13">
        <v>10000</v>
      </c>
    </row>
    <row r="152" spans="1:2" x14ac:dyDescent="0.2">
      <c r="A152" s="6" t="s">
        <v>16</v>
      </c>
      <c r="B152" s="13">
        <f>5000000+1200000+737840+884499</f>
        <v>7822339</v>
      </c>
    </row>
    <row r="153" spans="1:2" x14ac:dyDescent="0.2">
      <c r="A153" s="6" t="s">
        <v>30</v>
      </c>
      <c r="B153" s="13">
        <v>270000</v>
      </c>
    </row>
    <row r="154" spans="1:2" x14ac:dyDescent="0.2">
      <c r="A154" s="5" t="s">
        <v>14</v>
      </c>
      <c r="B154" s="13">
        <f>SUM(B155:B157)</f>
        <v>15982000</v>
      </c>
    </row>
    <row r="155" spans="1:2" x14ac:dyDescent="0.2">
      <c r="A155" s="7" t="s">
        <v>13</v>
      </c>
      <c r="B155" s="13">
        <v>382000</v>
      </c>
    </row>
    <row r="156" spans="1:2" x14ac:dyDescent="0.2">
      <c r="A156" s="7" t="s">
        <v>12</v>
      </c>
      <c r="B156" s="13">
        <f>10800000+1300000</f>
        <v>12100000</v>
      </c>
    </row>
    <row r="157" spans="1:2" x14ac:dyDescent="0.2">
      <c r="A157" s="7" t="s">
        <v>11</v>
      </c>
      <c r="B157" s="13">
        <v>3500000</v>
      </c>
    </row>
    <row r="158" spans="1:2" x14ac:dyDescent="0.2">
      <c r="A158" s="5" t="s">
        <v>10</v>
      </c>
      <c r="B158" s="13">
        <f>2800000-42677-100000+100000</f>
        <v>2757323</v>
      </c>
    </row>
    <row r="159" spans="1:2" x14ac:dyDescent="0.2">
      <c r="A159" s="5" t="s">
        <v>9</v>
      </c>
      <c r="B159" s="13">
        <v>2300000</v>
      </c>
    </row>
    <row r="160" spans="1:2" x14ac:dyDescent="0.2">
      <c r="A160" s="5" t="s">
        <v>8</v>
      </c>
      <c r="B160" s="13">
        <f>1000000+400000+45119</f>
        <v>1445119</v>
      </c>
    </row>
    <row r="161" spans="1:2" x14ac:dyDescent="0.2">
      <c r="A161" s="5" t="s">
        <v>90</v>
      </c>
      <c r="B161" s="13">
        <v>900000</v>
      </c>
    </row>
    <row r="162" spans="1:2" x14ac:dyDescent="0.2">
      <c r="A162" s="5" t="s">
        <v>7</v>
      </c>
      <c r="B162" s="13">
        <f>8024217+209697+265815</f>
        <v>8499729</v>
      </c>
    </row>
    <row r="163" spans="1:2" x14ac:dyDescent="0.2">
      <c r="A163" s="5" t="s">
        <v>59</v>
      </c>
      <c r="B163" s="13">
        <f>2908000+427000+1000000</f>
        <v>4335000</v>
      </c>
    </row>
    <row r="164" spans="1:2" x14ac:dyDescent="0.2">
      <c r="A164" s="4" t="s">
        <v>6</v>
      </c>
      <c r="B164" s="10">
        <f>SUM(B151:B162)-B155-B156-B157+B163</f>
        <v>44321510</v>
      </c>
    </row>
    <row r="165" spans="1:2" x14ac:dyDescent="0.2">
      <c r="A165" s="21"/>
      <c r="B165" s="20"/>
    </row>
    <row r="166" spans="1:2" x14ac:dyDescent="0.2">
      <c r="A166" s="11" t="s">
        <v>5</v>
      </c>
      <c r="B166" s="19">
        <f>B145+B149+B164</f>
        <v>89164640</v>
      </c>
    </row>
    <row r="167" spans="1:2" x14ac:dyDescent="0.2">
      <c r="A167" s="65"/>
      <c r="B167" s="64"/>
    </row>
    <row r="168" spans="1:2" x14ac:dyDescent="0.2">
      <c r="A168" s="11"/>
      <c r="B168" s="73"/>
    </row>
    <row r="169" spans="1:2" x14ac:dyDescent="0.2">
      <c r="A169" s="68" t="s">
        <v>80</v>
      </c>
      <c r="B169" s="72"/>
    </row>
    <row r="170" spans="1:2" x14ac:dyDescent="0.2">
      <c r="A170" s="11"/>
      <c r="B170" s="19"/>
    </row>
    <row r="171" spans="1:2" ht="23.25" customHeight="1" x14ac:dyDescent="0.2">
      <c r="A171" s="67" t="s">
        <v>79</v>
      </c>
      <c r="B171" s="66"/>
    </row>
    <row r="172" spans="1:2" x14ac:dyDescent="0.2">
      <c r="A172" s="21"/>
      <c r="B172" s="31"/>
    </row>
    <row r="173" spans="1:2" x14ac:dyDescent="0.2">
      <c r="A173" s="6" t="s">
        <v>89</v>
      </c>
      <c r="B173" s="13">
        <v>1788000</v>
      </c>
    </row>
    <row r="174" spans="1:2" x14ac:dyDescent="0.2">
      <c r="A174" s="6" t="s">
        <v>77</v>
      </c>
      <c r="B174" s="13">
        <v>148699</v>
      </c>
    </row>
    <row r="175" spans="1:2" x14ac:dyDescent="0.2">
      <c r="A175" s="6" t="s">
        <v>21</v>
      </c>
      <c r="B175" s="13">
        <v>9022</v>
      </c>
    </row>
    <row r="176" spans="1:2" x14ac:dyDescent="0.2">
      <c r="A176" s="6" t="s">
        <v>20</v>
      </c>
      <c r="B176" s="13">
        <v>25000</v>
      </c>
    </row>
    <row r="177" spans="1:2" x14ac:dyDescent="0.2">
      <c r="A177" s="6" t="s">
        <v>88</v>
      </c>
      <c r="B177" s="13">
        <v>15104522</v>
      </c>
    </row>
    <row r="178" spans="1:2" x14ac:dyDescent="0.2">
      <c r="A178" s="6" t="s">
        <v>69</v>
      </c>
      <c r="B178" s="13">
        <v>816000</v>
      </c>
    </row>
    <row r="179" spans="1:2" x14ac:dyDescent="0.2">
      <c r="A179" s="8" t="s">
        <v>4</v>
      </c>
      <c r="B179" s="10">
        <f>SUM(B173:B178)</f>
        <v>17891243</v>
      </c>
    </row>
    <row r="180" spans="1:2" x14ac:dyDescent="0.2">
      <c r="A180" s="6"/>
      <c r="B180" s="13"/>
    </row>
    <row r="181" spans="1:2" x14ac:dyDescent="0.2">
      <c r="A181" s="6" t="s">
        <v>19</v>
      </c>
      <c r="B181" s="13">
        <f>2997330+348656</f>
        <v>3345986</v>
      </c>
    </row>
    <row r="182" spans="1:2" x14ac:dyDescent="0.2">
      <c r="A182" s="6" t="s">
        <v>42</v>
      </c>
      <c r="B182" s="13">
        <v>28996</v>
      </c>
    </row>
    <row r="183" spans="1:2" x14ac:dyDescent="0.2">
      <c r="A183" s="6" t="s">
        <v>41</v>
      </c>
      <c r="B183" s="13">
        <v>22305</v>
      </c>
    </row>
    <row r="184" spans="1:2" x14ac:dyDescent="0.2">
      <c r="A184" s="8" t="s">
        <v>3</v>
      </c>
      <c r="B184" s="10">
        <f>SUM(B181:B183)</f>
        <v>3397287</v>
      </c>
    </row>
    <row r="185" spans="1:2" x14ac:dyDescent="0.2">
      <c r="A185" s="2"/>
      <c r="B185" s="13"/>
    </row>
    <row r="186" spans="1:2" x14ac:dyDescent="0.2">
      <c r="A186" s="6" t="s">
        <v>16</v>
      </c>
      <c r="B186" s="13">
        <v>180000</v>
      </c>
    </row>
    <row r="187" spans="1:2" x14ac:dyDescent="0.2">
      <c r="A187" s="5" t="s">
        <v>75</v>
      </c>
      <c r="B187" s="13">
        <v>70000</v>
      </c>
    </row>
    <row r="188" spans="1:2" x14ac:dyDescent="0.2">
      <c r="A188" s="5" t="s">
        <v>9</v>
      </c>
      <c r="B188" s="13">
        <v>480000</v>
      </c>
    </row>
    <row r="189" spans="1:2" x14ac:dyDescent="0.2">
      <c r="A189" s="5" t="s">
        <v>8</v>
      </c>
      <c r="B189" s="13">
        <f>2300000+400000</f>
        <v>2700000</v>
      </c>
    </row>
    <row r="190" spans="1:2" x14ac:dyDescent="0.2">
      <c r="A190" s="5" t="s">
        <v>7</v>
      </c>
      <c r="B190" s="13">
        <f>(B186+B187+B188+B189)*0.27</f>
        <v>926100.00000000012</v>
      </c>
    </row>
    <row r="191" spans="1:2" x14ac:dyDescent="0.2">
      <c r="A191" s="5" t="s">
        <v>74</v>
      </c>
      <c r="B191" s="13">
        <f>124760+250240</f>
        <v>375000</v>
      </c>
    </row>
    <row r="192" spans="1:2" x14ac:dyDescent="0.2">
      <c r="A192" s="5" t="s">
        <v>87</v>
      </c>
      <c r="B192" s="13">
        <v>8055000</v>
      </c>
    </row>
    <row r="193" spans="1:2" x14ac:dyDescent="0.2">
      <c r="A193" s="5" t="s">
        <v>59</v>
      </c>
      <c r="B193" s="13">
        <f>900000+632887</f>
        <v>1532887</v>
      </c>
    </row>
    <row r="194" spans="1:2" x14ac:dyDescent="0.2">
      <c r="A194" s="4" t="s">
        <v>6</v>
      </c>
      <c r="B194" s="10">
        <f>SUM(B186:B193)</f>
        <v>14318987</v>
      </c>
    </row>
    <row r="195" spans="1:2" x14ac:dyDescent="0.2">
      <c r="A195" s="21"/>
      <c r="B195" s="20"/>
    </row>
    <row r="196" spans="1:2" x14ac:dyDescent="0.2">
      <c r="A196" s="11" t="s">
        <v>5</v>
      </c>
      <c r="B196" s="19">
        <f>B179+B184+B194</f>
        <v>35607517</v>
      </c>
    </row>
    <row r="197" spans="1:2" x14ac:dyDescent="0.2">
      <c r="A197" s="21"/>
      <c r="B197" s="20"/>
    </row>
    <row r="198" spans="1:2" x14ac:dyDescent="0.2">
      <c r="A198" s="43" t="s">
        <v>86</v>
      </c>
      <c r="B198" s="33"/>
    </row>
    <row r="199" spans="1:2" x14ac:dyDescent="0.2">
      <c r="A199" s="11"/>
      <c r="B199" s="61"/>
    </row>
    <row r="200" spans="1:2" x14ac:dyDescent="0.2">
      <c r="A200" s="6" t="s">
        <v>85</v>
      </c>
      <c r="B200" s="71">
        <v>1984252</v>
      </c>
    </row>
    <row r="201" spans="1:2" x14ac:dyDescent="0.2">
      <c r="A201" s="5" t="s">
        <v>7</v>
      </c>
      <c r="B201" s="71">
        <f>2520000-B200</f>
        <v>535748</v>
      </c>
    </row>
    <row r="202" spans="1:2" x14ac:dyDescent="0.2">
      <c r="A202" s="4" t="s">
        <v>6</v>
      </c>
      <c r="B202" s="61">
        <f>SUM(B200:B201)</f>
        <v>2520000</v>
      </c>
    </row>
    <row r="203" spans="1:2" x14ac:dyDescent="0.2">
      <c r="A203" s="21"/>
      <c r="B203" s="61"/>
    </row>
    <row r="204" spans="1:2" x14ac:dyDescent="0.2">
      <c r="A204" s="11" t="s">
        <v>5</v>
      </c>
      <c r="B204" s="61">
        <f>B202</f>
        <v>2520000</v>
      </c>
    </row>
    <row r="205" spans="1:2" x14ac:dyDescent="0.2">
      <c r="A205" s="11"/>
      <c r="B205" s="61"/>
    </row>
    <row r="206" spans="1:2" x14ac:dyDescent="0.2">
      <c r="A206" s="8" t="s">
        <v>4</v>
      </c>
      <c r="B206" s="19">
        <f>B24+B81+B145+B179+B111+B61</f>
        <v>104865759</v>
      </c>
    </row>
    <row r="207" spans="1:2" x14ac:dyDescent="0.2">
      <c r="A207" s="8" t="s">
        <v>3</v>
      </c>
      <c r="B207" s="19">
        <f>B27+B85+B149+B184+B114+B64</f>
        <v>17208841</v>
      </c>
    </row>
    <row r="208" spans="1:2" x14ac:dyDescent="0.2">
      <c r="A208" s="4" t="s">
        <v>2</v>
      </c>
      <c r="B208" s="19">
        <f>B16+B42+B53+B73+B91+B100+B129+B164+B194+B135+B204</f>
        <v>125162936</v>
      </c>
    </row>
    <row r="209" spans="1:2" x14ac:dyDescent="0.2">
      <c r="A209" s="4" t="s">
        <v>84</v>
      </c>
      <c r="B209" s="19">
        <f>'[2]4_ melléklet'!B7</f>
        <v>68285207</v>
      </c>
    </row>
    <row r="210" spans="1:2" ht="33.75" x14ac:dyDescent="0.2">
      <c r="A210" s="58" t="s">
        <v>83</v>
      </c>
      <c r="B210" s="19">
        <f>SUM(B206:B209)</f>
        <v>315522743</v>
      </c>
    </row>
    <row r="211" spans="1:2" x14ac:dyDescent="0.2">
      <c r="A211" s="58"/>
      <c r="B211" s="19"/>
    </row>
    <row r="212" spans="1:2" x14ac:dyDescent="0.2">
      <c r="A212" s="58"/>
      <c r="B212" s="19"/>
    </row>
    <row r="213" spans="1:2" x14ac:dyDescent="0.2">
      <c r="A213" s="68" t="s">
        <v>82</v>
      </c>
      <c r="B213" s="68"/>
    </row>
    <row r="214" spans="1:2" x14ac:dyDescent="0.2">
      <c r="A214" s="70"/>
      <c r="B214" s="19"/>
    </row>
    <row r="215" spans="1:2" x14ac:dyDescent="0.2">
      <c r="A215" s="55" t="s">
        <v>38</v>
      </c>
      <c r="B215" s="55"/>
    </row>
    <row r="216" spans="1:2" x14ac:dyDescent="0.2">
      <c r="A216" s="11"/>
      <c r="B216" s="61"/>
    </row>
    <row r="217" spans="1:2" x14ac:dyDescent="0.2">
      <c r="A217" s="43" t="s">
        <v>81</v>
      </c>
      <c r="B217" s="33"/>
    </row>
    <row r="218" spans="1:2" x14ac:dyDescent="0.2">
      <c r="A218" s="21"/>
      <c r="B218" s="69"/>
    </row>
    <row r="219" spans="1:2" x14ac:dyDescent="0.2">
      <c r="A219" s="6" t="s">
        <v>16</v>
      </c>
      <c r="B219" s="13">
        <v>1400000</v>
      </c>
    </row>
    <row r="220" spans="1:2" x14ac:dyDescent="0.2">
      <c r="A220" s="5" t="s">
        <v>14</v>
      </c>
      <c r="B220" s="13">
        <f>SUM(B221:B223)</f>
        <v>3500000</v>
      </c>
    </row>
    <row r="221" spans="1:2" x14ac:dyDescent="0.2">
      <c r="A221" s="15" t="s">
        <v>13</v>
      </c>
      <c r="B221" s="14">
        <v>2200000</v>
      </c>
    </row>
    <row r="222" spans="1:2" x14ac:dyDescent="0.2">
      <c r="A222" s="15" t="s">
        <v>12</v>
      </c>
      <c r="B222" s="14">
        <v>1000000</v>
      </c>
    </row>
    <row r="223" spans="1:2" x14ac:dyDescent="0.2">
      <c r="A223" s="15" t="s">
        <v>11</v>
      </c>
      <c r="B223" s="14">
        <v>300000</v>
      </c>
    </row>
    <row r="224" spans="1:2" x14ac:dyDescent="0.2">
      <c r="A224" s="5" t="s">
        <v>10</v>
      </c>
      <c r="B224" s="13">
        <v>100000</v>
      </c>
    </row>
    <row r="225" spans="1:2" x14ac:dyDescent="0.2">
      <c r="A225" s="5" t="s">
        <v>8</v>
      </c>
      <c r="B225" s="13">
        <v>400000</v>
      </c>
    </row>
    <row r="226" spans="1:2" x14ac:dyDescent="0.2">
      <c r="A226" s="5" t="s">
        <v>7</v>
      </c>
      <c r="B226" s="13">
        <f>(B219+B220+B223+B224+B225)*0.27</f>
        <v>1539000</v>
      </c>
    </row>
    <row r="227" spans="1:2" x14ac:dyDescent="0.2">
      <c r="A227" s="4" t="s">
        <v>6</v>
      </c>
      <c r="B227" s="10">
        <f>SUM(B219:B226)-B221-B222-B223</f>
        <v>6939000</v>
      </c>
    </row>
    <row r="228" spans="1:2" x14ac:dyDescent="0.2">
      <c r="A228" s="21"/>
      <c r="B228" s="20"/>
    </row>
    <row r="229" spans="1:2" x14ac:dyDescent="0.2">
      <c r="A229" s="11" t="s">
        <v>5</v>
      </c>
      <c r="B229" s="19">
        <f>B227</f>
        <v>6939000</v>
      </c>
    </row>
    <row r="230" spans="1:2" x14ac:dyDescent="0.2">
      <c r="A230" s="21"/>
      <c r="B230" s="69"/>
    </row>
    <row r="231" spans="1:2" x14ac:dyDescent="0.2">
      <c r="A231" s="68" t="s">
        <v>80</v>
      </c>
      <c r="B231" s="68"/>
    </row>
    <row r="232" spans="1:2" x14ac:dyDescent="0.2">
      <c r="A232" s="11"/>
      <c r="B232" s="19"/>
    </row>
    <row r="233" spans="1:2" ht="27.75" customHeight="1" x14ac:dyDescent="0.2">
      <c r="A233" s="67" t="s">
        <v>79</v>
      </c>
      <c r="B233" s="66"/>
    </row>
    <row r="234" spans="1:2" x14ac:dyDescent="0.2">
      <c r="A234" s="65"/>
      <c r="B234" s="64"/>
    </row>
    <row r="235" spans="1:2" x14ac:dyDescent="0.2">
      <c r="A235" s="6" t="s">
        <v>78</v>
      </c>
      <c r="B235" s="13">
        <f>62172020+1965000+425532+9</f>
        <v>64562561</v>
      </c>
    </row>
    <row r="236" spans="1:2" x14ac:dyDescent="0.2">
      <c r="A236" s="6" t="s">
        <v>77</v>
      </c>
      <c r="B236" s="13">
        <v>2676582</v>
      </c>
    </row>
    <row r="237" spans="1:2" x14ac:dyDescent="0.2">
      <c r="A237" s="6" t="s">
        <v>26</v>
      </c>
      <c r="B237" s="13">
        <v>220000</v>
      </c>
    </row>
    <row r="238" spans="1:2" x14ac:dyDescent="0.2">
      <c r="A238" s="6" t="s">
        <v>21</v>
      </c>
      <c r="B238" s="13">
        <v>200000</v>
      </c>
    </row>
    <row r="239" spans="1:2" x14ac:dyDescent="0.2">
      <c r="A239" s="6" t="s">
        <v>20</v>
      </c>
      <c r="B239" s="13">
        <f>1040000+30000+4400</f>
        <v>1074400</v>
      </c>
    </row>
    <row r="240" spans="1:2" ht="14.25" customHeight="1" x14ac:dyDescent="0.2">
      <c r="A240" s="6" t="s">
        <v>25</v>
      </c>
      <c r="B240" s="13">
        <v>500000</v>
      </c>
    </row>
    <row r="241" spans="1:2" ht="15.75" customHeight="1" x14ac:dyDescent="0.2">
      <c r="A241" s="6" t="s">
        <v>68</v>
      </c>
      <c r="B241" s="13">
        <v>1500000</v>
      </c>
    </row>
    <row r="242" spans="1:2" x14ac:dyDescent="0.2">
      <c r="A242" s="8" t="s">
        <v>4</v>
      </c>
      <c r="B242" s="10">
        <f>SUM(B235:B241)</f>
        <v>70733543</v>
      </c>
    </row>
    <row r="243" spans="1:2" x14ac:dyDescent="0.2">
      <c r="A243" s="6"/>
      <c r="B243" s="13"/>
    </row>
    <row r="244" spans="1:2" x14ac:dyDescent="0.2">
      <c r="A244" s="6" t="s">
        <v>19</v>
      </c>
      <c r="B244" s="13">
        <f>12453094+389025+858+3+74468-9</f>
        <v>12917439</v>
      </c>
    </row>
    <row r="245" spans="1:2" x14ac:dyDescent="0.2">
      <c r="A245" s="6" t="s">
        <v>42</v>
      </c>
      <c r="B245" s="13">
        <v>867083</v>
      </c>
    </row>
    <row r="246" spans="1:2" x14ac:dyDescent="0.2">
      <c r="A246" s="6" t="s">
        <v>18</v>
      </c>
      <c r="B246" s="13">
        <v>100000</v>
      </c>
    </row>
    <row r="247" spans="1:2" x14ac:dyDescent="0.2">
      <c r="A247" s="6" t="s">
        <v>41</v>
      </c>
      <c r="B247" s="13">
        <v>666987</v>
      </c>
    </row>
    <row r="248" spans="1:2" x14ac:dyDescent="0.2">
      <c r="A248" s="8" t="s">
        <v>3</v>
      </c>
      <c r="B248" s="10">
        <f>SUM(B244:B247)</f>
        <v>14551509</v>
      </c>
    </row>
    <row r="249" spans="1:2" x14ac:dyDescent="0.2">
      <c r="A249" s="2"/>
      <c r="B249" s="13"/>
    </row>
    <row r="250" spans="1:2" x14ac:dyDescent="0.2">
      <c r="A250" s="6" t="s">
        <v>17</v>
      </c>
      <c r="B250" s="13">
        <v>700000</v>
      </c>
    </row>
    <row r="251" spans="1:2" x14ac:dyDescent="0.2">
      <c r="A251" s="6" t="s">
        <v>16</v>
      </c>
      <c r="B251" s="13">
        <v>1500000</v>
      </c>
    </row>
    <row r="252" spans="1:2" x14ac:dyDescent="0.2">
      <c r="A252" s="6" t="s">
        <v>30</v>
      </c>
      <c r="B252" s="13">
        <v>2450000</v>
      </c>
    </row>
    <row r="253" spans="1:2" x14ac:dyDescent="0.2">
      <c r="A253" s="7" t="s">
        <v>15</v>
      </c>
      <c r="B253" s="13">
        <v>400000</v>
      </c>
    </row>
    <row r="254" spans="1:2" x14ac:dyDescent="0.2">
      <c r="A254" s="5" t="s">
        <v>14</v>
      </c>
      <c r="B254" s="13">
        <f>SUM(B255:B257)</f>
        <v>1526000</v>
      </c>
    </row>
    <row r="255" spans="1:2" x14ac:dyDescent="0.2">
      <c r="A255" s="62" t="s">
        <v>76</v>
      </c>
      <c r="B255" s="63">
        <v>770000</v>
      </c>
    </row>
    <row r="256" spans="1:2" x14ac:dyDescent="0.2">
      <c r="A256" s="62" t="s">
        <v>12</v>
      </c>
      <c r="B256" s="14">
        <v>616000</v>
      </c>
    </row>
    <row r="257" spans="1:2" x14ac:dyDescent="0.2">
      <c r="A257" s="62" t="s">
        <v>11</v>
      </c>
      <c r="B257" s="14">
        <v>140000</v>
      </c>
    </row>
    <row r="258" spans="1:2" x14ac:dyDescent="0.2">
      <c r="A258" s="5" t="s">
        <v>75</v>
      </c>
      <c r="B258" s="13">
        <v>420000</v>
      </c>
    </row>
    <row r="259" spans="1:2" x14ac:dyDescent="0.2">
      <c r="A259" s="5" t="s">
        <v>10</v>
      </c>
      <c r="B259" s="13">
        <v>500000</v>
      </c>
    </row>
    <row r="260" spans="1:2" x14ac:dyDescent="0.2">
      <c r="A260" s="5" t="s">
        <v>60</v>
      </c>
      <c r="B260" s="13">
        <v>2100000</v>
      </c>
    </row>
    <row r="261" spans="1:2" x14ac:dyDescent="0.2">
      <c r="A261" s="5" t="s">
        <v>9</v>
      </c>
      <c r="B261" s="13">
        <f>1030000+150000</f>
        <v>1180000</v>
      </c>
    </row>
    <row r="262" spans="1:2" x14ac:dyDescent="0.2">
      <c r="A262" s="5" t="s">
        <v>8</v>
      </c>
      <c r="B262" s="13">
        <v>2300000</v>
      </c>
    </row>
    <row r="263" spans="1:2" x14ac:dyDescent="0.2">
      <c r="A263" s="5" t="s">
        <v>7</v>
      </c>
      <c r="B263" s="13">
        <f>3280520-9000</f>
        <v>3271520</v>
      </c>
    </row>
    <row r="264" spans="1:2" x14ac:dyDescent="0.2">
      <c r="A264" s="5" t="s">
        <v>74</v>
      </c>
      <c r="B264" s="13">
        <f>'[1]3_melléklet'!B64*0.27+'[1]3_melléklet'!B70*0.27+24001+1500</f>
        <v>444001</v>
      </c>
    </row>
    <row r="265" spans="1:2" x14ac:dyDescent="0.2">
      <c r="A265" s="5" t="s">
        <v>59</v>
      </c>
      <c r="B265" s="13">
        <v>1300000</v>
      </c>
    </row>
    <row r="266" spans="1:2" x14ac:dyDescent="0.2">
      <c r="A266" s="4" t="s">
        <v>6</v>
      </c>
      <c r="B266" s="10">
        <f>SUM(B250:B265)-B255-B256-B257</f>
        <v>18091521</v>
      </c>
    </row>
    <row r="267" spans="1:2" x14ac:dyDescent="0.2">
      <c r="A267" s="11" t="s">
        <v>5</v>
      </c>
      <c r="B267" s="61">
        <f>B266+B248+B242</f>
        <v>103376573</v>
      </c>
    </row>
    <row r="268" spans="1:2" x14ac:dyDescent="0.2">
      <c r="A268" s="11"/>
      <c r="B268" s="61"/>
    </row>
    <row r="269" spans="1:2" x14ac:dyDescent="0.2">
      <c r="A269" s="43" t="s">
        <v>73</v>
      </c>
      <c r="B269" s="42"/>
    </row>
    <row r="270" spans="1:2" x14ac:dyDescent="0.2">
      <c r="A270" s="21"/>
      <c r="B270" s="21"/>
    </row>
    <row r="271" spans="1:2" x14ac:dyDescent="0.2">
      <c r="A271" s="6" t="s">
        <v>25</v>
      </c>
      <c r="B271" s="13">
        <v>700000</v>
      </c>
    </row>
    <row r="272" spans="1:2" x14ac:dyDescent="0.2">
      <c r="A272" s="8" t="s">
        <v>4</v>
      </c>
      <c r="B272" s="10">
        <f>SUM(B271:B271)</f>
        <v>700000</v>
      </c>
    </row>
    <row r="273" spans="1:2" x14ac:dyDescent="0.2">
      <c r="A273" s="6"/>
      <c r="B273" s="13"/>
    </row>
    <row r="274" spans="1:2" x14ac:dyDescent="0.2">
      <c r="A274" s="6" t="s">
        <v>19</v>
      </c>
      <c r="B274" s="13">
        <v>122850</v>
      </c>
    </row>
    <row r="275" spans="1:2" x14ac:dyDescent="0.2">
      <c r="A275" s="8" t="s">
        <v>3</v>
      </c>
      <c r="B275" s="10">
        <f>SUM(B274:B274)</f>
        <v>122850</v>
      </c>
    </row>
    <row r="276" spans="1:2" ht="10.15" customHeight="1" x14ac:dyDescent="0.2">
      <c r="A276" s="2"/>
      <c r="B276" s="13"/>
    </row>
    <row r="277" spans="1:2" x14ac:dyDescent="0.2">
      <c r="A277" s="11" t="s">
        <v>5</v>
      </c>
      <c r="B277" s="19">
        <f>B272+B275</f>
        <v>822850</v>
      </c>
    </row>
    <row r="278" spans="1:2" x14ac:dyDescent="0.2">
      <c r="A278" s="21"/>
      <c r="B278" s="21"/>
    </row>
    <row r="279" spans="1:2" x14ac:dyDescent="0.2">
      <c r="A279" s="43" t="s">
        <v>53</v>
      </c>
      <c r="B279" s="42"/>
    </row>
    <row r="280" spans="1:2" x14ac:dyDescent="0.2">
      <c r="A280" s="21"/>
      <c r="B280" s="60"/>
    </row>
    <row r="281" spans="1:2" x14ac:dyDescent="0.2">
      <c r="A281" s="6" t="s">
        <v>72</v>
      </c>
      <c r="B281" s="13">
        <v>643680</v>
      </c>
    </row>
    <row r="282" spans="1:2" x14ac:dyDescent="0.2">
      <c r="A282" s="8" t="s">
        <v>4</v>
      </c>
      <c r="B282" s="10">
        <f>SUM(B281:B281)</f>
        <v>643680</v>
      </c>
    </row>
    <row r="283" spans="1:2" x14ac:dyDescent="0.2">
      <c r="A283" s="6"/>
      <c r="B283" s="13"/>
    </row>
    <row r="284" spans="1:2" x14ac:dyDescent="0.2">
      <c r="A284" s="6" t="s">
        <v>19</v>
      </c>
      <c r="B284" s="13">
        <v>125518</v>
      </c>
    </row>
    <row r="285" spans="1:2" x14ac:dyDescent="0.2">
      <c r="A285" s="8" t="s">
        <v>3</v>
      </c>
      <c r="B285" s="10">
        <f>SUM(B284:B284)</f>
        <v>125518</v>
      </c>
    </row>
    <row r="286" spans="1:2" ht="10.15" customHeight="1" x14ac:dyDescent="0.2">
      <c r="A286" s="2"/>
      <c r="B286" s="13"/>
    </row>
    <row r="287" spans="1:2" x14ac:dyDescent="0.2">
      <c r="A287" s="11" t="s">
        <v>5</v>
      </c>
      <c r="B287" s="19">
        <f>B282+B285</f>
        <v>769198</v>
      </c>
    </row>
    <row r="288" spans="1:2" x14ac:dyDescent="0.2">
      <c r="A288" s="21"/>
      <c r="B288" s="21"/>
    </row>
    <row r="289" spans="1:2" x14ac:dyDescent="0.2">
      <c r="A289" s="34" t="s">
        <v>37</v>
      </c>
      <c r="B289" s="33"/>
    </row>
    <row r="290" spans="1:2" x14ac:dyDescent="0.2">
      <c r="A290" s="6" t="s">
        <v>71</v>
      </c>
      <c r="B290" s="13">
        <f>309665+958994+81530</f>
        <v>1350189</v>
      </c>
    </row>
    <row r="291" spans="1:2" x14ac:dyDescent="0.2">
      <c r="A291" s="6" t="s">
        <v>20</v>
      </c>
      <c r="B291" s="13">
        <v>10000</v>
      </c>
    </row>
    <row r="292" spans="1:2" x14ac:dyDescent="0.2">
      <c r="A292" s="8" t="s">
        <v>4</v>
      </c>
      <c r="B292" s="10">
        <f>SUM(B290:B291)</f>
        <v>1360189</v>
      </c>
    </row>
    <row r="293" spans="1:2" x14ac:dyDescent="0.2">
      <c r="A293" s="6"/>
      <c r="B293" s="13"/>
    </row>
    <row r="294" spans="1:2" x14ac:dyDescent="0.2">
      <c r="A294" s="6" t="s">
        <v>19</v>
      </c>
      <c r="B294" s="13">
        <f>31167+93502+14268</f>
        <v>138937</v>
      </c>
    </row>
    <row r="295" spans="1:2" x14ac:dyDescent="0.2">
      <c r="A295" s="8" t="s">
        <v>3</v>
      </c>
      <c r="B295" s="10">
        <f>SUM(B294:B294)</f>
        <v>138937</v>
      </c>
    </row>
    <row r="296" spans="1:2" x14ac:dyDescent="0.2">
      <c r="A296" s="2"/>
      <c r="B296" s="13"/>
    </row>
    <row r="297" spans="1:2" x14ac:dyDescent="0.2">
      <c r="A297" s="11" t="s">
        <v>5</v>
      </c>
      <c r="B297" s="19">
        <f>B292+B295</f>
        <v>1499126</v>
      </c>
    </row>
    <row r="298" spans="1:2" x14ac:dyDescent="0.2">
      <c r="A298" s="11"/>
      <c r="B298" s="19"/>
    </row>
    <row r="299" spans="1:2" x14ac:dyDescent="0.2">
      <c r="A299" s="34" t="s">
        <v>70</v>
      </c>
      <c r="B299" s="33"/>
    </row>
    <row r="300" spans="1:2" x14ac:dyDescent="0.2">
      <c r="A300" s="11"/>
      <c r="B300" s="27"/>
    </row>
    <row r="301" spans="1:2" x14ac:dyDescent="0.2">
      <c r="A301" s="6" t="s">
        <v>69</v>
      </c>
      <c r="B301" s="27">
        <f>420000+480000+34000</f>
        <v>934000</v>
      </c>
    </row>
    <row r="302" spans="1:2" x14ac:dyDescent="0.2">
      <c r="A302" s="6" t="s">
        <v>25</v>
      </c>
      <c r="B302" s="27">
        <f>140000+304000+34000+420000+120000</f>
        <v>1018000</v>
      </c>
    </row>
    <row r="303" spans="1:2" x14ac:dyDescent="0.2">
      <c r="A303" s="6" t="s">
        <v>68</v>
      </c>
      <c r="B303" s="27">
        <f>6696+71104+16193+68427</f>
        <v>162420</v>
      </c>
    </row>
    <row r="304" spans="1:2" x14ac:dyDescent="0.2">
      <c r="A304" s="8" t="s">
        <v>4</v>
      </c>
      <c r="B304" s="19">
        <f>SUM(B301:B303)</f>
        <v>2114420</v>
      </c>
    </row>
    <row r="305" spans="1:2" x14ac:dyDescent="0.2">
      <c r="A305" s="11"/>
      <c r="B305" s="19"/>
    </row>
    <row r="306" spans="1:2" x14ac:dyDescent="0.2">
      <c r="A306" s="6" t="s">
        <v>19</v>
      </c>
      <c r="B306" s="27">
        <f>159825+5969+170100+5355</f>
        <v>341249</v>
      </c>
    </row>
    <row r="307" spans="1:2" x14ac:dyDescent="0.2">
      <c r="A307" s="6" t="s">
        <v>41</v>
      </c>
      <c r="B307" s="27">
        <f>31674+32452</f>
        <v>64126</v>
      </c>
    </row>
    <row r="308" spans="1:2" x14ac:dyDescent="0.2">
      <c r="A308" s="8" t="s">
        <v>3</v>
      </c>
      <c r="B308" s="19">
        <f>SUM(B306:B307)</f>
        <v>405375</v>
      </c>
    </row>
    <row r="309" spans="1:2" x14ac:dyDescent="0.2">
      <c r="A309" s="11"/>
      <c r="B309" s="19"/>
    </row>
    <row r="310" spans="1:2" x14ac:dyDescent="0.2">
      <c r="A310" s="6" t="s">
        <v>16</v>
      </c>
      <c r="B310" s="27">
        <f>20520+35987+34042</f>
        <v>90549</v>
      </c>
    </row>
    <row r="311" spans="1:2" x14ac:dyDescent="0.2">
      <c r="A311" s="5" t="s">
        <v>7</v>
      </c>
      <c r="B311" s="27">
        <f>5541+9716</f>
        <v>15257</v>
      </c>
    </row>
    <row r="312" spans="1:2" x14ac:dyDescent="0.2">
      <c r="A312" s="4" t="s">
        <v>6</v>
      </c>
      <c r="B312" s="19">
        <f>B310+B311</f>
        <v>105806</v>
      </c>
    </row>
    <row r="313" spans="1:2" x14ac:dyDescent="0.2">
      <c r="A313" s="21"/>
      <c r="B313" s="19"/>
    </row>
    <row r="314" spans="1:2" x14ac:dyDescent="0.2">
      <c r="A314" s="11" t="s">
        <v>5</v>
      </c>
      <c r="B314" s="19">
        <f>B304+B308+B312</f>
        <v>2625601</v>
      </c>
    </row>
    <row r="315" spans="1:2" x14ac:dyDescent="0.2">
      <c r="A315" s="11"/>
      <c r="B315" s="19"/>
    </row>
    <row r="316" spans="1:2" x14ac:dyDescent="0.2">
      <c r="A316" s="4"/>
      <c r="B316" s="2"/>
    </row>
    <row r="317" spans="1:2" x14ac:dyDescent="0.2">
      <c r="A317" s="8" t="s">
        <v>4</v>
      </c>
      <c r="B317" s="59">
        <f>B242+B272+B282+B292+B304</f>
        <v>75551832</v>
      </c>
    </row>
    <row r="318" spans="1:2" x14ac:dyDescent="0.2">
      <c r="A318" s="8" t="s">
        <v>3</v>
      </c>
      <c r="B318" s="19">
        <f>B248+B275+B285+B295+B308</f>
        <v>15344189</v>
      </c>
    </row>
    <row r="319" spans="1:2" x14ac:dyDescent="0.2">
      <c r="A319" s="4" t="s">
        <v>2</v>
      </c>
      <c r="B319" s="19">
        <f>B227+B266+B312</f>
        <v>25136327</v>
      </c>
    </row>
    <row r="320" spans="1:2" ht="22.5" x14ac:dyDescent="0.2">
      <c r="A320" s="58" t="s">
        <v>67</v>
      </c>
      <c r="B320" s="19">
        <f>SUM(B317:B319)</f>
        <v>116032348</v>
      </c>
    </row>
    <row r="321" spans="1:2" x14ac:dyDescent="0.2">
      <c r="A321" s="58"/>
      <c r="B321" s="19"/>
    </row>
    <row r="322" spans="1:2" x14ac:dyDescent="0.2">
      <c r="A322" s="58"/>
      <c r="B322" s="19"/>
    </row>
    <row r="323" spans="1:2" x14ac:dyDescent="0.2">
      <c r="A323" s="57" t="s">
        <v>66</v>
      </c>
      <c r="B323" s="57"/>
    </row>
    <row r="324" spans="1:2" x14ac:dyDescent="0.2">
      <c r="A324" s="56"/>
      <c r="B324" s="40"/>
    </row>
    <row r="325" spans="1:2" x14ac:dyDescent="0.2">
      <c r="A325" s="55" t="s">
        <v>38</v>
      </c>
      <c r="B325" s="55"/>
    </row>
    <row r="326" spans="1:2" x14ac:dyDescent="0.2">
      <c r="A326" s="54"/>
      <c r="B326" s="54"/>
    </row>
    <row r="327" spans="1:2" ht="24.75" customHeight="1" x14ac:dyDescent="0.2">
      <c r="A327" s="34" t="s">
        <v>65</v>
      </c>
      <c r="B327" s="33"/>
    </row>
    <row r="328" spans="1:2" x14ac:dyDescent="0.2">
      <c r="A328" s="32"/>
      <c r="B328" s="31"/>
    </row>
    <row r="329" spans="1:2" x14ac:dyDescent="0.2">
      <c r="A329" s="6" t="s">
        <v>64</v>
      </c>
      <c r="B329" s="13">
        <f>1631763+351500+5250085+15450923+1304483</f>
        <v>23988754</v>
      </c>
    </row>
    <row r="330" spans="1:2" x14ac:dyDescent="0.2">
      <c r="A330" s="6" t="s">
        <v>20</v>
      </c>
      <c r="B330" s="13">
        <f>20000+10000+30000</f>
        <v>60000</v>
      </c>
    </row>
    <row r="331" spans="1:2" x14ac:dyDescent="0.2">
      <c r="A331" s="8" t="s">
        <v>4</v>
      </c>
      <c r="B331" s="10">
        <f>SUM(B329:B330)</f>
        <v>24048754</v>
      </c>
    </row>
    <row r="332" spans="1:2" x14ac:dyDescent="0.2">
      <c r="A332" s="6"/>
      <c r="B332" s="13"/>
    </row>
    <row r="333" spans="1:2" x14ac:dyDescent="0.2">
      <c r="A333" s="6" t="s">
        <v>19</v>
      </c>
      <c r="B333" s="13">
        <f>322094+58988+514808+1506465+228285</f>
        <v>2630640</v>
      </c>
    </row>
    <row r="334" spans="1:2" x14ac:dyDescent="0.2">
      <c r="A334" s="6" t="s">
        <v>18</v>
      </c>
      <c r="B334" s="13">
        <f>5000+20000</f>
        <v>25000</v>
      </c>
    </row>
    <row r="335" spans="1:2" x14ac:dyDescent="0.2">
      <c r="A335" s="8" t="s">
        <v>3</v>
      </c>
      <c r="B335" s="10">
        <f>SUM(B333:B334)</f>
        <v>2655640</v>
      </c>
    </row>
    <row r="336" spans="1:2" x14ac:dyDescent="0.2">
      <c r="A336" s="11" t="s">
        <v>5</v>
      </c>
      <c r="B336" s="19">
        <f>B331+B335</f>
        <v>26704394</v>
      </c>
    </row>
    <row r="337" spans="1:5" x14ac:dyDescent="0.2">
      <c r="A337" s="32"/>
      <c r="B337" s="20"/>
    </row>
    <row r="338" spans="1:5" x14ac:dyDescent="0.2">
      <c r="A338" s="43" t="s">
        <v>63</v>
      </c>
      <c r="B338" s="53"/>
    </row>
    <row r="339" spans="1:5" x14ac:dyDescent="0.2">
      <c r="A339" s="6" t="s">
        <v>62</v>
      </c>
      <c r="B339" s="13">
        <f>7241708+1037410+213054</f>
        <v>8492172</v>
      </c>
    </row>
    <row r="340" spans="1:5" x14ac:dyDescent="0.2">
      <c r="A340" s="6" t="s">
        <v>43</v>
      </c>
      <c r="B340" s="13">
        <v>152922</v>
      </c>
    </row>
    <row r="341" spans="1:5" x14ac:dyDescent="0.2">
      <c r="A341" s="6" t="s">
        <v>24</v>
      </c>
      <c r="B341" s="13">
        <f>1097226+372066</f>
        <v>1469292</v>
      </c>
    </row>
    <row r="342" spans="1:5" x14ac:dyDescent="0.2">
      <c r="A342" s="6" t="s">
        <v>21</v>
      </c>
      <c r="B342" s="13">
        <v>18044</v>
      </c>
    </row>
    <row r="343" spans="1:5" x14ac:dyDescent="0.2">
      <c r="A343" s="6" t="s">
        <v>20</v>
      </c>
      <c r="B343" s="13">
        <f>660716+8000</f>
        <v>668716</v>
      </c>
    </row>
    <row r="344" spans="1:5" x14ac:dyDescent="0.2">
      <c r="A344" s="8" t="s">
        <v>4</v>
      </c>
      <c r="B344" s="10">
        <f>SUM(B339:B343)</f>
        <v>10801146</v>
      </c>
      <c r="E344" s="50"/>
    </row>
    <row r="345" spans="1:5" x14ac:dyDescent="0.2">
      <c r="A345" s="6"/>
      <c r="B345" s="13"/>
    </row>
    <row r="346" spans="1:5" x14ac:dyDescent="0.2">
      <c r="A346" s="6" t="s">
        <v>19</v>
      </c>
      <c r="B346" s="13">
        <f>1758450+1560+181547+65112-96058</f>
        <v>1910611</v>
      </c>
      <c r="E346" s="50"/>
    </row>
    <row r="347" spans="1:5" x14ac:dyDescent="0.2">
      <c r="A347" s="6" t="s">
        <v>42</v>
      </c>
      <c r="B347" s="13">
        <v>29820</v>
      </c>
    </row>
    <row r="348" spans="1:5" x14ac:dyDescent="0.2">
      <c r="A348" s="6" t="s">
        <v>41</v>
      </c>
      <c r="B348" s="13">
        <v>22936</v>
      </c>
    </row>
    <row r="349" spans="1:5" x14ac:dyDescent="0.2">
      <c r="A349" s="8" t="s">
        <v>3</v>
      </c>
      <c r="B349" s="10">
        <f>SUM(B346:B348)</f>
        <v>1963367</v>
      </c>
    </row>
    <row r="350" spans="1:5" x14ac:dyDescent="0.2">
      <c r="A350" s="2"/>
      <c r="B350" s="13"/>
    </row>
    <row r="351" spans="1:5" x14ac:dyDescent="0.2">
      <c r="A351" s="6" t="s">
        <v>17</v>
      </c>
      <c r="B351" s="13">
        <v>45000</v>
      </c>
    </row>
    <row r="352" spans="1:5" x14ac:dyDescent="0.2">
      <c r="A352" s="6" t="s">
        <v>16</v>
      </c>
      <c r="B352" s="13">
        <v>250000</v>
      </c>
    </row>
    <row r="353" spans="1:2" x14ac:dyDescent="0.2">
      <c r="A353" s="6" t="s">
        <v>30</v>
      </c>
      <c r="B353" s="13">
        <v>250100</v>
      </c>
    </row>
    <row r="354" spans="1:2" x14ac:dyDescent="0.2">
      <c r="A354" s="7" t="s">
        <v>15</v>
      </c>
      <c r="B354" s="13">
        <v>80000</v>
      </c>
    </row>
    <row r="355" spans="1:2" x14ac:dyDescent="0.2">
      <c r="A355" s="5" t="s">
        <v>14</v>
      </c>
      <c r="B355" s="13">
        <f>SUM(B356:B359)</f>
        <v>573000</v>
      </c>
    </row>
    <row r="356" spans="1:2" x14ac:dyDescent="0.2">
      <c r="A356" s="7" t="s">
        <v>13</v>
      </c>
      <c r="B356" s="13">
        <v>80000</v>
      </c>
    </row>
    <row r="357" spans="1:2" x14ac:dyDescent="0.2">
      <c r="A357" s="7" t="s">
        <v>61</v>
      </c>
      <c r="B357" s="13">
        <v>380000</v>
      </c>
    </row>
    <row r="358" spans="1:2" x14ac:dyDescent="0.2">
      <c r="A358" s="7" t="s">
        <v>12</v>
      </c>
      <c r="B358" s="13">
        <v>100000</v>
      </c>
    </row>
    <row r="359" spans="1:2" x14ac:dyDescent="0.2">
      <c r="A359" s="7" t="s">
        <v>11</v>
      </c>
      <c r="B359" s="13">
        <v>13000</v>
      </c>
    </row>
    <row r="360" spans="1:2" x14ac:dyDescent="0.2">
      <c r="A360" s="5" t="s">
        <v>10</v>
      </c>
      <c r="B360" s="13">
        <v>50000</v>
      </c>
    </row>
    <row r="361" spans="1:2" x14ac:dyDescent="0.2">
      <c r="A361" s="5" t="s">
        <v>60</v>
      </c>
      <c r="B361" s="13">
        <f>2100000-11616</f>
        <v>2088384</v>
      </c>
    </row>
    <row r="362" spans="1:2" x14ac:dyDescent="0.2">
      <c r="A362" s="5" t="s">
        <v>9</v>
      </c>
      <c r="B362" s="13">
        <v>80000</v>
      </c>
    </row>
    <row r="363" spans="1:2" x14ac:dyDescent="0.2">
      <c r="A363" s="5" t="s">
        <v>8</v>
      </c>
      <c r="B363" s="13">
        <v>700000</v>
      </c>
    </row>
    <row r="364" spans="1:2" x14ac:dyDescent="0.2">
      <c r="A364" s="5" t="s">
        <v>7</v>
      </c>
      <c r="B364" s="13">
        <v>925587</v>
      </c>
    </row>
    <row r="365" spans="1:2" x14ac:dyDescent="0.2">
      <c r="A365" s="5" t="s">
        <v>59</v>
      </c>
      <c r="B365" s="13">
        <v>20000</v>
      </c>
    </row>
    <row r="366" spans="1:2" x14ac:dyDescent="0.2">
      <c r="A366" s="4" t="s">
        <v>6</v>
      </c>
      <c r="B366" s="10">
        <f>SUM(B351:B365)-B355</f>
        <v>5062071</v>
      </c>
    </row>
    <row r="367" spans="1:2" ht="9.6" customHeight="1" x14ac:dyDescent="0.2">
      <c r="A367" s="21"/>
      <c r="B367" s="20"/>
    </row>
    <row r="368" spans="1:2" x14ac:dyDescent="0.2">
      <c r="A368" s="11" t="s">
        <v>5</v>
      </c>
      <c r="B368" s="19">
        <f>B344+B349+B366</f>
        <v>17826584</v>
      </c>
    </row>
    <row r="369" spans="1:2" x14ac:dyDescent="0.2">
      <c r="A369" s="7"/>
      <c r="B369" s="27"/>
    </row>
    <row r="370" spans="1:2" x14ac:dyDescent="0.2">
      <c r="A370" s="43" t="s">
        <v>58</v>
      </c>
      <c r="B370" s="42"/>
    </row>
    <row r="371" spans="1:2" x14ac:dyDescent="0.2">
      <c r="A371" s="41"/>
      <c r="B371" s="52"/>
    </row>
    <row r="372" spans="1:2" x14ac:dyDescent="0.2">
      <c r="A372" s="6" t="s">
        <v>57</v>
      </c>
      <c r="B372" s="13">
        <f>3125504+308110</f>
        <v>3433614</v>
      </c>
    </row>
    <row r="373" spans="1:2" x14ac:dyDescent="0.2">
      <c r="A373" s="6" t="s">
        <v>43</v>
      </c>
      <c r="B373" s="13">
        <v>64914</v>
      </c>
    </row>
    <row r="374" spans="1:2" x14ac:dyDescent="0.2">
      <c r="A374" s="6" t="s">
        <v>26</v>
      </c>
      <c r="B374" s="13">
        <v>10000</v>
      </c>
    </row>
    <row r="375" spans="1:2" x14ac:dyDescent="0.2">
      <c r="A375" s="6" t="s">
        <v>21</v>
      </c>
      <c r="B375" s="13">
        <v>9022</v>
      </c>
    </row>
    <row r="376" spans="1:2" x14ac:dyDescent="0.2">
      <c r="A376" s="6" t="s">
        <v>20</v>
      </c>
      <c r="B376" s="13">
        <f>350358+9300</f>
        <v>359658</v>
      </c>
    </row>
    <row r="377" spans="1:2" x14ac:dyDescent="0.2">
      <c r="A377" s="8" t="s">
        <v>4</v>
      </c>
      <c r="B377" s="10">
        <f>SUM(B372:B376)</f>
        <v>3877208</v>
      </c>
    </row>
    <row r="378" spans="1:2" x14ac:dyDescent="0.2">
      <c r="A378" s="6"/>
      <c r="B378" s="13"/>
    </row>
    <row r="379" spans="1:2" x14ac:dyDescent="0.2">
      <c r="A379" s="6" t="s">
        <v>19</v>
      </c>
      <c r="B379" s="13">
        <f>679552+1814+53919-57578</f>
        <v>677707</v>
      </c>
    </row>
    <row r="380" spans="1:2" x14ac:dyDescent="0.2">
      <c r="A380" s="6" t="s">
        <v>42</v>
      </c>
      <c r="B380" s="13">
        <v>12658</v>
      </c>
    </row>
    <row r="381" spans="1:2" x14ac:dyDescent="0.2">
      <c r="A381" s="6" t="s">
        <v>18</v>
      </c>
      <c r="B381" s="13">
        <v>10000</v>
      </c>
    </row>
    <row r="382" spans="1:2" x14ac:dyDescent="0.2">
      <c r="A382" s="6" t="s">
        <v>41</v>
      </c>
      <c r="B382" s="13">
        <v>9737</v>
      </c>
    </row>
    <row r="383" spans="1:2" x14ac:dyDescent="0.2">
      <c r="A383" s="8" t="s">
        <v>3</v>
      </c>
      <c r="B383" s="10">
        <f>SUM(B379:B382)</f>
        <v>710102</v>
      </c>
    </row>
    <row r="384" spans="1:2" ht="9.6" customHeight="1" x14ac:dyDescent="0.2">
      <c r="A384" s="2"/>
      <c r="B384" s="13"/>
    </row>
    <row r="385" spans="1:2" x14ac:dyDescent="0.2">
      <c r="A385" s="6" t="s">
        <v>16</v>
      </c>
      <c r="B385" s="13">
        <v>12000</v>
      </c>
    </row>
    <row r="386" spans="1:2" x14ac:dyDescent="0.2">
      <c r="A386" s="5" t="s">
        <v>7</v>
      </c>
      <c r="B386" s="13">
        <f>B385*0.27</f>
        <v>3240</v>
      </c>
    </row>
    <row r="387" spans="1:2" x14ac:dyDescent="0.2">
      <c r="A387" s="4" t="s">
        <v>6</v>
      </c>
      <c r="B387" s="10">
        <f>SUM(B385:B386)</f>
        <v>15240</v>
      </c>
    </row>
    <row r="388" spans="1:2" ht="8.4499999999999993" customHeight="1" x14ac:dyDescent="0.2">
      <c r="A388" s="21"/>
      <c r="B388" s="20"/>
    </row>
    <row r="389" spans="1:2" x14ac:dyDescent="0.2">
      <c r="A389" s="11" t="s">
        <v>5</v>
      </c>
      <c r="B389" s="19">
        <f>B377+B383+B387</f>
        <v>4602550</v>
      </c>
    </row>
    <row r="390" spans="1:2" x14ac:dyDescent="0.2">
      <c r="A390" s="8"/>
      <c r="B390" s="51"/>
    </row>
    <row r="391" spans="1:2" x14ac:dyDescent="0.2">
      <c r="A391" s="43" t="s">
        <v>56</v>
      </c>
      <c r="B391" s="42"/>
    </row>
    <row r="392" spans="1:2" x14ac:dyDescent="0.2">
      <c r="A392" s="41"/>
      <c r="B392" s="40"/>
    </row>
    <row r="393" spans="1:2" x14ac:dyDescent="0.2">
      <c r="A393" s="6" t="s">
        <v>55</v>
      </c>
      <c r="B393" s="13">
        <f>16071547+596000+816750</f>
        <v>17484297</v>
      </c>
    </row>
    <row r="394" spans="1:2" x14ac:dyDescent="0.2">
      <c r="A394" s="6" t="s">
        <v>43</v>
      </c>
      <c r="B394" s="13">
        <v>298647</v>
      </c>
    </row>
    <row r="395" spans="1:2" x14ac:dyDescent="0.2">
      <c r="A395" s="6" t="s">
        <v>26</v>
      </c>
      <c r="B395" s="13">
        <v>25000</v>
      </c>
    </row>
    <row r="396" spans="1:2" x14ac:dyDescent="0.2">
      <c r="A396" s="6" t="s">
        <v>21</v>
      </c>
      <c r="B396" s="13">
        <v>54132</v>
      </c>
    </row>
    <row r="397" spans="1:2" x14ac:dyDescent="0.2">
      <c r="A397" s="6" t="s">
        <v>20</v>
      </c>
      <c r="B397" s="13">
        <f>25000+46400</f>
        <v>71400</v>
      </c>
    </row>
    <row r="398" spans="1:2" x14ac:dyDescent="0.2">
      <c r="A398" s="6" t="s">
        <v>54</v>
      </c>
      <c r="B398" s="13">
        <v>576000</v>
      </c>
    </row>
    <row r="399" spans="1:2" x14ac:dyDescent="0.2">
      <c r="A399" s="8" t="s">
        <v>4</v>
      </c>
      <c r="B399" s="10">
        <f>SUM(B393:B398)</f>
        <v>18509476</v>
      </c>
    </row>
    <row r="400" spans="1:2" ht="10.9" customHeight="1" x14ac:dyDescent="0.2">
      <c r="A400" s="6"/>
      <c r="B400" s="13"/>
    </row>
    <row r="401" spans="1:2" x14ac:dyDescent="0.2">
      <c r="A401" s="6" t="s">
        <v>19</v>
      </c>
      <c r="B401" s="13">
        <f>3144507+116220+8942+159266-59418</f>
        <v>3369517</v>
      </c>
    </row>
    <row r="402" spans="1:2" x14ac:dyDescent="0.2">
      <c r="A402" s="6" t="s">
        <v>42</v>
      </c>
      <c r="B402" s="13">
        <v>58236</v>
      </c>
    </row>
    <row r="403" spans="1:2" x14ac:dyDescent="0.2">
      <c r="A403" s="6" t="s">
        <v>18</v>
      </c>
      <c r="B403" s="13">
        <v>10000</v>
      </c>
    </row>
    <row r="404" spans="1:2" x14ac:dyDescent="0.2">
      <c r="A404" s="6" t="s">
        <v>41</v>
      </c>
      <c r="B404" s="13">
        <v>44797</v>
      </c>
    </row>
    <row r="405" spans="1:2" x14ac:dyDescent="0.2">
      <c r="A405" s="8" t="s">
        <v>3</v>
      </c>
      <c r="B405" s="10">
        <f>SUM(B401:B404)</f>
        <v>3482550</v>
      </c>
    </row>
    <row r="406" spans="1:2" ht="10.9" customHeight="1" x14ac:dyDescent="0.2">
      <c r="A406" s="2"/>
      <c r="B406" s="13"/>
    </row>
    <row r="407" spans="1:2" x14ac:dyDescent="0.2">
      <c r="A407" s="6" t="s">
        <v>17</v>
      </c>
      <c r="B407" s="13">
        <v>50000</v>
      </c>
    </row>
    <row r="408" spans="1:2" x14ac:dyDescent="0.2">
      <c r="A408" s="6" t="s">
        <v>16</v>
      </c>
      <c r="B408" s="13">
        <f>300000-118110</f>
        <v>181890</v>
      </c>
    </row>
    <row r="409" spans="1:2" x14ac:dyDescent="0.2">
      <c r="A409" s="6" t="s">
        <v>30</v>
      </c>
      <c r="B409" s="13">
        <v>51000</v>
      </c>
    </row>
    <row r="410" spans="1:2" x14ac:dyDescent="0.2">
      <c r="A410" s="7" t="s">
        <v>15</v>
      </c>
      <c r="B410" s="13">
        <v>70000</v>
      </c>
    </row>
    <row r="411" spans="1:2" x14ac:dyDescent="0.2">
      <c r="A411" s="5" t="s">
        <v>14</v>
      </c>
      <c r="B411" s="13">
        <f>SUM(B412:B414)</f>
        <v>692000</v>
      </c>
    </row>
    <row r="412" spans="1:2" x14ac:dyDescent="0.2">
      <c r="A412" s="7" t="s">
        <v>13</v>
      </c>
      <c r="B412" s="13">
        <v>460000</v>
      </c>
    </row>
    <row r="413" spans="1:2" x14ac:dyDescent="0.2">
      <c r="A413" s="7" t="s">
        <v>12</v>
      </c>
      <c r="B413" s="13">
        <v>112000</v>
      </c>
    </row>
    <row r="414" spans="1:2" x14ac:dyDescent="0.2">
      <c r="A414" s="7" t="s">
        <v>11</v>
      </c>
      <c r="B414" s="13">
        <v>120000</v>
      </c>
    </row>
    <row r="415" spans="1:2" x14ac:dyDescent="0.2">
      <c r="A415" s="5" t="s">
        <v>10</v>
      </c>
      <c r="B415" s="13">
        <v>120000</v>
      </c>
    </row>
    <row r="416" spans="1:2" x14ac:dyDescent="0.2">
      <c r="A416" s="5" t="s">
        <v>8</v>
      </c>
      <c r="B416" s="13">
        <v>150000</v>
      </c>
    </row>
    <row r="417" spans="1:4" x14ac:dyDescent="0.2">
      <c r="A417" s="5" t="s">
        <v>7</v>
      </c>
      <c r="B417" s="13">
        <f>(B407+B409+B410+B411+B415+B416+B408)*0.27+118110*0.27-31890</f>
        <v>355020.00000000006</v>
      </c>
    </row>
    <row r="418" spans="1:4" x14ac:dyDescent="0.2">
      <c r="A418" s="4" t="s">
        <v>6</v>
      </c>
      <c r="B418" s="10">
        <f>SUM(B407:B417)-B412-B413-B414</f>
        <v>1669910</v>
      </c>
      <c r="D418" s="50"/>
    </row>
    <row r="419" spans="1:4" ht="8.4499999999999993" customHeight="1" x14ac:dyDescent="0.2">
      <c r="A419" s="21"/>
      <c r="B419" s="20"/>
    </row>
    <row r="420" spans="1:4" x14ac:dyDescent="0.2">
      <c r="A420" s="11" t="s">
        <v>5</v>
      </c>
      <c r="B420" s="19">
        <f>B399+B405+B418</f>
        <v>23661936</v>
      </c>
    </row>
    <row r="421" spans="1:4" x14ac:dyDescent="0.2">
      <c r="A421" s="49"/>
      <c r="B421" s="26"/>
    </row>
    <row r="422" spans="1:4" x14ac:dyDescent="0.2">
      <c r="A422" s="43" t="s">
        <v>53</v>
      </c>
      <c r="B422" s="42"/>
    </row>
    <row r="423" spans="1:4" x14ac:dyDescent="0.2">
      <c r="A423" s="41"/>
      <c r="B423" s="40"/>
    </row>
    <row r="424" spans="1:4" x14ac:dyDescent="0.2">
      <c r="A424" s="6" t="s">
        <v>52</v>
      </c>
      <c r="B424" s="13">
        <f>25908279+782250</f>
        <v>26690529</v>
      </c>
    </row>
    <row r="425" spans="1:4" x14ac:dyDescent="0.2">
      <c r="A425" s="6" t="s">
        <v>43</v>
      </c>
      <c r="B425" s="13">
        <v>460166</v>
      </c>
    </row>
    <row r="426" spans="1:4" x14ac:dyDescent="0.2">
      <c r="A426" s="6" t="s">
        <v>24</v>
      </c>
      <c r="B426" s="13">
        <v>780666</v>
      </c>
    </row>
    <row r="427" spans="1:4" x14ac:dyDescent="0.2">
      <c r="A427" s="6" t="s">
        <v>21</v>
      </c>
      <c r="B427" s="13">
        <v>90220</v>
      </c>
    </row>
    <row r="428" spans="1:4" x14ac:dyDescent="0.2">
      <c r="A428" s="6" t="s">
        <v>20</v>
      </c>
      <c r="B428" s="13">
        <f>300000+210200</f>
        <v>510200</v>
      </c>
    </row>
    <row r="429" spans="1:4" x14ac:dyDescent="0.2">
      <c r="A429" s="6" t="s">
        <v>25</v>
      </c>
      <c r="B429" s="13">
        <v>30000</v>
      </c>
    </row>
    <row r="430" spans="1:4" x14ac:dyDescent="0.2">
      <c r="A430" s="8" t="s">
        <v>4</v>
      </c>
      <c r="B430" s="10">
        <f>SUM(B424:B429)</f>
        <v>28561781</v>
      </c>
    </row>
    <row r="431" spans="1:4" x14ac:dyDescent="0.2">
      <c r="A431" s="6"/>
      <c r="B431" s="13"/>
    </row>
    <row r="432" spans="1:4" x14ac:dyDescent="0.2">
      <c r="A432" s="6" t="s">
        <v>19</v>
      </c>
      <c r="B432" s="13">
        <f>5285702+40564+152539</f>
        <v>5478805</v>
      </c>
    </row>
    <row r="433" spans="1:2" x14ac:dyDescent="0.2">
      <c r="A433" s="6" t="s">
        <v>42</v>
      </c>
      <c r="B433" s="13">
        <v>89732</v>
      </c>
    </row>
    <row r="434" spans="1:2" x14ac:dyDescent="0.2">
      <c r="A434" s="6" t="s">
        <v>18</v>
      </c>
      <c r="B434" s="13">
        <v>20000</v>
      </c>
    </row>
    <row r="435" spans="1:2" x14ac:dyDescent="0.2">
      <c r="A435" s="6" t="s">
        <v>41</v>
      </c>
      <c r="B435" s="13">
        <v>69025</v>
      </c>
    </row>
    <row r="436" spans="1:2" x14ac:dyDescent="0.2">
      <c r="A436" s="8" t="s">
        <v>3</v>
      </c>
      <c r="B436" s="10">
        <f>SUM(B432:B435)</f>
        <v>5657562</v>
      </c>
    </row>
    <row r="437" spans="1:2" x14ac:dyDescent="0.2">
      <c r="A437" s="2"/>
      <c r="B437" s="13"/>
    </row>
    <row r="438" spans="1:2" x14ac:dyDescent="0.2">
      <c r="A438" s="6" t="s">
        <v>17</v>
      </c>
      <c r="B438" s="13">
        <v>50000</v>
      </c>
    </row>
    <row r="439" spans="1:2" x14ac:dyDescent="0.2">
      <c r="A439" s="6" t="s">
        <v>16</v>
      </c>
      <c r="B439" s="13">
        <f>450000+551000</f>
        <v>1001000</v>
      </c>
    </row>
    <row r="440" spans="1:2" x14ac:dyDescent="0.2">
      <c r="A440" s="6" t="s">
        <v>30</v>
      </c>
      <c r="B440" s="13">
        <v>40000</v>
      </c>
    </row>
    <row r="441" spans="1:2" x14ac:dyDescent="0.2">
      <c r="A441" s="7" t="s">
        <v>15</v>
      </c>
      <c r="B441" s="13">
        <v>60000</v>
      </c>
    </row>
    <row r="442" spans="1:2" x14ac:dyDescent="0.2">
      <c r="A442" s="5" t="s">
        <v>14</v>
      </c>
      <c r="B442" s="13">
        <f>SUM(B443:B445)</f>
        <v>1116000</v>
      </c>
    </row>
    <row r="443" spans="1:2" x14ac:dyDescent="0.2">
      <c r="A443" s="7" t="s">
        <v>13</v>
      </c>
      <c r="B443" s="13">
        <v>650000</v>
      </c>
    </row>
    <row r="444" spans="1:2" x14ac:dyDescent="0.2">
      <c r="A444" s="7" t="s">
        <v>12</v>
      </c>
      <c r="B444" s="13">
        <v>336000</v>
      </c>
    </row>
    <row r="445" spans="1:2" x14ac:dyDescent="0.2">
      <c r="A445" s="7" t="s">
        <v>11</v>
      </c>
      <c r="B445" s="13">
        <v>130000</v>
      </c>
    </row>
    <row r="446" spans="1:2" x14ac:dyDescent="0.2">
      <c r="A446" s="5" t="s">
        <v>10</v>
      </c>
      <c r="B446" s="13">
        <v>70000</v>
      </c>
    </row>
    <row r="447" spans="1:2" x14ac:dyDescent="0.2">
      <c r="A447" s="5" t="s">
        <v>9</v>
      </c>
      <c r="B447" s="13">
        <v>60000</v>
      </c>
    </row>
    <row r="448" spans="1:2" x14ac:dyDescent="0.2">
      <c r="A448" s="5" t="s">
        <v>8</v>
      </c>
      <c r="B448" s="13">
        <v>140000</v>
      </c>
    </row>
    <row r="449" spans="1:2" x14ac:dyDescent="0.2">
      <c r="A449" s="5" t="s">
        <v>7</v>
      </c>
      <c r="B449" s="13">
        <f>(B438+B439+B440+B441+B442+B446+B447+B448)*0.27-60000*0.27-551000*0.27+149000</f>
        <v>669020</v>
      </c>
    </row>
    <row r="450" spans="1:2" x14ac:dyDescent="0.2">
      <c r="A450" s="4" t="s">
        <v>6</v>
      </c>
      <c r="B450" s="10">
        <f>SUM(B438:B449)-B443-B444-B445</f>
        <v>3206020</v>
      </c>
    </row>
    <row r="451" spans="1:2" x14ac:dyDescent="0.2">
      <c r="A451" s="21"/>
      <c r="B451" s="20"/>
    </row>
    <row r="452" spans="1:2" x14ac:dyDescent="0.2">
      <c r="A452" s="11" t="s">
        <v>5</v>
      </c>
      <c r="B452" s="19">
        <f>B430+B436+B450</f>
        <v>37425363</v>
      </c>
    </row>
    <row r="453" spans="1:2" x14ac:dyDescent="0.2">
      <c r="A453" s="39"/>
      <c r="B453" s="26"/>
    </row>
    <row r="454" spans="1:2" x14ac:dyDescent="0.2">
      <c r="A454" s="43" t="s">
        <v>51</v>
      </c>
      <c r="B454" s="42"/>
    </row>
    <row r="455" spans="1:2" x14ac:dyDescent="0.2">
      <c r="A455" s="11"/>
      <c r="B455" s="19"/>
    </row>
    <row r="456" spans="1:2" x14ac:dyDescent="0.2">
      <c r="A456" s="29" t="s">
        <v>46</v>
      </c>
      <c r="B456" s="27">
        <v>3328000</v>
      </c>
    </row>
    <row r="457" spans="1:2" x14ac:dyDescent="0.2">
      <c r="A457" s="48" t="s">
        <v>7</v>
      </c>
      <c r="B457" s="27">
        <f>(B456)*0.27</f>
        <v>898560.00000000012</v>
      </c>
    </row>
    <row r="458" spans="1:2" x14ac:dyDescent="0.2">
      <c r="A458" s="47" t="s">
        <v>6</v>
      </c>
      <c r="B458" s="26">
        <f>B456+B457</f>
        <v>4226560</v>
      </c>
    </row>
    <row r="459" spans="1:2" x14ac:dyDescent="0.2">
      <c r="A459" s="47"/>
      <c r="B459" s="26"/>
    </row>
    <row r="460" spans="1:2" x14ac:dyDescent="0.2">
      <c r="A460" s="46" t="s">
        <v>5</v>
      </c>
      <c r="B460" s="26">
        <f>B458</f>
        <v>4226560</v>
      </c>
    </row>
    <row r="461" spans="1:2" x14ac:dyDescent="0.2">
      <c r="A461" s="46"/>
      <c r="B461" s="26"/>
    </row>
    <row r="462" spans="1:2" x14ac:dyDescent="0.2">
      <c r="A462" s="11"/>
      <c r="B462" s="26"/>
    </row>
    <row r="463" spans="1:2" x14ac:dyDescent="0.2">
      <c r="A463" s="45" t="s">
        <v>50</v>
      </c>
      <c r="B463" s="44"/>
    </row>
    <row r="464" spans="1:2" x14ac:dyDescent="0.2">
      <c r="A464" s="41"/>
      <c r="B464" s="40"/>
    </row>
    <row r="465" spans="1:2" x14ac:dyDescent="0.2">
      <c r="A465" s="6" t="s">
        <v>49</v>
      </c>
      <c r="B465" s="13">
        <v>8314830</v>
      </c>
    </row>
    <row r="466" spans="1:2" x14ac:dyDescent="0.2">
      <c r="A466" s="6" t="s">
        <v>43</v>
      </c>
      <c r="B466" s="13">
        <v>191107</v>
      </c>
    </row>
    <row r="467" spans="1:2" x14ac:dyDescent="0.2">
      <c r="A467" s="6" t="s">
        <v>26</v>
      </c>
      <c r="B467" s="13">
        <v>8000</v>
      </c>
    </row>
    <row r="468" spans="1:2" x14ac:dyDescent="0.2">
      <c r="A468" s="6" t="s">
        <v>21</v>
      </c>
      <c r="B468" s="13">
        <v>27066</v>
      </c>
    </row>
    <row r="469" spans="1:2" x14ac:dyDescent="0.2">
      <c r="A469" s="6" t="s">
        <v>20</v>
      </c>
      <c r="B469" s="13">
        <f>30000+54800</f>
        <v>84800</v>
      </c>
    </row>
    <row r="470" spans="1:2" x14ac:dyDescent="0.2">
      <c r="A470" s="8" t="s">
        <v>4</v>
      </c>
      <c r="B470" s="10">
        <f>SUM(B465:B469)</f>
        <v>8625803</v>
      </c>
    </row>
    <row r="471" spans="1:2" x14ac:dyDescent="0.2">
      <c r="A471" s="6"/>
      <c r="B471" s="13"/>
    </row>
    <row r="472" spans="1:2" x14ac:dyDescent="0.2">
      <c r="A472" s="6" t="s">
        <v>19</v>
      </c>
      <c r="B472" s="13">
        <f>1632520+10580</f>
        <v>1643100</v>
      </c>
    </row>
    <row r="473" spans="1:2" x14ac:dyDescent="0.2">
      <c r="A473" s="6" t="s">
        <v>42</v>
      </c>
      <c r="B473" s="13">
        <v>37266</v>
      </c>
    </row>
    <row r="474" spans="1:2" x14ac:dyDescent="0.2">
      <c r="A474" s="6" t="s">
        <v>18</v>
      </c>
      <c r="B474" s="13">
        <v>10000</v>
      </c>
    </row>
    <row r="475" spans="1:2" x14ac:dyDescent="0.2">
      <c r="A475" s="6" t="s">
        <v>41</v>
      </c>
      <c r="B475" s="13">
        <v>28666</v>
      </c>
    </row>
    <row r="476" spans="1:2" x14ac:dyDescent="0.2">
      <c r="A476" s="8" t="s">
        <v>3</v>
      </c>
      <c r="B476" s="10">
        <f>SUM(B472:B475)</f>
        <v>1719032</v>
      </c>
    </row>
    <row r="477" spans="1:2" x14ac:dyDescent="0.2">
      <c r="A477" s="2"/>
      <c r="B477" s="13"/>
    </row>
    <row r="478" spans="1:2" x14ac:dyDescent="0.2">
      <c r="A478" s="6" t="s">
        <v>17</v>
      </c>
      <c r="B478" s="13">
        <v>20000</v>
      </c>
    </row>
    <row r="479" spans="1:2" x14ac:dyDescent="0.2">
      <c r="A479" s="6" t="s">
        <v>16</v>
      </c>
      <c r="B479" s="13">
        <v>180000</v>
      </c>
    </row>
    <row r="480" spans="1:2" x14ac:dyDescent="0.2">
      <c r="A480" s="6" t="s">
        <v>30</v>
      </c>
      <c r="B480" s="13">
        <v>86000</v>
      </c>
    </row>
    <row r="481" spans="1:2" x14ac:dyDescent="0.2">
      <c r="A481" s="7" t="s">
        <v>15</v>
      </c>
      <c r="B481" s="13">
        <v>60000</v>
      </c>
    </row>
    <row r="482" spans="1:2" x14ac:dyDescent="0.2">
      <c r="A482" s="5" t="s">
        <v>14</v>
      </c>
      <c r="B482" s="13">
        <f>SUM(B483:B486)</f>
        <v>316000</v>
      </c>
    </row>
    <row r="483" spans="1:2" x14ac:dyDescent="0.2">
      <c r="A483" s="7" t="s">
        <v>13</v>
      </c>
      <c r="B483" s="13">
        <v>40000</v>
      </c>
    </row>
    <row r="484" spans="1:2" x14ac:dyDescent="0.2">
      <c r="A484" s="7" t="s">
        <v>48</v>
      </c>
      <c r="B484" s="13">
        <v>190000</v>
      </c>
    </row>
    <row r="485" spans="1:2" x14ac:dyDescent="0.2">
      <c r="A485" s="7" t="s">
        <v>12</v>
      </c>
      <c r="B485" s="13">
        <v>73000</v>
      </c>
    </row>
    <row r="486" spans="1:2" x14ac:dyDescent="0.2">
      <c r="A486" s="7" t="s">
        <v>11</v>
      </c>
      <c r="B486" s="13">
        <v>13000</v>
      </c>
    </row>
    <row r="487" spans="1:2" x14ac:dyDescent="0.2">
      <c r="A487" s="5" t="s">
        <v>10</v>
      </c>
      <c r="B487" s="13">
        <v>80000</v>
      </c>
    </row>
    <row r="488" spans="1:2" x14ac:dyDescent="0.2">
      <c r="A488" s="5" t="s">
        <v>8</v>
      </c>
      <c r="B488" s="13">
        <v>50000</v>
      </c>
    </row>
    <row r="489" spans="1:2" x14ac:dyDescent="0.2">
      <c r="A489" s="5" t="s">
        <v>7</v>
      </c>
      <c r="B489" s="13">
        <f>(B478+B479+B480+B481+B482+B487+B488)*0.27</f>
        <v>213840</v>
      </c>
    </row>
    <row r="490" spans="1:2" x14ac:dyDescent="0.2">
      <c r="A490" s="4" t="s">
        <v>6</v>
      </c>
      <c r="B490" s="10">
        <f>SUM(B478:B489)-B482</f>
        <v>1005840</v>
      </c>
    </row>
    <row r="491" spans="1:2" x14ac:dyDescent="0.2">
      <c r="A491" s="21"/>
      <c r="B491" s="20"/>
    </row>
    <row r="492" spans="1:2" x14ac:dyDescent="0.2">
      <c r="A492" s="11" t="s">
        <v>5</v>
      </c>
      <c r="B492" s="19">
        <f>B470+B476+B490</f>
        <v>11350675</v>
      </c>
    </row>
    <row r="493" spans="1:2" x14ac:dyDescent="0.2">
      <c r="A493" s="7"/>
      <c r="B493" s="27"/>
    </row>
    <row r="494" spans="1:2" x14ac:dyDescent="0.2">
      <c r="A494" s="43" t="s">
        <v>47</v>
      </c>
      <c r="B494" s="42"/>
    </row>
    <row r="495" spans="1:2" x14ac:dyDescent="0.2">
      <c r="A495" s="21"/>
      <c r="B495" s="21"/>
    </row>
    <row r="496" spans="1:2" x14ac:dyDescent="0.2">
      <c r="A496" s="6" t="s">
        <v>22</v>
      </c>
      <c r="B496" s="13">
        <v>3685516</v>
      </c>
    </row>
    <row r="497" spans="1:2" x14ac:dyDescent="0.2">
      <c r="A497" s="6" t="s">
        <v>43</v>
      </c>
      <c r="B497" s="13">
        <v>68699</v>
      </c>
    </row>
    <row r="498" spans="1:2" x14ac:dyDescent="0.2">
      <c r="A498" s="6" t="s">
        <v>21</v>
      </c>
      <c r="B498" s="13">
        <v>18044</v>
      </c>
    </row>
    <row r="499" spans="1:2" x14ac:dyDescent="0.2">
      <c r="A499" s="6" t="s">
        <v>20</v>
      </c>
      <c r="B499" s="13">
        <f>50000+25700</f>
        <v>75700</v>
      </c>
    </row>
    <row r="500" spans="1:2" x14ac:dyDescent="0.2">
      <c r="A500" s="8" t="s">
        <v>4</v>
      </c>
      <c r="B500" s="10">
        <f>SUM(B496:B499)</f>
        <v>3847959</v>
      </c>
    </row>
    <row r="501" spans="1:2" x14ac:dyDescent="0.2">
      <c r="A501" s="8"/>
      <c r="B501" s="10"/>
    </row>
    <row r="502" spans="1:2" x14ac:dyDescent="0.2">
      <c r="A502" s="6"/>
      <c r="B502" s="13"/>
    </row>
    <row r="503" spans="1:2" x14ac:dyDescent="0.2">
      <c r="A503" s="6" t="s">
        <v>19</v>
      </c>
      <c r="B503" s="13">
        <f>731944+4950</f>
        <v>736894</v>
      </c>
    </row>
    <row r="504" spans="1:2" x14ac:dyDescent="0.2">
      <c r="A504" s="6" t="s">
        <v>42</v>
      </c>
      <c r="B504" s="13">
        <v>13396</v>
      </c>
    </row>
    <row r="505" spans="1:2" x14ac:dyDescent="0.2">
      <c r="A505" s="6" t="s">
        <v>18</v>
      </c>
      <c r="B505" s="13">
        <v>10000</v>
      </c>
    </row>
    <row r="506" spans="1:2" x14ac:dyDescent="0.2">
      <c r="A506" s="6" t="s">
        <v>41</v>
      </c>
      <c r="B506" s="13">
        <v>10305</v>
      </c>
    </row>
    <row r="507" spans="1:2" x14ac:dyDescent="0.2">
      <c r="A507" s="8" t="s">
        <v>3</v>
      </c>
      <c r="B507" s="10">
        <f>SUM(B503:B506)</f>
        <v>770595</v>
      </c>
    </row>
    <row r="508" spans="1:2" x14ac:dyDescent="0.2">
      <c r="A508" s="2"/>
      <c r="B508" s="13"/>
    </row>
    <row r="509" spans="1:2" x14ac:dyDescent="0.2">
      <c r="A509" s="6" t="s">
        <v>16</v>
      </c>
      <c r="B509" s="13">
        <v>45000</v>
      </c>
    </row>
    <row r="510" spans="1:2" x14ac:dyDescent="0.2">
      <c r="A510" s="5" t="s">
        <v>46</v>
      </c>
      <c r="B510" s="27">
        <v>15710000</v>
      </c>
    </row>
    <row r="511" spans="1:2" x14ac:dyDescent="0.2">
      <c r="A511" s="5" t="s">
        <v>7</v>
      </c>
      <c r="B511" s="13">
        <f>(B510+B509)*0.27</f>
        <v>4253850</v>
      </c>
    </row>
    <row r="512" spans="1:2" x14ac:dyDescent="0.2">
      <c r="A512" s="4" t="s">
        <v>6</v>
      </c>
      <c r="B512" s="10">
        <f>SUM(B509:B511)</f>
        <v>20008850</v>
      </c>
    </row>
    <row r="513" spans="1:2" x14ac:dyDescent="0.2">
      <c r="A513" s="21"/>
      <c r="B513" s="20"/>
    </row>
    <row r="514" spans="1:2" x14ac:dyDescent="0.2">
      <c r="A514" s="11" t="s">
        <v>5</v>
      </c>
      <c r="B514" s="19">
        <f>B500+B507+B512</f>
        <v>24627404</v>
      </c>
    </row>
    <row r="515" spans="1:2" x14ac:dyDescent="0.2">
      <c r="A515" s="21"/>
      <c r="B515" s="21"/>
    </row>
    <row r="516" spans="1:2" x14ac:dyDescent="0.2">
      <c r="A516" s="43" t="s">
        <v>45</v>
      </c>
      <c r="B516" s="42"/>
    </row>
    <row r="517" spans="1:2" x14ac:dyDescent="0.2">
      <c r="A517" s="41"/>
      <c r="B517" s="40"/>
    </row>
    <row r="518" spans="1:2" x14ac:dyDescent="0.2">
      <c r="A518" s="6" t="s">
        <v>44</v>
      </c>
      <c r="B518" s="13">
        <f>30336268+1117500+558750</f>
        <v>32012518</v>
      </c>
    </row>
    <row r="519" spans="1:2" x14ac:dyDescent="0.2">
      <c r="A519" s="6" t="s">
        <v>43</v>
      </c>
      <c r="B519" s="13">
        <v>583886</v>
      </c>
    </row>
    <row r="520" spans="1:2" x14ac:dyDescent="0.2">
      <c r="A520" s="6" t="s">
        <v>26</v>
      </c>
      <c r="B520" s="13">
        <v>10000</v>
      </c>
    </row>
    <row r="521" spans="1:2" x14ac:dyDescent="0.2">
      <c r="A521" s="6" t="s">
        <v>21</v>
      </c>
      <c r="B521" s="13">
        <v>117286</v>
      </c>
    </row>
    <row r="522" spans="1:2" x14ac:dyDescent="0.2">
      <c r="A522" s="6" t="s">
        <v>20</v>
      </c>
      <c r="B522" s="13">
        <f>300000+88300</f>
        <v>388300</v>
      </c>
    </row>
    <row r="523" spans="1:2" x14ac:dyDescent="0.2">
      <c r="A523" s="8" t="s">
        <v>4</v>
      </c>
      <c r="B523" s="10">
        <f>SUM(B518:B522)</f>
        <v>33111990</v>
      </c>
    </row>
    <row r="524" spans="1:2" x14ac:dyDescent="0.2">
      <c r="A524" s="6"/>
      <c r="B524" s="13"/>
    </row>
    <row r="525" spans="1:2" x14ac:dyDescent="0.2">
      <c r="A525" s="6" t="s">
        <v>19</v>
      </c>
      <c r="B525" s="13">
        <f>5996943+17000+217913+97781</f>
        <v>6329637</v>
      </c>
    </row>
    <row r="526" spans="1:2" x14ac:dyDescent="0.2">
      <c r="A526" s="6" t="s">
        <v>42</v>
      </c>
      <c r="B526" s="13">
        <v>113858</v>
      </c>
    </row>
    <row r="527" spans="1:2" x14ac:dyDescent="0.2">
      <c r="A527" s="6" t="s">
        <v>18</v>
      </c>
      <c r="B527" s="13">
        <v>30000</v>
      </c>
    </row>
    <row r="528" spans="1:2" x14ac:dyDescent="0.2">
      <c r="A528" s="6" t="s">
        <v>41</v>
      </c>
      <c r="B528" s="13">
        <v>87583</v>
      </c>
    </row>
    <row r="529" spans="1:2" x14ac:dyDescent="0.2">
      <c r="A529" s="8" t="s">
        <v>3</v>
      </c>
      <c r="B529" s="10">
        <f>SUM(B525:B528)</f>
        <v>6561078</v>
      </c>
    </row>
    <row r="530" spans="1:2" x14ac:dyDescent="0.2">
      <c r="A530" s="2"/>
      <c r="B530" s="13"/>
    </row>
    <row r="531" spans="1:2" x14ac:dyDescent="0.2">
      <c r="A531" s="6" t="s">
        <v>16</v>
      </c>
      <c r="B531" s="13">
        <v>310000</v>
      </c>
    </row>
    <row r="532" spans="1:2" x14ac:dyDescent="0.2">
      <c r="A532" s="6" t="s">
        <v>30</v>
      </c>
      <c r="B532" s="13">
        <v>66000</v>
      </c>
    </row>
    <row r="533" spans="1:2" x14ac:dyDescent="0.2">
      <c r="A533" s="7" t="s">
        <v>15</v>
      </c>
      <c r="B533" s="13">
        <v>50000</v>
      </c>
    </row>
    <row r="534" spans="1:2" x14ac:dyDescent="0.2">
      <c r="A534" s="5" t="s">
        <v>14</v>
      </c>
      <c r="B534" s="13">
        <f>SUM(B535:B537)</f>
        <v>370000</v>
      </c>
    </row>
    <row r="535" spans="1:2" x14ac:dyDescent="0.2">
      <c r="A535" s="7" t="s">
        <v>13</v>
      </c>
      <c r="B535" s="13">
        <v>155000</v>
      </c>
    </row>
    <row r="536" spans="1:2" x14ac:dyDescent="0.2">
      <c r="A536" s="7" t="s">
        <v>12</v>
      </c>
      <c r="B536" s="13">
        <v>95000</v>
      </c>
    </row>
    <row r="537" spans="1:2" x14ac:dyDescent="0.2">
      <c r="A537" s="7" t="s">
        <v>11</v>
      </c>
      <c r="B537" s="13">
        <v>120000</v>
      </c>
    </row>
    <row r="538" spans="1:2" x14ac:dyDescent="0.2">
      <c r="A538" s="5" t="s">
        <v>10</v>
      </c>
      <c r="B538" s="13">
        <v>75000</v>
      </c>
    </row>
    <row r="539" spans="1:2" x14ac:dyDescent="0.2">
      <c r="A539" s="5" t="s">
        <v>8</v>
      </c>
      <c r="B539" s="13">
        <v>140000</v>
      </c>
    </row>
    <row r="540" spans="1:2" x14ac:dyDescent="0.2">
      <c r="A540" s="5" t="s">
        <v>7</v>
      </c>
      <c r="B540" s="13">
        <f>(B538+B539+B532+B533+B534+B531)*0.27</f>
        <v>272970</v>
      </c>
    </row>
    <row r="541" spans="1:2" x14ac:dyDescent="0.2">
      <c r="A541" s="4" t="s">
        <v>6</v>
      </c>
      <c r="B541" s="10">
        <f>SUM(B531:B540)-B534</f>
        <v>1283970</v>
      </c>
    </row>
    <row r="542" spans="1:2" x14ac:dyDescent="0.2">
      <c r="A542" s="21"/>
      <c r="B542" s="20"/>
    </row>
    <row r="543" spans="1:2" x14ac:dyDescent="0.2">
      <c r="A543" s="11" t="s">
        <v>5</v>
      </c>
      <c r="B543" s="19">
        <f>B523+B529+B541</f>
        <v>40957038</v>
      </c>
    </row>
    <row r="544" spans="1:2" x14ac:dyDescent="0.2">
      <c r="A544" s="11"/>
      <c r="B544" s="19"/>
    </row>
    <row r="545" spans="1:2" x14ac:dyDescent="0.2">
      <c r="A545" s="39"/>
      <c r="B545" s="26"/>
    </row>
    <row r="546" spans="1:2" x14ac:dyDescent="0.2">
      <c r="A546" s="8" t="s">
        <v>4</v>
      </c>
      <c r="B546" s="38">
        <f>B344+B377+B399+B430+B470+B500+B523+B331</f>
        <v>131384117</v>
      </c>
    </row>
    <row r="547" spans="1:2" x14ac:dyDescent="0.2">
      <c r="A547" s="8" t="s">
        <v>3</v>
      </c>
      <c r="B547" s="38">
        <f>B335+B349+B383+B405+B436+B476+B507+B529</f>
        <v>23519926</v>
      </c>
    </row>
    <row r="548" spans="1:2" x14ac:dyDescent="0.2">
      <c r="A548" s="4" t="s">
        <v>2</v>
      </c>
      <c r="B548" s="38">
        <f>B541+B512+B490+B458+B450+B418+B387+B366</f>
        <v>36478461</v>
      </c>
    </row>
    <row r="549" spans="1:2" ht="36" customHeight="1" x14ac:dyDescent="0.2">
      <c r="A549" s="9" t="s">
        <v>40</v>
      </c>
      <c r="B549" s="38">
        <f>SUM(B546:B548)</f>
        <v>191382504</v>
      </c>
    </row>
    <row r="550" spans="1:2" x14ac:dyDescent="0.2">
      <c r="A550" s="4"/>
      <c r="B550" s="38"/>
    </row>
    <row r="551" spans="1:2" x14ac:dyDescent="0.2">
      <c r="A551" s="4"/>
      <c r="B551" s="38"/>
    </row>
    <row r="552" spans="1:2" x14ac:dyDescent="0.2">
      <c r="A552" s="4"/>
      <c r="B552" s="38"/>
    </row>
    <row r="553" spans="1:2" x14ac:dyDescent="0.2">
      <c r="A553" s="4"/>
      <c r="B553" s="38"/>
    </row>
    <row r="554" spans="1:2" x14ac:dyDescent="0.2">
      <c r="A554" s="4"/>
      <c r="B554" s="38"/>
    </row>
    <row r="555" spans="1:2" x14ac:dyDescent="0.2">
      <c r="A555" s="4"/>
      <c r="B555" s="38"/>
    </row>
    <row r="556" spans="1:2" x14ac:dyDescent="0.2">
      <c r="A556" s="4"/>
      <c r="B556" s="38"/>
    </row>
    <row r="557" spans="1:2" x14ac:dyDescent="0.2">
      <c r="A557" s="37" t="s">
        <v>39</v>
      </c>
      <c r="B557" s="37"/>
    </row>
    <row r="558" spans="1:2" x14ac:dyDescent="0.2">
      <c r="A558" s="36"/>
      <c r="B558" s="36"/>
    </row>
    <row r="559" spans="1:2" x14ac:dyDescent="0.2">
      <c r="A559" s="35" t="s">
        <v>38</v>
      </c>
      <c r="B559" s="35"/>
    </row>
    <row r="560" spans="1:2" x14ac:dyDescent="0.2">
      <c r="A560" s="23"/>
      <c r="B560" s="22"/>
    </row>
    <row r="561" spans="1:2" x14ac:dyDescent="0.2">
      <c r="A561" s="34" t="s">
        <v>37</v>
      </c>
      <c r="B561" s="33"/>
    </row>
    <row r="562" spans="1:2" x14ac:dyDescent="0.2">
      <c r="A562" s="32"/>
      <c r="B562" s="31"/>
    </row>
    <row r="563" spans="1:2" x14ac:dyDescent="0.2">
      <c r="A563" s="6" t="s">
        <v>36</v>
      </c>
      <c r="B563" s="13">
        <f>1033435+4119294+407651</f>
        <v>5560380</v>
      </c>
    </row>
    <row r="564" spans="1:2" x14ac:dyDescent="0.2">
      <c r="A564" s="6" t="s">
        <v>20</v>
      </c>
      <c r="B564" s="13">
        <v>20000</v>
      </c>
    </row>
    <row r="565" spans="1:2" x14ac:dyDescent="0.2">
      <c r="A565" s="8" t="s">
        <v>4</v>
      </c>
      <c r="B565" s="10">
        <f>SUM(B563:B564)</f>
        <v>5580380</v>
      </c>
    </row>
    <row r="566" spans="1:2" x14ac:dyDescent="0.2">
      <c r="A566" s="6"/>
      <c r="B566" s="13"/>
    </row>
    <row r="567" spans="1:2" x14ac:dyDescent="0.2">
      <c r="A567" s="6" t="s">
        <v>19</v>
      </c>
      <c r="B567" s="13">
        <f>102710+401631+71339</f>
        <v>575680</v>
      </c>
    </row>
    <row r="568" spans="1:2" x14ac:dyDescent="0.2">
      <c r="A568" s="6" t="s">
        <v>18</v>
      </c>
      <c r="B568" s="13">
        <v>10000</v>
      </c>
    </row>
    <row r="569" spans="1:2" x14ac:dyDescent="0.2">
      <c r="A569" s="8" t="s">
        <v>3</v>
      </c>
      <c r="B569" s="10">
        <f>SUM(B567:B568)</f>
        <v>585680</v>
      </c>
    </row>
    <row r="570" spans="1:2" x14ac:dyDescent="0.2">
      <c r="A570" s="2"/>
      <c r="B570" s="6"/>
    </row>
    <row r="571" spans="1:2" x14ac:dyDescent="0.2">
      <c r="A571" s="11" t="s">
        <v>5</v>
      </c>
      <c r="B571" s="19">
        <f>B565+B569</f>
        <v>6166060</v>
      </c>
    </row>
    <row r="572" spans="1:2" x14ac:dyDescent="0.2">
      <c r="A572" s="11"/>
      <c r="B572" s="19"/>
    </row>
    <row r="573" spans="1:2" x14ac:dyDescent="0.2">
      <c r="A573" s="18" t="s">
        <v>35</v>
      </c>
      <c r="B573" s="17"/>
    </row>
    <row r="574" spans="1:2" x14ac:dyDescent="0.2">
      <c r="A574" s="16"/>
      <c r="B574" s="16"/>
    </row>
    <row r="575" spans="1:2" x14ac:dyDescent="0.2">
      <c r="A575" s="29" t="s">
        <v>34</v>
      </c>
      <c r="B575" s="30">
        <v>19121000</v>
      </c>
    </row>
    <row r="576" spans="1:2" x14ac:dyDescent="0.2">
      <c r="A576" s="29" t="s">
        <v>33</v>
      </c>
      <c r="B576" s="28">
        <v>25479000</v>
      </c>
    </row>
    <row r="577" spans="1:2" x14ac:dyDescent="0.2">
      <c r="A577" s="5" t="s">
        <v>7</v>
      </c>
      <c r="B577" s="28">
        <f>0.27*(B576+B575)+20000</f>
        <v>12062000</v>
      </c>
    </row>
    <row r="578" spans="1:2" x14ac:dyDescent="0.2">
      <c r="A578" s="4" t="s">
        <v>6</v>
      </c>
      <c r="B578" s="19">
        <f>B575+B576+B577</f>
        <v>56662000</v>
      </c>
    </row>
    <row r="579" spans="1:2" x14ac:dyDescent="0.2">
      <c r="A579" s="4"/>
      <c r="B579" s="19"/>
    </row>
    <row r="580" spans="1:2" x14ac:dyDescent="0.2">
      <c r="A580" s="11" t="s">
        <v>5</v>
      </c>
      <c r="B580" s="19">
        <f>B578</f>
        <v>56662000</v>
      </c>
    </row>
    <row r="581" spans="1:2" x14ac:dyDescent="0.2">
      <c r="A581" s="23"/>
      <c r="B581" s="24"/>
    </row>
    <row r="582" spans="1:2" x14ac:dyDescent="0.2">
      <c r="A582" s="18" t="s">
        <v>32</v>
      </c>
      <c r="B582" s="17"/>
    </row>
    <row r="583" spans="1:2" x14ac:dyDescent="0.2">
      <c r="A583" s="16"/>
      <c r="B583" s="16"/>
    </row>
    <row r="584" spans="1:2" x14ac:dyDescent="0.2">
      <c r="A584" s="6" t="s">
        <v>31</v>
      </c>
      <c r="B584" s="24">
        <v>15348600</v>
      </c>
    </row>
    <row r="585" spans="1:2" x14ac:dyDescent="0.2">
      <c r="A585" s="6" t="s">
        <v>21</v>
      </c>
      <c r="B585" s="24">
        <v>54132</v>
      </c>
    </row>
    <row r="586" spans="1:2" x14ac:dyDescent="0.2">
      <c r="A586" s="6" t="s">
        <v>20</v>
      </c>
      <c r="B586" s="24">
        <v>200000</v>
      </c>
    </row>
    <row r="587" spans="1:2" x14ac:dyDescent="0.2">
      <c r="A587" s="8" t="s">
        <v>4</v>
      </c>
      <c r="B587" s="10">
        <f>SUM(B584:B586)</f>
        <v>15602732</v>
      </c>
    </row>
    <row r="588" spans="1:2" x14ac:dyDescent="0.2">
      <c r="A588" s="6"/>
      <c r="B588" s="24"/>
    </row>
    <row r="589" spans="1:2" x14ac:dyDescent="0.2">
      <c r="A589" s="6" t="s">
        <v>19</v>
      </c>
      <c r="B589" s="28">
        <v>3042533</v>
      </c>
    </row>
    <row r="590" spans="1:2" x14ac:dyDescent="0.2">
      <c r="A590" s="6" t="s">
        <v>18</v>
      </c>
      <c r="B590" s="28">
        <v>10000</v>
      </c>
    </row>
    <row r="591" spans="1:2" x14ac:dyDescent="0.2">
      <c r="A591" s="8" t="s">
        <v>3</v>
      </c>
      <c r="B591" s="26">
        <f>SUM(B589:B590)</f>
        <v>3052533</v>
      </c>
    </row>
    <row r="592" spans="1:2" x14ac:dyDescent="0.2">
      <c r="A592" s="2"/>
      <c r="B592" s="28"/>
    </row>
    <row r="593" spans="1:2" x14ac:dyDescent="0.2">
      <c r="A593" s="6" t="s">
        <v>16</v>
      </c>
      <c r="B593" s="27">
        <v>1180000</v>
      </c>
    </row>
    <row r="594" spans="1:2" x14ac:dyDescent="0.2">
      <c r="A594" s="6" t="s">
        <v>30</v>
      </c>
      <c r="B594" s="13">
        <v>152000</v>
      </c>
    </row>
    <row r="595" spans="1:2" x14ac:dyDescent="0.2">
      <c r="A595" s="7" t="s">
        <v>15</v>
      </c>
      <c r="B595" s="13">
        <v>250000</v>
      </c>
    </row>
    <row r="596" spans="1:2" x14ac:dyDescent="0.2">
      <c r="A596" s="5" t="s">
        <v>14</v>
      </c>
      <c r="B596" s="27">
        <f>SUM(B597:B600)</f>
        <v>2877000</v>
      </c>
    </row>
    <row r="597" spans="1:2" x14ac:dyDescent="0.2">
      <c r="A597" s="7" t="s">
        <v>13</v>
      </c>
      <c r="B597" s="13">
        <v>700000</v>
      </c>
    </row>
    <row r="598" spans="1:2" x14ac:dyDescent="0.2">
      <c r="A598" s="7" t="s">
        <v>29</v>
      </c>
      <c r="B598" s="13">
        <v>936000</v>
      </c>
    </row>
    <row r="599" spans="1:2" x14ac:dyDescent="0.2">
      <c r="A599" s="7" t="s">
        <v>12</v>
      </c>
      <c r="B599" s="13">
        <v>716000</v>
      </c>
    </row>
    <row r="600" spans="1:2" x14ac:dyDescent="0.2">
      <c r="A600" s="7" t="s">
        <v>11</v>
      </c>
      <c r="B600" s="13">
        <v>525000</v>
      </c>
    </row>
    <row r="601" spans="1:2" x14ac:dyDescent="0.2">
      <c r="A601" s="5" t="s">
        <v>10</v>
      </c>
      <c r="B601" s="27">
        <f>550000+50000</f>
        <v>600000</v>
      </c>
    </row>
    <row r="602" spans="1:2" x14ac:dyDescent="0.2">
      <c r="A602" s="5" t="s">
        <v>8</v>
      </c>
      <c r="B602" s="27">
        <v>650000</v>
      </c>
    </row>
    <row r="603" spans="1:2" x14ac:dyDescent="0.2">
      <c r="A603" s="5" t="s">
        <v>7</v>
      </c>
      <c r="B603" s="27">
        <f>(B593+B594+B595+B596+B601+100000)*0.27</f>
        <v>1392930</v>
      </c>
    </row>
    <row r="604" spans="1:2" x14ac:dyDescent="0.2">
      <c r="A604" s="4" t="s">
        <v>6</v>
      </c>
      <c r="B604" s="26">
        <f>B593+B594+B595+B596+B601+B602+B603</f>
        <v>7101930</v>
      </c>
    </row>
    <row r="605" spans="1:2" x14ac:dyDescent="0.2">
      <c r="A605" s="4"/>
      <c r="B605" s="24"/>
    </row>
    <row r="606" spans="1:2" x14ac:dyDescent="0.2">
      <c r="A606" s="11" t="s">
        <v>5</v>
      </c>
      <c r="B606" s="25">
        <f>B587+B591+B604</f>
        <v>25757195</v>
      </c>
    </row>
    <row r="607" spans="1:2" x14ac:dyDescent="0.2">
      <c r="A607" s="11"/>
      <c r="B607" s="24"/>
    </row>
    <row r="608" spans="1:2" x14ac:dyDescent="0.2">
      <c r="A608" s="18" t="s">
        <v>28</v>
      </c>
      <c r="B608" s="17"/>
    </row>
    <row r="609" spans="1:2" x14ac:dyDescent="0.2">
      <c r="A609" s="23"/>
      <c r="B609" s="22"/>
    </row>
    <row r="610" spans="1:2" x14ac:dyDescent="0.2">
      <c r="A610" s="6" t="s">
        <v>27</v>
      </c>
      <c r="B610" s="13">
        <v>47723676</v>
      </c>
    </row>
    <row r="611" spans="1:2" x14ac:dyDescent="0.2">
      <c r="A611" s="6" t="s">
        <v>26</v>
      </c>
      <c r="B611" s="13">
        <v>25000</v>
      </c>
    </row>
    <row r="612" spans="1:2" x14ac:dyDescent="0.2">
      <c r="A612" s="6" t="s">
        <v>21</v>
      </c>
      <c r="B612" s="13">
        <v>117286</v>
      </c>
    </row>
    <row r="613" spans="1:2" x14ac:dyDescent="0.2">
      <c r="A613" s="6" t="s">
        <v>20</v>
      </c>
      <c r="B613" s="13">
        <v>400000</v>
      </c>
    </row>
    <row r="614" spans="1:2" x14ac:dyDescent="0.2">
      <c r="A614" s="6" t="s">
        <v>25</v>
      </c>
      <c r="B614" s="13">
        <v>700000</v>
      </c>
    </row>
    <row r="615" spans="1:2" x14ac:dyDescent="0.2">
      <c r="A615" s="6" t="s">
        <v>24</v>
      </c>
      <c r="B615" s="13">
        <v>584640</v>
      </c>
    </row>
    <row r="616" spans="1:2" x14ac:dyDescent="0.2">
      <c r="A616" s="8" t="s">
        <v>4</v>
      </c>
      <c r="B616" s="10">
        <f>SUM(B610:B615)</f>
        <v>49550602</v>
      </c>
    </row>
    <row r="617" spans="1:2" x14ac:dyDescent="0.2">
      <c r="A617" s="6"/>
      <c r="B617" s="13"/>
    </row>
    <row r="618" spans="1:2" x14ac:dyDescent="0.2">
      <c r="A618" s="6" t="s">
        <v>19</v>
      </c>
      <c r="B618" s="13">
        <f>9529838+102312</f>
        <v>9632150</v>
      </c>
    </row>
    <row r="619" spans="1:2" x14ac:dyDescent="0.2">
      <c r="A619" s="8" t="s">
        <v>3</v>
      </c>
      <c r="B619" s="10">
        <f>SUM(B618:B618)</f>
        <v>9632150</v>
      </c>
    </row>
    <row r="620" spans="1:2" x14ac:dyDescent="0.2">
      <c r="A620" s="2"/>
      <c r="B620" s="13"/>
    </row>
    <row r="621" spans="1:2" x14ac:dyDescent="0.2">
      <c r="A621" s="6" t="s">
        <v>17</v>
      </c>
      <c r="B621" s="13">
        <v>390000</v>
      </c>
    </row>
    <row r="622" spans="1:2" x14ac:dyDescent="0.2">
      <c r="A622" s="5" t="s">
        <v>9</v>
      </c>
      <c r="B622" s="13">
        <v>2456000</v>
      </c>
    </row>
    <row r="623" spans="1:2" x14ac:dyDescent="0.2">
      <c r="A623" s="5" t="s">
        <v>7</v>
      </c>
      <c r="B623" s="13">
        <f>(B621)*0.27</f>
        <v>105300</v>
      </c>
    </row>
    <row r="624" spans="1:2" x14ac:dyDescent="0.2">
      <c r="A624" s="4" t="s">
        <v>6</v>
      </c>
      <c r="B624" s="10">
        <f>SUM(B621:B623)</f>
        <v>2951300</v>
      </c>
    </row>
    <row r="625" spans="1:2" x14ac:dyDescent="0.2">
      <c r="A625" s="21"/>
      <c r="B625" s="20"/>
    </row>
    <row r="626" spans="1:2" x14ac:dyDescent="0.2">
      <c r="A626" s="11" t="s">
        <v>5</v>
      </c>
      <c r="B626" s="19">
        <f>B616+B619+B624</f>
        <v>62134052</v>
      </c>
    </row>
    <row r="627" spans="1:2" x14ac:dyDescent="0.2">
      <c r="A627" s="11"/>
      <c r="B627" s="19"/>
    </row>
    <row r="628" spans="1:2" x14ac:dyDescent="0.2">
      <c r="A628" s="18" t="s">
        <v>23</v>
      </c>
      <c r="B628" s="17"/>
    </row>
    <row r="629" spans="1:2" x14ac:dyDescent="0.2">
      <c r="A629" s="16"/>
      <c r="B629" s="16"/>
    </row>
    <row r="630" spans="1:2" x14ac:dyDescent="0.2">
      <c r="A630" s="6" t="s">
        <v>22</v>
      </c>
      <c r="B630" s="6">
        <v>3666600</v>
      </c>
    </row>
    <row r="631" spans="1:2" x14ac:dyDescent="0.2">
      <c r="A631" s="6" t="s">
        <v>21</v>
      </c>
      <c r="B631" s="6">
        <v>18044</v>
      </c>
    </row>
    <row r="632" spans="1:2" x14ac:dyDescent="0.2">
      <c r="A632" s="6" t="s">
        <v>20</v>
      </c>
      <c r="B632" s="13">
        <f>50000+126700</f>
        <v>176700</v>
      </c>
    </row>
    <row r="633" spans="1:2" x14ac:dyDescent="0.2">
      <c r="A633" s="8" t="s">
        <v>4</v>
      </c>
      <c r="B633" s="10">
        <f>SUM(B630:B632)</f>
        <v>3861344</v>
      </c>
    </row>
    <row r="634" spans="1:2" ht="10.15" customHeight="1" x14ac:dyDescent="0.2">
      <c r="A634" s="6"/>
      <c r="B634" s="13"/>
    </row>
    <row r="635" spans="1:2" x14ac:dyDescent="0.2">
      <c r="A635" s="6" t="s">
        <v>19</v>
      </c>
      <c r="B635" s="13">
        <f>728256+24340</f>
        <v>752596</v>
      </c>
    </row>
    <row r="636" spans="1:2" x14ac:dyDescent="0.2">
      <c r="A636" s="6" t="s">
        <v>18</v>
      </c>
      <c r="B636" s="13">
        <v>5000</v>
      </c>
    </row>
    <row r="637" spans="1:2" x14ac:dyDescent="0.2">
      <c r="A637" s="8" t="s">
        <v>3</v>
      </c>
      <c r="B637" s="10">
        <f>SUM(B635:B636)</f>
        <v>757596</v>
      </c>
    </row>
    <row r="638" spans="1:2" x14ac:dyDescent="0.2">
      <c r="A638" s="2"/>
      <c r="B638" s="13"/>
    </row>
    <row r="639" spans="1:2" x14ac:dyDescent="0.2">
      <c r="A639" s="6" t="s">
        <v>17</v>
      </c>
      <c r="B639" s="13">
        <f>850000+103000</f>
        <v>953000</v>
      </c>
    </row>
    <row r="640" spans="1:2" x14ac:dyDescent="0.2">
      <c r="A640" s="6" t="s">
        <v>16</v>
      </c>
      <c r="B640" s="13">
        <v>80000</v>
      </c>
    </row>
    <row r="641" spans="1:2" x14ac:dyDescent="0.2">
      <c r="A641" s="7" t="s">
        <v>15</v>
      </c>
      <c r="B641" s="13">
        <v>50000</v>
      </c>
    </row>
    <row r="642" spans="1:2" x14ac:dyDescent="0.2">
      <c r="A642" s="5" t="s">
        <v>14</v>
      </c>
      <c r="B642" s="13">
        <f>SUM(B643:B645)</f>
        <v>423000</v>
      </c>
    </row>
    <row r="643" spans="1:2" x14ac:dyDescent="0.2">
      <c r="A643" s="15" t="s">
        <v>13</v>
      </c>
      <c r="B643" s="14">
        <v>293000</v>
      </c>
    </row>
    <row r="644" spans="1:2" x14ac:dyDescent="0.2">
      <c r="A644" s="15" t="s">
        <v>12</v>
      </c>
      <c r="B644" s="14">
        <v>118000</v>
      </c>
    </row>
    <row r="645" spans="1:2" x14ac:dyDescent="0.2">
      <c r="A645" s="15" t="s">
        <v>11</v>
      </c>
      <c r="B645" s="14">
        <v>12000</v>
      </c>
    </row>
    <row r="646" spans="1:2" x14ac:dyDescent="0.2">
      <c r="A646" s="5" t="s">
        <v>10</v>
      </c>
      <c r="B646" s="13">
        <v>50000</v>
      </c>
    </row>
    <row r="647" spans="1:2" x14ac:dyDescent="0.2">
      <c r="A647" s="5" t="s">
        <v>9</v>
      </c>
      <c r="B647" s="13">
        <v>100000</v>
      </c>
    </row>
    <row r="648" spans="1:2" x14ac:dyDescent="0.2">
      <c r="A648" s="5" t="s">
        <v>8</v>
      </c>
      <c r="B648" s="13">
        <v>45000</v>
      </c>
    </row>
    <row r="649" spans="1:2" x14ac:dyDescent="0.2">
      <c r="A649" s="5" t="s">
        <v>7</v>
      </c>
      <c r="B649" s="13">
        <f>(B639+B640+B641+B642+B646+B647+B648)*0.27-103000*0.27</f>
        <v>431460.00000000006</v>
      </c>
    </row>
    <row r="650" spans="1:2" x14ac:dyDescent="0.2">
      <c r="A650" s="4" t="s">
        <v>6</v>
      </c>
      <c r="B650" s="10">
        <f>SUM(B639:B649)-B643-B644-B645</f>
        <v>2132460</v>
      </c>
    </row>
    <row r="651" spans="1:2" ht="8.4499999999999993" customHeight="1" x14ac:dyDescent="0.2">
      <c r="A651" s="2"/>
      <c r="B651" s="12"/>
    </row>
    <row r="652" spans="1:2" x14ac:dyDescent="0.2">
      <c r="A652" s="11" t="s">
        <v>5</v>
      </c>
      <c r="B652" s="10">
        <f>B633+B637+B650</f>
        <v>6751400</v>
      </c>
    </row>
    <row r="653" spans="1:2" x14ac:dyDescent="0.2">
      <c r="A653" s="2"/>
      <c r="B653" s="2"/>
    </row>
    <row r="654" spans="1:2" x14ac:dyDescent="0.2">
      <c r="A654" s="6"/>
      <c r="B654" s="6"/>
    </row>
    <row r="655" spans="1:2" x14ac:dyDescent="0.2">
      <c r="A655" s="8" t="s">
        <v>4</v>
      </c>
      <c r="B655" s="10">
        <f>B633+B616+B587+B565</f>
        <v>74595058</v>
      </c>
    </row>
    <row r="656" spans="1:2" x14ac:dyDescent="0.2">
      <c r="A656" s="8" t="s">
        <v>3</v>
      </c>
      <c r="B656" s="10">
        <f>B637+B619+B591+B569</f>
        <v>14027959</v>
      </c>
    </row>
    <row r="657" spans="1:3" x14ac:dyDescent="0.2">
      <c r="A657" s="4" t="s">
        <v>2</v>
      </c>
      <c r="B657" s="10">
        <f>B650+B624+B604+B578</f>
        <v>68847690</v>
      </c>
    </row>
    <row r="658" spans="1:3" ht="22.5" x14ac:dyDescent="0.2">
      <c r="A658" s="9" t="s">
        <v>1</v>
      </c>
      <c r="B658" s="10">
        <f>B655+B656+B657</f>
        <v>157470707</v>
      </c>
      <c r="C658" t="s">
        <v>0</v>
      </c>
    </row>
    <row r="659" spans="1:3" x14ac:dyDescent="0.2">
      <c r="A659" s="8"/>
      <c r="B659" s="6"/>
    </row>
    <row r="660" spans="1:3" x14ac:dyDescent="0.2">
      <c r="A660" s="8"/>
      <c r="B660" s="6"/>
    </row>
    <row r="661" spans="1:3" x14ac:dyDescent="0.2">
      <c r="A661" s="4"/>
      <c r="B661" s="6"/>
    </row>
    <row r="662" spans="1:3" x14ac:dyDescent="0.2">
      <c r="A662" s="9"/>
      <c r="B662" s="6"/>
    </row>
    <row r="663" spans="1:3" x14ac:dyDescent="0.2">
      <c r="A663" s="8"/>
      <c r="B663" s="3"/>
    </row>
    <row r="664" spans="1:3" x14ac:dyDescent="0.2">
      <c r="A664" s="6"/>
      <c r="B664" s="6"/>
    </row>
    <row r="665" spans="1:3" x14ac:dyDescent="0.2">
      <c r="A665" s="6"/>
      <c r="B665" s="6"/>
    </row>
    <row r="666" spans="1:3" x14ac:dyDescent="0.2">
      <c r="A666" s="6"/>
      <c r="B666" s="6"/>
    </row>
    <row r="667" spans="1:3" x14ac:dyDescent="0.2">
      <c r="A667" s="6"/>
      <c r="B667" s="2"/>
    </row>
    <row r="668" spans="1:3" x14ac:dyDescent="0.2">
      <c r="A668" s="6"/>
      <c r="B668" s="2"/>
    </row>
    <row r="669" spans="1:3" x14ac:dyDescent="0.2">
      <c r="A669" s="8"/>
      <c r="B669" s="3"/>
    </row>
    <row r="670" spans="1:3" x14ac:dyDescent="0.2">
      <c r="A670" s="2"/>
      <c r="B670" s="6"/>
    </row>
    <row r="671" spans="1:3" x14ac:dyDescent="0.2">
      <c r="A671" s="6"/>
      <c r="B671" s="6"/>
    </row>
    <row r="672" spans="1:3" x14ac:dyDescent="0.2">
      <c r="A672" s="6"/>
      <c r="B672" s="6"/>
    </row>
    <row r="673" spans="1:2" x14ac:dyDescent="0.2">
      <c r="A673" s="6"/>
      <c r="B673" s="6"/>
    </row>
    <row r="674" spans="1:2" x14ac:dyDescent="0.2">
      <c r="A674" s="7"/>
      <c r="B674" s="6"/>
    </row>
    <row r="675" spans="1:2" x14ac:dyDescent="0.2">
      <c r="A675" s="5"/>
      <c r="B675" s="6"/>
    </row>
    <row r="676" spans="1:2" x14ac:dyDescent="0.2">
      <c r="A676" s="7"/>
      <c r="B676" s="6"/>
    </row>
    <row r="677" spans="1:2" x14ac:dyDescent="0.2">
      <c r="A677" s="7"/>
      <c r="B677" s="6"/>
    </row>
    <row r="678" spans="1:2" x14ac:dyDescent="0.2">
      <c r="A678" s="7"/>
      <c r="B678" s="6"/>
    </row>
    <row r="679" spans="1:2" x14ac:dyDescent="0.2">
      <c r="A679" s="5"/>
      <c r="B679" s="2"/>
    </row>
    <row r="680" spans="1:2" x14ac:dyDescent="0.2">
      <c r="A680" s="5"/>
      <c r="B680" s="2"/>
    </row>
    <row r="681" spans="1:2" x14ac:dyDescent="0.2">
      <c r="A681" s="5"/>
      <c r="B681" s="2"/>
    </row>
    <row r="682" spans="1:2" x14ac:dyDescent="0.2">
      <c r="A682" s="5"/>
      <c r="B682" s="2"/>
    </row>
    <row r="683" spans="1:2" x14ac:dyDescent="0.2">
      <c r="A683" s="5"/>
      <c r="B683" s="2"/>
    </row>
    <row r="684" spans="1:2" x14ac:dyDescent="0.2">
      <c r="A684" s="5"/>
      <c r="B684" s="2"/>
    </row>
    <row r="685" spans="1:2" x14ac:dyDescent="0.2">
      <c r="A685" s="5"/>
      <c r="B685" s="2"/>
    </row>
    <row r="686" spans="1:2" x14ac:dyDescent="0.2">
      <c r="A686" s="5"/>
      <c r="B686" s="2"/>
    </row>
    <row r="687" spans="1:2" x14ac:dyDescent="0.2">
      <c r="A687" s="5"/>
      <c r="B687" s="2"/>
    </row>
    <row r="688" spans="1:2" x14ac:dyDescent="0.2">
      <c r="A688" s="5"/>
      <c r="B688" s="2"/>
    </row>
    <row r="689" spans="1:2" x14ac:dyDescent="0.2">
      <c r="A689" s="5"/>
      <c r="B689" s="2"/>
    </row>
    <row r="690" spans="1:2" x14ac:dyDescent="0.2">
      <c r="A690" s="5"/>
      <c r="B690" s="2"/>
    </row>
    <row r="691" spans="1:2" x14ac:dyDescent="0.2">
      <c r="A691" s="4"/>
      <c r="B691" s="3"/>
    </row>
    <row r="692" spans="1:2" x14ac:dyDescent="0.2">
      <c r="A692" s="2"/>
      <c r="B692" s="2"/>
    </row>
    <row r="693" spans="1:2" x14ac:dyDescent="0.2">
      <c r="A693" s="2"/>
      <c r="B693" s="2"/>
    </row>
    <row r="694" spans="1:2" x14ac:dyDescent="0.2">
      <c r="A694" s="2"/>
      <c r="B694" s="2"/>
    </row>
    <row r="695" spans="1:2" x14ac:dyDescent="0.2">
      <c r="A695" s="2"/>
      <c r="B695" s="2"/>
    </row>
    <row r="696" spans="1:2" x14ac:dyDescent="0.2">
      <c r="A696" s="2"/>
      <c r="B696" s="2"/>
    </row>
    <row r="697" spans="1:2" x14ac:dyDescent="0.2">
      <c r="A697" s="2"/>
      <c r="B697" s="2"/>
    </row>
    <row r="698" spans="1:2" x14ac:dyDescent="0.2">
      <c r="A698" s="2"/>
      <c r="B698" s="2"/>
    </row>
    <row r="699" spans="1:2" x14ac:dyDescent="0.2">
      <c r="A699" s="2"/>
      <c r="B699" s="2"/>
    </row>
    <row r="700" spans="1:2" x14ac:dyDescent="0.2">
      <c r="A700" s="2"/>
      <c r="B700" s="2"/>
    </row>
    <row r="701" spans="1:2" x14ac:dyDescent="0.2">
      <c r="A701" s="2"/>
      <c r="B701" s="2"/>
    </row>
    <row r="702" spans="1:2" x14ac:dyDescent="0.2">
      <c r="A702" s="2"/>
      <c r="B702" s="2"/>
    </row>
    <row r="703" spans="1:2" x14ac:dyDescent="0.2">
      <c r="A703" s="2"/>
      <c r="B703" s="2"/>
    </row>
    <row r="704" spans="1:2" x14ac:dyDescent="0.2">
      <c r="A704" s="2"/>
      <c r="B704" s="2"/>
    </row>
    <row r="705" spans="1:2" x14ac:dyDescent="0.2">
      <c r="A705" s="2"/>
      <c r="B705" s="2"/>
    </row>
    <row r="706" spans="1:2" x14ac:dyDescent="0.2">
      <c r="A706" s="2"/>
      <c r="B706" s="2"/>
    </row>
    <row r="707" spans="1:2" x14ac:dyDescent="0.2">
      <c r="A707" s="2"/>
      <c r="B707" s="2"/>
    </row>
    <row r="708" spans="1:2" x14ac:dyDescent="0.2">
      <c r="A708" s="2"/>
      <c r="B708" s="2"/>
    </row>
    <row r="709" spans="1:2" x14ac:dyDescent="0.2">
      <c r="A709" s="2"/>
      <c r="B709" s="2"/>
    </row>
    <row r="710" spans="1:2" x14ac:dyDescent="0.2">
      <c r="A710" s="2"/>
      <c r="B710" s="2"/>
    </row>
    <row r="711" spans="1:2" x14ac:dyDescent="0.2">
      <c r="A711" s="2"/>
      <c r="B711" s="2"/>
    </row>
    <row r="712" spans="1:2" x14ac:dyDescent="0.2">
      <c r="A712" s="2"/>
      <c r="B712" s="2"/>
    </row>
    <row r="713" spans="1:2" x14ac:dyDescent="0.2">
      <c r="A713" s="2"/>
      <c r="B713" s="2"/>
    </row>
    <row r="714" spans="1:2" x14ac:dyDescent="0.2">
      <c r="A714" s="1"/>
      <c r="B714" s="1"/>
    </row>
    <row r="715" spans="1:2" x14ac:dyDescent="0.2">
      <c r="A715" s="1"/>
      <c r="B715" s="1"/>
    </row>
    <row r="716" spans="1:2" x14ac:dyDescent="0.2">
      <c r="A716" s="1"/>
      <c r="B716" s="1"/>
    </row>
    <row r="717" spans="1:2" x14ac:dyDescent="0.2">
      <c r="A717" s="1"/>
      <c r="B717" s="1"/>
    </row>
  </sheetData>
  <mergeCells count="45">
    <mergeCell ref="A46:B46"/>
    <mergeCell ref="A58:B58"/>
    <mergeCell ref="A217:B217"/>
    <mergeCell ref="A95:B95"/>
    <mergeCell ref="A215:B215"/>
    <mergeCell ref="A422:B422"/>
    <mergeCell ref="A139:B139"/>
    <mergeCell ref="A628:B628"/>
    <mergeCell ref="A557:B557"/>
    <mergeCell ref="A370:B370"/>
    <mergeCell ref="A559:B559"/>
    <mergeCell ref="A323:B323"/>
    <mergeCell ref="A608:B608"/>
    <mergeCell ref="A561:B561"/>
    <mergeCell ref="A582:B582"/>
    <mergeCell ref="A391:B391"/>
    <mergeCell ref="A573:B573"/>
    <mergeCell ref="A1:B1"/>
    <mergeCell ref="A4:B4"/>
    <mergeCell ref="A6:B6"/>
    <mergeCell ref="A289:B289"/>
    <mergeCell ref="A2:B2"/>
    <mergeCell ref="A233:B233"/>
    <mergeCell ref="A231:B231"/>
    <mergeCell ref="A8:B8"/>
    <mergeCell ref="A20:B20"/>
    <mergeCell ref="A107:B107"/>
    <mergeCell ref="A516:B516"/>
    <mergeCell ref="A338:B338"/>
    <mergeCell ref="A327:B327"/>
    <mergeCell ref="A454:B454"/>
    <mergeCell ref="A269:B269"/>
    <mergeCell ref="A325:B325"/>
    <mergeCell ref="A494:B494"/>
    <mergeCell ref="A279:B279"/>
    <mergeCell ref="A11:B11"/>
    <mergeCell ref="A198:B198"/>
    <mergeCell ref="A463:B463"/>
    <mergeCell ref="A171:B171"/>
    <mergeCell ref="A213:B213"/>
    <mergeCell ref="A169:B169"/>
    <mergeCell ref="A105:B105"/>
    <mergeCell ref="A299:B299"/>
    <mergeCell ref="A133:B133"/>
    <mergeCell ref="A77:B77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2020-02-05T11:48:58Z</dcterms:created>
  <dcterms:modified xsi:type="dcterms:W3CDTF">2020-02-05T11:49:06Z</dcterms:modified>
</cp:coreProperties>
</file>