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78" i="1"/>
  <c r="S78" s="1"/>
  <c r="N78"/>
  <c r="M78"/>
  <c r="L78"/>
  <c r="T78" s="1"/>
  <c r="K78"/>
  <c r="J78"/>
  <c r="P78" s="1"/>
  <c r="G78"/>
  <c r="F78"/>
  <c r="I78" s="1"/>
  <c r="E78"/>
  <c r="D78"/>
  <c r="Q78" s="1"/>
  <c r="R78" s="1"/>
  <c r="C78"/>
  <c r="T77"/>
  <c r="R77"/>
  <c r="Q77"/>
  <c r="P77"/>
  <c r="H77"/>
  <c r="F77"/>
  <c r="S77" s="1"/>
  <c r="N76"/>
  <c r="M76"/>
  <c r="L76"/>
  <c r="K76"/>
  <c r="J76"/>
  <c r="P76" s="1"/>
  <c r="G76"/>
  <c r="E76"/>
  <c r="C76"/>
  <c r="P75"/>
  <c r="O75"/>
  <c r="O76" s="1"/>
  <c r="F75"/>
  <c r="T75" s="1"/>
  <c r="T74"/>
  <c r="S74"/>
  <c r="P74"/>
  <c r="I74"/>
  <c r="H74"/>
  <c r="D74"/>
  <c r="Q74" s="1"/>
  <c r="R74" s="1"/>
  <c r="T73"/>
  <c r="S73"/>
  <c r="R73"/>
  <c r="Q73"/>
  <c r="P73"/>
  <c r="I73"/>
  <c r="H73"/>
  <c r="Q72"/>
  <c r="R72" s="1"/>
  <c r="P72"/>
  <c r="F72"/>
  <c r="T72" s="1"/>
  <c r="D72"/>
  <c r="D75" s="1"/>
  <c r="N71"/>
  <c r="M71"/>
  <c r="L71"/>
  <c r="J71"/>
  <c r="P71" s="1"/>
  <c r="G71"/>
  <c r="E71"/>
  <c r="C71"/>
  <c r="P70"/>
  <c r="O70"/>
  <c r="T69"/>
  <c r="S69"/>
  <c r="Q69"/>
  <c r="R69" s="1"/>
  <c r="P69"/>
  <c r="I69"/>
  <c r="H69"/>
  <c r="T68"/>
  <c r="S68"/>
  <c r="R68"/>
  <c r="Q68"/>
  <c r="P68"/>
  <c r="I68"/>
  <c r="H68"/>
  <c r="P67"/>
  <c r="O67"/>
  <c r="O71" s="1"/>
  <c r="N67"/>
  <c r="K67"/>
  <c r="D67"/>
  <c r="F67" s="1"/>
  <c r="I67" s="1"/>
  <c r="T66"/>
  <c r="S66"/>
  <c r="P66"/>
  <c r="K66"/>
  <c r="Q66" s="1"/>
  <c r="R66" s="1"/>
  <c r="I66"/>
  <c r="H66"/>
  <c r="D66"/>
  <c r="P65"/>
  <c r="D65"/>
  <c r="Q65" s="1"/>
  <c r="R65" s="1"/>
  <c r="T64"/>
  <c r="S64"/>
  <c r="P64"/>
  <c r="K64"/>
  <c r="I64"/>
  <c r="H64"/>
  <c r="O63"/>
  <c r="N63"/>
  <c r="M63"/>
  <c r="L63"/>
  <c r="K63"/>
  <c r="Q63" s="1"/>
  <c r="R63" s="1"/>
  <c r="J63"/>
  <c r="E63"/>
  <c r="D63"/>
  <c r="H63" s="1"/>
  <c r="C63"/>
  <c r="P63" s="1"/>
  <c r="T62"/>
  <c r="S62"/>
  <c r="Q62"/>
  <c r="R62" s="1"/>
  <c r="P62"/>
  <c r="I62"/>
  <c r="H62"/>
  <c r="T61"/>
  <c r="R61"/>
  <c r="Q61"/>
  <c r="P61"/>
  <c r="H61"/>
  <c r="F61"/>
  <c r="S61" s="1"/>
  <c r="T60"/>
  <c r="S60"/>
  <c r="R60"/>
  <c r="Q60"/>
  <c r="P60"/>
  <c r="I60"/>
  <c r="H60"/>
  <c r="T59"/>
  <c r="S59"/>
  <c r="Q59"/>
  <c r="R59" s="1"/>
  <c r="P59"/>
  <c r="I59"/>
  <c r="H59"/>
  <c r="T58"/>
  <c r="S58"/>
  <c r="R58"/>
  <c r="Q58"/>
  <c r="P58"/>
  <c r="I58"/>
  <c r="H58"/>
  <c r="T57"/>
  <c r="S57"/>
  <c r="Q57"/>
  <c r="R57" s="1"/>
  <c r="P57"/>
  <c r="I57"/>
  <c r="H57"/>
  <c r="T56"/>
  <c r="S56"/>
  <c r="R56"/>
  <c r="Q56"/>
  <c r="P56"/>
  <c r="I56"/>
  <c r="H56"/>
  <c r="S55"/>
  <c r="Q55"/>
  <c r="R55" s="1"/>
  <c r="P55"/>
  <c r="H55"/>
  <c r="G55"/>
  <c r="T55" s="1"/>
  <c r="F55"/>
  <c r="F63" s="1"/>
  <c r="T54"/>
  <c r="S54"/>
  <c r="R54"/>
  <c r="Q54"/>
  <c r="P54"/>
  <c r="I54"/>
  <c r="H54"/>
  <c r="O53"/>
  <c r="T53" s="1"/>
  <c r="N53"/>
  <c r="M53"/>
  <c r="L53"/>
  <c r="K53"/>
  <c r="Q53" s="1"/>
  <c r="R53" s="1"/>
  <c r="J53"/>
  <c r="G53"/>
  <c r="I53" s="1"/>
  <c r="F53"/>
  <c r="E53"/>
  <c r="D53"/>
  <c r="H53" s="1"/>
  <c r="C53"/>
  <c r="P53" s="1"/>
  <c r="T52"/>
  <c r="S52"/>
  <c r="Q52"/>
  <c r="R52" s="1"/>
  <c r="P52"/>
  <c r="I52"/>
  <c r="H52"/>
  <c r="T51"/>
  <c r="S51"/>
  <c r="R51"/>
  <c r="Q51"/>
  <c r="P51"/>
  <c r="I51"/>
  <c r="H51"/>
  <c r="T50"/>
  <c r="S50"/>
  <c r="Q50"/>
  <c r="R50" s="1"/>
  <c r="P50"/>
  <c r="I50"/>
  <c r="H50"/>
  <c r="N48"/>
  <c r="M48"/>
  <c r="L48"/>
  <c r="K48"/>
  <c r="J48"/>
  <c r="P48" s="1"/>
  <c r="G48"/>
  <c r="E48"/>
  <c r="D48"/>
  <c r="Q48" s="1"/>
  <c r="R48" s="1"/>
  <c r="C48"/>
  <c r="T47"/>
  <c r="S47"/>
  <c r="R47"/>
  <c r="Q47"/>
  <c r="P47"/>
  <c r="I47"/>
  <c r="H47"/>
  <c r="T46"/>
  <c r="S46"/>
  <c r="Q46"/>
  <c r="R46" s="1"/>
  <c r="P46"/>
  <c r="I46"/>
  <c r="H46"/>
  <c r="T45"/>
  <c r="S45"/>
  <c r="R45"/>
  <c r="Q45"/>
  <c r="P45"/>
  <c r="I45"/>
  <c r="H45"/>
  <c r="Q44"/>
  <c r="R44" s="1"/>
  <c r="P44"/>
  <c r="O44"/>
  <c r="T44" s="1"/>
  <c r="I44"/>
  <c r="H44"/>
  <c r="Q43"/>
  <c r="R43" s="1"/>
  <c r="P43"/>
  <c r="O43"/>
  <c r="O48" s="1"/>
  <c r="L43"/>
  <c r="H43"/>
  <c r="F43"/>
  <c r="F48" s="1"/>
  <c r="I48" s="1"/>
  <c r="O42"/>
  <c r="T42" s="1"/>
  <c r="N42"/>
  <c r="M42"/>
  <c r="L42"/>
  <c r="K42"/>
  <c r="Q42" s="1"/>
  <c r="R42" s="1"/>
  <c r="J42"/>
  <c r="G42"/>
  <c r="E42"/>
  <c r="D42"/>
  <c r="H42" s="1"/>
  <c r="C42"/>
  <c r="P42" s="1"/>
  <c r="Q41"/>
  <c r="R41" s="1"/>
  <c r="P41"/>
  <c r="H41"/>
  <c r="F41"/>
  <c r="F42" s="1"/>
  <c r="I42" s="1"/>
  <c r="T40"/>
  <c r="S40"/>
  <c r="Q40"/>
  <c r="R40" s="1"/>
  <c r="P40"/>
  <c r="I40"/>
  <c r="H40"/>
  <c r="N39"/>
  <c r="M39"/>
  <c r="K39"/>
  <c r="J39"/>
  <c r="P39" s="1"/>
  <c r="G39"/>
  <c r="E39"/>
  <c r="C39"/>
  <c r="P38"/>
  <c r="L38"/>
  <c r="F38"/>
  <c r="S38" s="1"/>
  <c r="D38"/>
  <c r="Q38" s="1"/>
  <c r="R38" s="1"/>
  <c r="P37"/>
  <c r="O37"/>
  <c r="L37"/>
  <c r="L39" s="1"/>
  <c r="D37"/>
  <c r="Q37" s="1"/>
  <c r="R37" s="1"/>
  <c r="T36"/>
  <c r="S36"/>
  <c r="Q36"/>
  <c r="R36" s="1"/>
  <c r="P36"/>
  <c r="I36"/>
  <c r="H36"/>
  <c r="R35"/>
  <c r="Q35"/>
  <c r="P35"/>
  <c r="L35"/>
  <c r="H35"/>
  <c r="F35"/>
  <c r="S35" s="1"/>
  <c r="Q34"/>
  <c r="R34" s="1"/>
  <c r="P34"/>
  <c r="O34"/>
  <c r="O39" s="1"/>
  <c r="H34"/>
  <c r="F34"/>
  <c r="I34" s="1"/>
  <c r="T33"/>
  <c r="R33"/>
  <c r="Q33"/>
  <c r="P33"/>
  <c r="H33"/>
  <c r="F33"/>
  <c r="S33" s="1"/>
  <c r="T32"/>
  <c r="R32"/>
  <c r="Q32"/>
  <c r="P32"/>
  <c r="H32"/>
  <c r="F32"/>
  <c r="S32" s="1"/>
  <c r="O31"/>
  <c r="N31"/>
  <c r="N49" s="1"/>
  <c r="M31"/>
  <c r="K31"/>
  <c r="J31"/>
  <c r="J49" s="1"/>
  <c r="G31"/>
  <c r="F31"/>
  <c r="I31" s="1"/>
  <c r="E31"/>
  <c r="D31"/>
  <c r="Q31" s="1"/>
  <c r="R31" s="1"/>
  <c r="C31"/>
  <c r="T30"/>
  <c r="S30"/>
  <c r="R30"/>
  <c r="Q30"/>
  <c r="P30"/>
  <c r="I30"/>
  <c r="H30"/>
  <c r="Q29"/>
  <c r="R29" s="1"/>
  <c r="P29"/>
  <c r="L29"/>
  <c r="I29"/>
  <c r="H29"/>
  <c r="O28"/>
  <c r="N28"/>
  <c r="M28"/>
  <c r="M49" s="1"/>
  <c r="K28"/>
  <c r="K49" s="1"/>
  <c r="J28"/>
  <c r="G28"/>
  <c r="G49" s="1"/>
  <c r="E28"/>
  <c r="E49" s="1"/>
  <c r="D28"/>
  <c r="H28" s="1"/>
  <c r="C28"/>
  <c r="S27"/>
  <c r="Q27"/>
  <c r="R27" s="1"/>
  <c r="P27"/>
  <c r="H27"/>
  <c r="F27"/>
  <c r="S26"/>
  <c r="Q26"/>
  <c r="R26" s="1"/>
  <c r="P26"/>
  <c r="O26"/>
  <c r="T26" s="1"/>
  <c r="L26"/>
  <c r="I26"/>
  <c r="H26"/>
  <c r="R25"/>
  <c r="Q25"/>
  <c r="P25"/>
  <c r="O25"/>
  <c r="L25"/>
  <c r="L28" s="1"/>
  <c r="I25"/>
  <c r="H25"/>
  <c r="S24"/>
  <c r="Q24"/>
  <c r="R24" s="1"/>
  <c r="P24"/>
  <c r="H24"/>
  <c r="G24"/>
  <c r="T24" s="1"/>
  <c r="F24"/>
  <c r="O22"/>
  <c r="N22"/>
  <c r="M22"/>
  <c r="L22"/>
  <c r="T22" s="1"/>
  <c r="K22"/>
  <c r="J22"/>
  <c r="P22" s="1"/>
  <c r="H22"/>
  <c r="G22"/>
  <c r="F22"/>
  <c r="I22" s="1"/>
  <c r="E22"/>
  <c r="D22"/>
  <c r="Q22" s="1"/>
  <c r="R22" s="1"/>
  <c r="C22"/>
  <c r="T21"/>
  <c r="R21"/>
  <c r="Q21"/>
  <c r="P21"/>
  <c r="L21"/>
  <c r="H21"/>
  <c r="F21"/>
  <c r="S21" s="1"/>
  <c r="S20"/>
  <c r="Q20"/>
  <c r="R20" s="1"/>
  <c r="P20"/>
  <c r="H20"/>
  <c r="F20"/>
  <c r="T20" s="1"/>
  <c r="T19"/>
  <c r="S19"/>
  <c r="Q19"/>
  <c r="R19" s="1"/>
  <c r="P19"/>
  <c r="I19"/>
  <c r="H19"/>
  <c r="P18"/>
  <c r="N18"/>
  <c r="N23" s="1"/>
  <c r="N79" s="1"/>
  <c r="M18"/>
  <c r="M23" s="1"/>
  <c r="M79" s="1"/>
  <c r="K18"/>
  <c r="K23" s="1"/>
  <c r="J18"/>
  <c r="J23" s="1"/>
  <c r="G18"/>
  <c r="G23" s="1"/>
  <c r="F18"/>
  <c r="I18" s="1"/>
  <c r="E18"/>
  <c r="E23" s="1"/>
  <c r="E79" s="1"/>
  <c r="D18"/>
  <c r="Q18" s="1"/>
  <c r="R18" s="1"/>
  <c r="C18"/>
  <c r="C23" s="1"/>
  <c r="T17"/>
  <c r="R17"/>
  <c r="Q17"/>
  <c r="P17"/>
  <c r="O17"/>
  <c r="S17" s="1"/>
  <c r="L17"/>
  <c r="H17"/>
  <c r="F17"/>
  <c r="I17" s="1"/>
  <c r="T16"/>
  <c r="S16"/>
  <c r="R16"/>
  <c r="Q16"/>
  <c r="P16"/>
  <c r="I16"/>
  <c r="H16"/>
  <c r="T15"/>
  <c r="S15"/>
  <c r="Q15"/>
  <c r="R15" s="1"/>
  <c r="P15"/>
  <c r="I15"/>
  <c r="H15"/>
  <c r="T14"/>
  <c r="S14"/>
  <c r="R14"/>
  <c r="Q14"/>
  <c r="P14"/>
  <c r="I14"/>
  <c r="H14"/>
  <c r="T13"/>
  <c r="S13"/>
  <c r="Q13"/>
  <c r="R13" s="1"/>
  <c r="P13"/>
  <c r="I13"/>
  <c r="H13"/>
  <c r="T12"/>
  <c r="S12"/>
  <c r="R12"/>
  <c r="Q12"/>
  <c r="P12"/>
  <c r="I12"/>
  <c r="H12"/>
  <c r="Q11"/>
  <c r="R11" s="1"/>
  <c r="P11"/>
  <c r="L11"/>
  <c r="T11" s="1"/>
  <c r="I11"/>
  <c r="H11"/>
  <c r="T10"/>
  <c r="S10"/>
  <c r="Q10"/>
  <c r="R10" s="1"/>
  <c r="P10"/>
  <c r="I10"/>
  <c r="H10"/>
  <c r="T9"/>
  <c r="S9"/>
  <c r="R9"/>
  <c r="Q9"/>
  <c r="P9"/>
  <c r="I9"/>
  <c r="H9"/>
  <c r="T8"/>
  <c r="S8"/>
  <c r="Q8"/>
  <c r="R8" s="1"/>
  <c r="P8"/>
  <c r="I8"/>
  <c r="H8"/>
  <c r="T7"/>
  <c r="R7"/>
  <c r="Q7"/>
  <c r="P7"/>
  <c r="L7"/>
  <c r="S7" s="1"/>
  <c r="I7"/>
  <c r="H7"/>
  <c r="T6"/>
  <c r="R6"/>
  <c r="Q6"/>
  <c r="P6"/>
  <c r="L6"/>
  <c r="S6" s="1"/>
  <c r="I6"/>
  <c r="H6"/>
  <c r="T5"/>
  <c r="R5"/>
  <c r="Q5"/>
  <c r="P5"/>
  <c r="O5"/>
  <c r="O18" s="1"/>
  <c r="L5"/>
  <c r="L18" s="1"/>
  <c r="L23" s="1"/>
  <c r="H5"/>
  <c r="F5"/>
  <c r="I5" s="1"/>
  <c r="J79" l="1"/>
  <c r="P23"/>
  <c r="L79"/>
  <c r="O23"/>
  <c r="S18"/>
  <c r="O49"/>
  <c r="S48"/>
  <c r="T48"/>
  <c r="Q75"/>
  <c r="R75" s="1"/>
  <c r="H75"/>
  <c r="D76"/>
  <c r="S76"/>
  <c r="F28"/>
  <c r="T27"/>
  <c r="C49"/>
  <c r="P49" s="1"/>
  <c r="P28"/>
  <c r="T29"/>
  <c r="L31"/>
  <c r="T31" s="1"/>
  <c r="S29"/>
  <c r="H18"/>
  <c r="H23" s="1"/>
  <c r="T18"/>
  <c r="S22"/>
  <c r="D23"/>
  <c r="I24"/>
  <c r="L49"/>
  <c r="S28"/>
  <c r="S31"/>
  <c r="S37"/>
  <c r="S11"/>
  <c r="C79"/>
  <c r="P79" s="1"/>
  <c r="I20"/>
  <c r="I21"/>
  <c r="F23"/>
  <c r="S25"/>
  <c r="T25"/>
  <c r="I27"/>
  <c r="Q28"/>
  <c r="R28" s="1"/>
  <c r="H31"/>
  <c r="P31"/>
  <c r="S34"/>
  <c r="I35"/>
  <c r="T35"/>
  <c r="H37"/>
  <c r="I38"/>
  <c r="T38"/>
  <c r="D39"/>
  <c r="I41"/>
  <c r="S41"/>
  <c r="S42"/>
  <c r="I43"/>
  <c r="S43"/>
  <c r="S44"/>
  <c r="H48"/>
  <c r="S53"/>
  <c r="I55"/>
  <c r="G63"/>
  <c r="I63" s="1"/>
  <c r="S63"/>
  <c r="Q64"/>
  <c r="R64" s="1"/>
  <c r="H65"/>
  <c r="H67"/>
  <c r="Q67"/>
  <c r="R67" s="1"/>
  <c r="S67"/>
  <c r="D70"/>
  <c r="K70"/>
  <c r="K71" s="1"/>
  <c r="K79" s="1"/>
  <c r="D71"/>
  <c r="I72"/>
  <c r="S72"/>
  <c r="I75"/>
  <c r="F76"/>
  <c r="I76" s="1"/>
  <c r="H78"/>
  <c r="S5"/>
  <c r="I32"/>
  <c r="I33"/>
  <c r="T34"/>
  <c r="F37"/>
  <c r="I37" s="1"/>
  <c r="H38"/>
  <c r="T41"/>
  <c r="T43"/>
  <c r="I61"/>
  <c r="F65"/>
  <c r="T67"/>
  <c r="H72"/>
  <c r="S75"/>
  <c r="I77"/>
  <c r="S65" l="1"/>
  <c r="I65"/>
  <c r="F71"/>
  <c r="T65"/>
  <c r="Q39"/>
  <c r="R39" s="1"/>
  <c r="H39"/>
  <c r="I23"/>
  <c r="I28"/>
  <c r="Q71"/>
  <c r="R71" s="1"/>
  <c r="H71"/>
  <c r="Q70"/>
  <c r="R70" s="1"/>
  <c r="F70"/>
  <c r="H70"/>
  <c r="Q23"/>
  <c r="R23" s="1"/>
  <c r="D79"/>
  <c r="Q76"/>
  <c r="R76" s="1"/>
  <c r="H76"/>
  <c r="O79"/>
  <c r="S23"/>
  <c r="T23"/>
  <c r="T28"/>
  <c r="D49"/>
  <c r="F39"/>
  <c r="T37"/>
  <c r="T63"/>
  <c r="G79"/>
  <c r="T76"/>
  <c r="I39" l="1"/>
  <c r="S39"/>
  <c r="T39"/>
  <c r="Q79"/>
  <c r="R79" s="1"/>
  <c r="H79"/>
  <c r="I71"/>
  <c r="S71"/>
  <c r="T71"/>
  <c r="Q49"/>
  <c r="R49" s="1"/>
  <c r="H49"/>
  <c r="I70"/>
  <c r="T70"/>
  <c r="S70"/>
  <c r="F49"/>
  <c r="I49" l="1"/>
  <c r="F79"/>
  <c r="S49"/>
  <c r="T49"/>
  <c r="I79" l="1"/>
  <c r="T79"/>
  <c r="S79"/>
</calcChain>
</file>

<file path=xl/sharedStrings.xml><?xml version="1.0" encoding="utf-8"?>
<sst xmlns="http://schemas.openxmlformats.org/spreadsheetml/2006/main" count="175" uniqueCount="168">
  <si>
    <t xml:space="preserve"> K1-K8. Költségvetési kiadások</t>
  </si>
  <si>
    <t>Harkány Város Önkormányzata</t>
  </si>
  <si>
    <t>Harkányi Közös Önkormányzati Hivatal</t>
  </si>
  <si>
    <t>Harkányi Kulturális- és Sportközpont</t>
  </si>
  <si>
    <t>Összesen:</t>
  </si>
  <si>
    <t>Sor-szám</t>
  </si>
  <si>
    <t>Megnevezés</t>
  </si>
  <si>
    <t>Módosított előirányzat 2017</t>
  </si>
  <si>
    <t>Eredeti előirányzat 2018</t>
  </si>
  <si>
    <t>Eredeti ei Projektek 2018</t>
  </si>
  <si>
    <t>Módosított ei 2018</t>
  </si>
  <si>
    <t>Módosított ei Projektek 2018</t>
  </si>
  <si>
    <t>Eredeti ei összesen 2018        4+5</t>
  </si>
  <si>
    <t>Módosított ei összesen 2018         6+7</t>
  </si>
  <si>
    <t>Eredeti ei projektek nélkül          2018        4+8+10</t>
  </si>
  <si>
    <t>Eredeti ei prjokettekkel együtt         2018          5+12</t>
  </si>
  <si>
    <t>Módosított ei projektek nélkül        2018</t>
  </si>
  <si>
    <t>Módosított ei projektekkel együtt          2018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</si>
  <si>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</si>
  <si>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</si>
  <si>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</si>
  <si>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</si>
  <si>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</si>
  <si>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</si>
  <si>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</si>
  <si>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</si>
  <si>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</si>
  <si>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</si>
  <si>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</si>
  <si>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</si>
  <si>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</si>
  <si>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</si>
  <si>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</si>
  <si>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</si>
  <si>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</si>
  <si>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</si>
  <si>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</si>
  <si>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</si>
  <si>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</si>
  <si>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</si>
  <si>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</si>
  <si>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</si>
  <si>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</si>
  <si>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</si>
  <si>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</si>
  <si>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</si>
  <si>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</si>
  <si>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</si>
  <si>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</si>
  <si>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</si>
  <si>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</si>
  <si>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</si>
  <si>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</si>
  <si>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</si>
  <si>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</si>
  <si>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</si>
  <si>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</si>
  <si>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</si>
  <si>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</si>
  <si>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</si>
  <si>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</si>
  <si>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</si>
  <si>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</si>
  <si>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</si>
  <si>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</si>
  <si>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</si>
  <si>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</si>
  <si>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</si>
  <si>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</si>
  <si>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</si>
  <si>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</si>
  <si>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</si>
  <si>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</si>
  <si>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</si>
  <si>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</si>
  <si>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</si>
  <si>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</si>
  <si>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</si>
  <si>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</si>
  <si>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</si>
  <si>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</si>
  <si>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</si>
  <si>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</si>
  <si>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</si>
  <si>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</si>
  <si>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</si>
  <si>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</si>
  <si>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</si>
  <si>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</si>
  <si>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</si>
  <si>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</si>
  <si>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</si>
  <si>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</si>
  <si>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</si>
  <si>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</si>
  <si>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</si>
  <si>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</si>
  <si>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</si>
  <si>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</si>
  <si>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</si>
  <si>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</si>
  <si>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</si>
  <si>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</si>
  <si>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</si>
  <si>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</si>
  <si>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</si>
  <si>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</si>
  <si>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</si>
  <si>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</si>
  <si>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Lakhatással kapcsolatos ellátások (K46)</t>
  </si>
  <si>
    <t>47</t>
  </si>
  <si>
    <t>Intézményi ellátottak pénzbeli juttatásai (K47)</t>
  </si>
  <si>
    <t>48</t>
  </si>
  <si>
    <t>Egyéb nem intézményi ellátások (K48)</t>
  </si>
  <si>
    <t>49</t>
  </si>
  <si>
    <t>Ellátottak pénzbeli juttatásai (=46+...+53) (K4)</t>
  </si>
  <si>
    <t>50</t>
  </si>
  <si>
    <t>Elvonások és befizetések (K502)</t>
  </si>
  <si>
    <t>51</t>
  </si>
  <si>
    <t>Egyéb működési célú támogatások államháztartáson belülre (K506)</t>
  </si>
  <si>
    <t>52</t>
  </si>
  <si>
    <t>Működési célú visszatérítendő tám Áht.-n belülre( k505)</t>
  </si>
  <si>
    <t>53</t>
  </si>
  <si>
    <t>Működési célú visszatérítendő támogatások, kölcsönök nyújtása államháztartáson kívülre (K508)</t>
  </si>
  <si>
    <t>54</t>
  </si>
  <si>
    <t>Árkiegészítések, ártámogatások (K509)</t>
  </si>
  <si>
    <t>55</t>
  </si>
  <si>
    <t>Kamattámogatások (K510)</t>
  </si>
  <si>
    <t>56</t>
  </si>
  <si>
    <t>Működési célú támogatások az Európai Uniónak (K511)</t>
  </si>
  <si>
    <t>57</t>
  </si>
  <si>
    <t>Egyéb működési célú támogatások államháztartáson kívülre (K512)</t>
  </si>
  <si>
    <t>58</t>
  </si>
  <si>
    <t>Tartalékok (K513)</t>
  </si>
  <si>
    <t>59</t>
  </si>
  <si>
    <t>Egyéb működési célú kiadások (=55+59+…+70) (K5)</t>
  </si>
  <si>
    <t>60</t>
  </si>
  <si>
    <t>Immateriális javak beszerzése, létesítése (K61)</t>
  </si>
  <si>
    <t>61</t>
  </si>
  <si>
    <t>Ingatlanok beszerzése, létesítése (K62)</t>
  </si>
  <si>
    <t>62</t>
  </si>
  <si>
    <t>Informatikai eszközök beszerzése, létesítése (K63)</t>
  </si>
  <si>
    <t>63</t>
  </si>
  <si>
    <t>Egyéb tárgyi eszközök beszerzése, létesítése (K64)</t>
  </si>
  <si>
    <t>64</t>
  </si>
  <si>
    <t>Részesedések beszerzése (K65)</t>
  </si>
  <si>
    <t>65</t>
  </si>
  <si>
    <t>Meglévő részesedések növeléséhez kapcsolódó kiadások (K66)</t>
  </si>
  <si>
    <t>66</t>
  </si>
  <si>
    <t>Beruházási célú előzetesen felszámított általános forgalmi adó (K67)</t>
  </si>
  <si>
    <t>67</t>
  </si>
  <si>
    <t>Beruházások (=72+…+78) (K6)</t>
  </si>
  <si>
    <t>68</t>
  </si>
  <si>
    <t>Ingatlanok felújítása (K71)</t>
  </si>
  <si>
    <t>69</t>
  </si>
  <si>
    <t>Informatikai eszközök felújítása (K72)</t>
  </si>
  <si>
    <t>70</t>
  </si>
  <si>
    <t>Egyéb tárgyi eszközök felújítása  (K73)</t>
  </si>
  <si>
    <t>71</t>
  </si>
  <si>
    <t>Felújítási célú előzetesen felszámított általános forgalmi adó (K74)</t>
  </si>
  <si>
    <t>72</t>
  </si>
  <si>
    <t>Felújítások (=80+...+83) (K7)</t>
  </si>
  <si>
    <t>73</t>
  </si>
  <si>
    <t>Egyéb felhalmozási célú támogatások államháztartáson kívülre  (K89)</t>
  </si>
  <si>
    <t>74</t>
  </si>
  <si>
    <t>Egyéb felhalmozási célú kiadások (=85+…+93) (K8)</t>
  </si>
  <si>
    <t>75</t>
  </si>
  <si>
    <t>Költségvetési kiadások (=19+20+45+54+71+79+84+94) (K1-K8)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</si>
</sst>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/>
    <xf numFmtId="0" fontId="2" fillId="0" borderId="0" xfId="0" applyFont="1"/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/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3" fontId="3" fillId="0" borderId="5" xfId="0" applyNumberFormat="1" applyFont="1" applyBorder="1"/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3"/>
  <sheetViews>
    <sheetView tabSelected="1" topLeftCell="D1" workbookViewId="0">
      <selection sqref="A1:U83"/>
    </sheetView>
  </sheetViews>
  <sheetFormatPr defaultRowHeight="15"/>
  <cols>
    <col min="7" max="7" width="13.5703125" customWidth="1"/>
    <col min="9" max="9" width="12" customWidth="1"/>
    <col min="16" max="16" width="11.5703125" customWidth="1"/>
    <col min="17" max="17" width="11.7109375" customWidth="1"/>
    <col min="18" max="18" width="12.28515625" customWidth="1"/>
    <col min="19" max="19" width="13.28515625" customWidth="1"/>
    <col min="20" max="20" width="13" customWidth="1"/>
  </cols>
  <sheetData>
    <row r="1" spans="1:21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4"/>
      <c r="S1" s="5"/>
      <c r="T1" s="6"/>
      <c r="U1" s="7"/>
    </row>
    <row r="2" spans="1:21" ht="15.75">
      <c r="A2" s="8"/>
      <c r="B2" s="8"/>
      <c r="C2" s="9" t="s">
        <v>1</v>
      </c>
      <c r="D2" s="10"/>
      <c r="E2" s="10"/>
      <c r="F2" s="10"/>
      <c r="G2" s="10"/>
      <c r="H2" s="10"/>
      <c r="I2" s="11"/>
      <c r="J2" s="9" t="s">
        <v>2</v>
      </c>
      <c r="K2" s="10"/>
      <c r="L2" s="11"/>
      <c r="M2" s="12" t="s">
        <v>3</v>
      </c>
      <c r="N2" s="13"/>
      <c r="O2" s="13"/>
      <c r="P2" s="14" t="s">
        <v>4</v>
      </c>
      <c r="Q2" s="15"/>
      <c r="R2" s="15"/>
      <c r="S2" s="15"/>
      <c r="T2" s="16"/>
      <c r="U2" s="7"/>
    </row>
    <row r="3" spans="1:21" ht="94.5">
      <c r="A3" s="17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7</v>
      </c>
      <c r="K3" s="17" t="s">
        <v>8</v>
      </c>
      <c r="L3" s="17" t="s">
        <v>10</v>
      </c>
      <c r="M3" s="17" t="s">
        <v>7</v>
      </c>
      <c r="N3" s="17" t="s">
        <v>8</v>
      </c>
      <c r="O3" s="17" t="s">
        <v>10</v>
      </c>
      <c r="P3" s="18" t="s">
        <v>7</v>
      </c>
      <c r="Q3" s="18" t="s">
        <v>14</v>
      </c>
      <c r="R3" s="18" t="s">
        <v>15</v>
      </c>
      <c r="S3" s="18" t="s">
        <v>16</v>
      </c>
      <c r="T3" s="18" t="s">
        <v>17</v>
      </c>
      <c r="U3" s="7"/>
    </row>
    <row r="4" spans="1:21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19">
        <v>12</v>
      </c>
      <c r="M4" s="19">
        <v>13</v>
      </c>
      <c r="N4" s="19">
        <v>14</v>
      </c>
      <c r="O4" s="19">
        <v>15</v>
      </c>
      <c r="P4" s="19">
        <v>16</v>
      </c>
      <c r="Q4" s="19">
        <v>17</v>
      </c>
      <c r="R4" s="19">
        <v>18</v>
      </c>
      <c r="S4" s="19">
        <v>19</v>
      </c>
      <c r="T4" s="19">
        <v>20</v>
      </c>
      <c r="U4" s="7"/>
    </row>
    <row r="5" spans="1:21" ht="76.5">
      <c r="A5" s="20" t="s">
        <v>18</v>
      </c>
      <c r="B5" s="21" t="s">
        <v>19</v>
      </c>
      <c r="C5" s="22">
        <v>58026173</v>
      </c>
      <c r="D5" s="22">
        <v>55585176</v>
      </c>
      <c r="E5" s="22"/>
      <c r="F5" s="22">
        <f>D5-977300</f>
        <v>54607876</v>
      </c>
      <c r="G5" s="22">
        <v>142835969</v>
      </c>
      <c r="H5" s="22">
        <f t="shared" ref="H5:H21" si="0">SUM(D5:E5)</f>
        <v>55585176</v>
      </c>
      <c r="I5" s="22">
        <f>SUM(F5:G5)</f>
        <v>197443845</v>
      </c>
      <c r="J5" s="22">
        <v>90086880</v>
      </c>
      <c r="K5" s="22">
        <v>96083124</v>
      </c>
      <c r="L5" s="22">
        <f>K5+1255000+745000</f>
        <v>98083124</v>
      </c>
      <c r="M5" s="22">
        <v>23560193</v>
      </c>
      <c r="N5" s="22">
        <v>25907733</v>
      </c>
      <c r="O5" s="22">
        <f>N5+1182813+1800000</f>
        <v>28890546</v>
      </c>
      <c r="P5" s="23">
        <f t="shared" ref="P5:Q36" si="1">C5+J5+M5</f>
        <v>171673246</v>
      </c>
      <c r="Q5" s="23">
        <f>D5+K5+N5</f>
        <v>177576033</v>
      </c>
      <c r="R5" s="24">
        <f t="shared" ref="R5:R68" si="2">Q5+E5</f>
        <v>177576033</v>
      </c>
      <c r="S5" s="24">
        <f>O5+F5+L5</f>
        <v>181581546</v>
      </c>
      <c r="T5" s="24">
        <f>O5+L5+G5+F5</f>
        <v>324417515</v>
      </c>
      <c r="U5" s="7"/>
    </row>
    <row r="6" spans="1:21" ht="38.25">
      <c r="A6" s="20" t="s">
        <v>20</v>
      </c>
      <c r="B6" s="21" t="s">
        <v>21</v>
      </c>
      <c r="C6" s="22">
        <v>1330000</v>
      </c>
      <c r="D6" s="22">
        <v>2433000</v>
      </c>
      <c r="E6" s="22"/>
      <c r="F6" s="22">
        <v>2433000</v>
      </c>
      <c r="G6" s="22"/>
      <c r="H6" s="22">
        <f t="shared" si="0"/>
        <v>2433000</v>
      </c>
      <c r="I6" s="22">
        <f t="shared" ref="I6:I69" si="3">SUM(F6:G6)</f>
        <v>2433000</v>
      </c>
      <c r="J6" s="22">
        <v>4660500</v>
      </c>
      <c r="K6" s="22">
        <v>3742000</v>
      </c>
      <c r="L6" s="22">
        <f>K6+2000000</f>
        <v>5742000</v>
      </c>
      <c r="M6" s="22">
        <v>1131000</v>
      </c>
      <c r="N6" s="22">
        <v>1151250</v>
      </c>
      <c r="O6" s="22">
        <v>1151250</v>
      </c>
      <c r="P6" s="23">
        <f t="shared" si="1"/>
        <v>7121500</v>
      </c>
      <c r="Q6" s="23">
        <f t="shared" si="1"/>
        <v>7326250</v>
      </c>
      <c r="R6" s="24">
        <f t="shared" si="2"/>
        <v>7326250</v>
      </c>
      <c r="S6" s="24">
        <f t="shared" ref="S6:S69" si="4">O6+F6+L6</f>
        <v>9326250</v>
      </c>
      <c r="T6" s="24">
        <f t="shared" ref="T6:T69" si="5">O6+L6+G6+F6</f>
        <v>9326250</v>
      </c>
      <c r="U6" s="7"/>
    </row>
    <row r="7" spans="1:21" ht="63.75">
      <c r="A7" s="20" t="s">
        <v>22</v>
      </c>
      <c r="B7" s="21" t="s">
        <v>23</v>
      </c>
      <c r="C7" s="22">
        <v>1000000</v>
      </c>
      <c r="D7" s="22">
        <v>1500000</v>
      </c>
      <c r="E7" s="22"/>
      <c r="F7" s="22">
        <v>1500000</v>
      </c>
      <c r="G7" s="22"/>
      <c r="H7" s="22">
        <f t="shared" si="0"/>
        <v>1500000</v>
      </c>
      <c r="I7" s="22">
        <f t="shared" si="3"/>
        <v>1500000</v>
      </c>
      <c r="J7" s="22">
        <v>1876024</v>
      </c>
      <c r="K7" s="22">
        <v>4800000</v>
      </c>
      <c r="L7" s="22">
        <f>K7+4800000+872000+2000000-214134</f>
        <v>12257866</v>
      </c>
      <c r="M7" s="22">
        <v>819000</v>
      </c>
      <c r="N7" s="22"/>
      <c r="O7" s="22"/>
      <c r="P7" s="23">
        <f t="shared" si="1"/>
        <v>3695024</v>
      </c>
      <c r="Q7" s="23">
        <f t="shared" si="1"/>
        <v>6300000</v>
      </c>
      <c r="R7" s="24">
        <f t="shared" si="2"/>
        <v>6300000</v>
      </c>
      <c r="S7" s="24">
        <f t="shared" si="4"/>
        <v>13757866</v>
      </c>
      <c r="T7" s="24">
        <f t="shared" si="5"/>
        <v>13757866</v>
      </c>
      <c r="U7" s="7"/>
    </row>
    <row r="8" spans="1:21" ht="89.25">
      <c r="A8" s="20" t="s">
        <v>24</v>
      </c>
      <c r="B8" s="21" t="s">
        <v>25</v>
      </c>
      <c r="C8" s="22">
        <v>2480000</v>
      </c>
      <c r="D8" s="22">
        <v>2950000</v>
      </c>
      <c r="E8" s="22"/>
      <c r="F8" s="22">
        <v>2950000</v>
      </c>
      <c r="G8" s="22"/>
      <c r="H8" s="22">
        <f t="shared" si="0"/>
        <v>2950000</v>
      </c>
      <c r="I8" s="22">
        <f t="shared" si="3"/>
        <v>2950000</v>
      </c>
      <c r="J8" s="22">
        <v>1000000</v>
      </c>
      <c r="K8" s="22"/>
      <c r="L8" s="22"/>
      <c r="M8" s="22">
        <v>3100000</v>
      </c>
      <c r="N8" s="22">
        <v>2900000</v>
      </c>
      <c r="O8" s="22">
        <v>2900000</v>
      </c>
      <c r="P8" s="23">
        <f t="shared" si="1"/>
        <v>6580000</v>
      </c>
      <c r="Q8" s="23">
        <f t="shared" si="1"/>
        <v>5850000</v>
      </c>
      <c r="R8" s="24">
        <f t="shared" si="2"/>
        <v>5850000</v>
      </c>
      <c r="S8" s="24">
        <f t="shared" si="4"/>
        <v>5850000</v>
      </c>
      <c r="T8" s="24">
        <f t="shared" si="5"/>
        <v>5850000</v>
      </c>
      <c r="U8" s="7"/>
    </row>
    <row r="9" spans="1:21" ht="38.25">
      <c r="A9" s="20" t="s">
        <v>26</v>
      </c>
      <c r="B9" s="21" t="s">
        <v>27</v>
      </c>
      <c r="C9" s="22">
        <v>1005000</v>
      </c>
      <c r="D9" s="22"/>
      <c r="E9" s="22"/>
      <c r="F9" s="22"/>
      <c r="G9" s="22"/>
      <c r="H9" s="22">
        <f t="shared" si="0"/>
        <v>0</v>
      </c>
      <c r="I9" s="22">
        <f t="shared" si="3"/>
        <v>0</v>
      </c>
      <c r="J9" s="22"/>
      <c r="K9" s="22"/>
      <c r="L9" s="22"/>
      <c r="M9" s="22"/>
      <c r="N9" s="22"/>
      <c r="O9" s="22"/>
      <c r="P9" s="23">
        <f t="shared" si="1"/>
        <v>1005000</v>
      </c>
      <c r="Q9" s="23">
        <f t="shared" si="1"/>
        <v>0</v>
      </c>
      <c r="R9" s="24">
        <f t="shared" si="2"/>
        <v>0</v>
      </c>
      <c r="S9" s="24">
        <f t="shared" si="4"/>
        <v>0</v>
      </c>
      <c r="T9" s="24">
        <f t="shared" si="5"/>
        <v>0</v>
      </c>
      <c r="U9" s="7"/>
    </row>
    <row r="10" spans="1:21" ht="38.25">
      <c r="A10" s="20" t="s">
        <v>28</v>
      </c>
      <c r="B10" s="21" t="s">
        <v>29</v>
      </c>
      <c r="C10" s="22">
        <v>850070</v>
      </c>
      <c r="D10" s="22"/>
      <c r="E10" s="22"/>
      <c r="F10" s="22"/>
      <c r="G10" s="22"/>
      <c r="H10" s="22">
        <f t="shared" si="0"/>
        <v>0</v>
      </c>
      <c r="I10" s="22">
        <f t="shared" si="3"/>
        <v>0</v>
      </c>
      <c r="J10" s="22">
        <v>857100</v>
      </c>
      <c r="K10" s="22">
        <v>541500</v>
      </c>
      <c r="L10" s="22">
        <v>541500</v>
      </c>
      <c r="M10" s="22"/>
      <c r="N10" s="22"/>
      <c r="O10" s="22"/>
      <c r="P10" s="23">
        <f t="shared" si="1"/>
        <v>1707170</v>
      </c>
      <c r="Q10" s="23">
        <f t="shared" si="1"/>
        <v>541500</v>
      </c>
      <c r="R10" s="24">
        <f t="shared" si="2"/>
        <v>541500</v>
      </c>
      <c r="S10" s="24">
        <f t="shared" si="4"/>
        <v>541500</v>
      </c>
      <c r="T10" s="24">
        <f t="shared" si="5"/>
        <v>541500</v>
      </c>
      <c r="U10" s="7"/>
    </row>
    <row r="11" spans="1:21" ht="51">
      <c r="A11" s="20" t="s">
        <v>30</v>
      </c>
      <c r="B11" s="21" t="s">
        <v>31</v>
      </c>
      <c r="C11" s="22">
        <v>1964000</v>
      </c>
      <c r="D11" s="22">
        <v>1915360</v>
      </c>
      <c r="E11" s="22"/>
      <c r="F11" s="22">
        <v>1915360</v>
      </c>
      <c r="G11" s="22"/>
      <c r="H11" s="22">
        <f t="shared" si="0"/>
        <v>1915360</v>
      </c>
      <c r="I11" s="22">
        <f t="shared" si="3"/>
        <v>1915360</v>
      </c>
      <c r="J11" s="22">
        <v>5289545</v>
      </c>
      <c r="K11" s="22">
        <v>5403800</v>
      </c>
      <c r="L11" s="22">
        <f>K11+1500000</f>
        <v>6903800</v>
      </c>
      <c r="M11" s="22">
        <v>687000</v>
      </c>
      <c r="N11" s="22">
        <v>670000</v>
      </c>
      <c r="O11" s="22">
        <v>670000</v>
      </c>
      <c r="P11" s="23">
        <f t="shared" si="1"/>
        <v>7940545</v>
      </c>
      <c r="Q11" s="23">
        <f t="shared" si="1"/>
        <v>7989160</v>
      </c>
      <c r="R11" s="24">
        <f t="shared" si="2"/>
        <v>7989160</v>
      </c>
      <c r="S11" s="24">
        <f t="shared" si="4"/>
        <v>9489160</v>
      </c>
      <c r="T11" s="24">
        <f t="shared" si="5"/>
        <v>9489160</v>
      </c>
      <c r="U11" s="7"/>
    </row>
    <row r="12" spans="1:21" ht="51">
      <c r="A12" s="20" t="s">
        <v>32</v>
      </c>
      <c r="B12" s="21" t="s">
        <v>33</v>
      </c>
      <c r="C12" s="22">
        <v>208000</v>
      </c>
      <c r="D12" s="22">
        <v>91250</v>
      </c>
      <c r="E12" s="22"/>
      <c r="F12" s="22">
        <v>91250</v>
      </c>
      <c r="G12" s="22"/>
      <c r="H12" s="22">
        <f t="shared" si="0"/>
        <v>91250</v>
      </c>
      <c r="I12" s="22">
        <f t="shared" si="3"/>
        <v>91250</v>
      </c>
      <c r="J12" s="22"/>
      <c r="K12" s="22"/>
      <c r="L12" s="22"/>
      <c r="M12" s="22"/>
      <c r="N12" s="22"/>
      <c r="O12" s="22"/>
      <c r="P12" s="23">
        <f t="shared" si="1"/>
        <v>208000</v>
      </c>
      <c r="Q12" s="23">
        <f t="shared" si="1"/>
        <v>91250</v>
      </c>
      <c r="R12" s="24">
        <f t="shared" si="2"/>
        <v>91250</v>
      </c>
      <c r="S12" s="24">
        <f t="shared" si="4"/>
        <v>91250</v>
      </c>
      <c r="T12" s="24">
        <f t="shared" si="5"/>
        <v>91250</v>
      </c>
      <c r="U12" s="7"/>
    </row>
    <row r="13" spans="1:21" ht="63.75">
      <c r="A13" s="20" t="s">
        <v>34</v>
      </c>
      <c r="B13" s="21" t="s">
        <v>35</v>
      </c>
      <c r="C13" s="22">
        <v>650060</v>
      </c>
      <c r="D13" s="22">
        <v>760000</v>
      </c>
      <c r="E13" s="22"/>
      <c r="F13" s="22">
        <v>760000</v>
      </c>
      <c r="G13" s="22">
        <v>25941</v>
      </c>
      <c r="H13" s="22">
        <f t="shared" si="0"/>
        <v>760000</v>
      </c>
      <c r="I13" s="22">
        <f t="shared" si="3"/>
        <v>785941</v>
      </c>
      <c r="J13" s="22">
        <v>1384210</v>
      </c>
      <c r="K13" s="22">
        <v>1883250</v>
      </c>
      <c r="L13" s="22">
        <v>1883250</v>
      </c>
      <c r="M13" s="22">
        <v>420000</v>
      </c>
      <c r="N13" s="22">
        <v>420000</v>
      </c>
      <c r="O13" s="22">
        <v>420000</v>
      </c>
      <c r="P13" s="23">
        <f t="shared" si="1"/>
        <v>2454270</v>
      </c>
      <c r="Q13" s="23">
        <f t="shared" si="1"/>
        <v>3063250</v>
      </c>
      <c r="R13" s="24">
        <f t="shared" si="2"/>
        <v>3063250</v>
      </c>
      <c r="S13" s="24">
        <f t="shared" si="4"/>
        <v>3063250</v>
      </c>
      <c r="T13" s="24">
        <f t="shared" si="5"/>
        <v>3089191</v>
      </c>
      <c r="U13" s="7"/>
    </row>
    <row r="14" spans="1:21" ht="51">
      <c r="A14" s="20" t="s">
        <v>36</v>
      </c>
      <c r="B14" s="21" t="s">
        <v>37</v>
      </c>
      <c r="C14" s="22"/>
      <c r="D14" s="22"/>
      <c r="E14" s="22"/>
      <c r="F14" s="22"/>
      <c r="G14" s="22"/>
      <c r="H14" s="22">
        <f t="shared" si="0"/>
        <v>0</v>
      </c>
      <c r="I14" s="22">
        <f t="shared" si="3"/>
        <v>0</v>
      </c>
      <c r="J14" s="22"/>
      <c r="K14" s="22"/>
      <c r="L14" s="22"/>
      <c r="M14" s="22"/>
      <c r="N14" s="22"/>
      <c r="O14" s="22"/>
      <c r="P14" s="23">
        <f t="shared" si="1"/>
        <v>0</v>
      </c>
      <c r="Q14" s="23">
        <f t="shared" si="1"/>
        <v>0</v>
      </c>
      <c r="R14" s="24">
        <f t="shared" si="2"/>
        <v>0</v>
      </c>
      <c r="S14" s="24">
        <f t="shared" si="4"/>
        <v>0</v>
      </c>
      <c r="T14" s="24">
        <f t="shared" si="5"/>
        <v>0</v>
      </c>
      <c r="U14" s="7"/>
    </row>
    <row r="15" spans="1:21" ht="38.25">
      <c r="A15" s="20" t="s">
        <v>38</v>
      </c>
      <c r="B15" s="21" t="s">
        <v>39</v>
      </c>
      <c r="C15" s="22"/>
      <c r="D15" s="22"/>
      <c r="E15" s="22"/>
      <c r="F15" s="22"/>
      <c r="G15" s="22"/>
      <c r="H15" s="22">
        <f t="shared" si="0"/>
        <v>0</v>
      </c>
      <c r="I15" s="22">
        <f t="shared" si="3"/>
        <v>0</v>
      </c>
      <c r="J15" s="22"/>
      <c r="K15" s="22"/>
      <c r="L15" s="22"/>
      <c r="M15" s="22"/>
      <c r="N15" s="22"/>
      <c r="O15" s="22"/>
      <c r="P15" s="23">
        <f t="shared" si="1"/>
        <v>0</v>
      </c>
      <c r="Q15" s="23">
        <f t="shared" si="1"/>
        <v>0</v>
      </c>
      <c r="R15" s="24">
        <f t="shared" si="2"/>
        <v>0</v>
      </c>
      <c r="S15" s="24">
        <f t="shared" si="4"/>
        <v>0</v>
      </c>
      <c r="T15" s="24">
        <f t="shared" si="5"/>
        <v>0</v>
      </c>
      <c r="U15" s="7"/>
    </row>
    <row r="16" spans="1:21" ht="38.25">
      <c r="A16" s="20" t="s">
        <v>40</v>
      </c>
      <c r="B16" s="21" t="s">
        <v>41</v>
      </c>
      <c r="C16" s="22"/>
      <c r="D16" s="22"/>
      <c r="E16" s="22"/>
      <c r="F16" s="22"/>
      <c r="G16" s="22"/>
      <c r="H16" s="22">
        <f t="shared" si="0"/>
        <v>0</v>
      </c>
      <c r="I16" s="22">
        <f t="shared" si="3"/>
        <v>0</v>
      </c>
      <c r="J16" s="22"/>
      <c r="K16" s="22"/>
      <c r="L16" s="22"/>
      <c r="M16" s="22"/>
      <c r="N16" s="22"/>
      <c r="O16" s="22"/>
      <c r="P16" s="23">
        <f t="shared" si="1"/>
        <v>0</v>
      </c>
      <c r="Q16" s="23">
        <f t="shared" si="1"/>
        <v>0</v>
      </c>
      <c r="R16" s="24">
        <f t="shared" si="2"/>
        <v>0</v>
      </c>
      <c r="S16" s="24">
        <f t="shared" si="4"/>
        <v>0</v>
      </c>
      <c r="T16" s="24">
        <f t="shared" si="5"/>
        <v>0</v>
      </c>
      <c r="U16" s="7"/>
    </row>
    <row r="17" spans="1:21" ht="76.5">
      <c r="A17" s="20" t="s">
        <v>42</v>
      </c>
      <c r="B17" s="21" t="s">
        <v>43</v>
      </c>
      <c r="C17" s="22">
        <v>2055500</v>
      </c>
      <c r="D17" s="22">
        <v>350000</v>
      </c>
      <c r="E17" s="22"/>
      <c r="F17" s="22">
        <f>D17+172700+977300</f>
        <v>1500000</v>
      </c>
      <c r="G17" s="22">
        <v>50000</v>
      </c>
      <c r="H17" s="22">
        <f t="shared" si="0"/>
        <v>350000</v>
      </c>
      <c r="I17" s="22">
        <f t="shared" si="3"/>
        <v>1550000</v>
      </c>
      <c r="J17" s="22">
        <v>3388083</v>
      </c>
      <c r="K17" s="22">
        <v>9392000</v>
      </c>
      <c r="L17" s="22">
        <f>K17-4800000+1700000</f>
        <v>6292000</v>
      </c>
      <c r="M17" s="22">
        <v>250300</v>
      </c>
      <c r="N17" s="22">
        <v>650000</v>
      </c>
      <c r="O17" s="22">
        <f>N17+5000</f>
        <v>655000</v>
      </c>
      <c r="P17" s="23">
        <f t="shared" si="1"/>
        <v>5693883</v>
      </c>
      <c r="Q17" s="23">
        <f t="shared" si="1"/>
        <v>10392000</v>
      </c>
      <c r="R17" s="24">
        <f t="shared" si="2"/>
        <v>10392000</v>
      </c>
      <c r="S17" s="24">
        <f t="shared" si="4"/>
        <v>8447000</v>
      </c>
      <c r="T17" s="24">
        <f t="shared" si="5"/>
        <v>8497000</v>
      </c>
      <c r="U17" s="7"/>
    </row>
    <row r="18" spans="1:21" ht="76.5">
      <c r="A18" s="25" t="s">
        <v>44</v>
      </c>
      <c r="B18" s="26" t="s">
        <v>45</v>
      </c>
      <c r="C18" s="27">
        <f t="shared" ref="C18:O18" si="6">SUM(C5:C17)</f>
        <v>69568803</v>
      </c>
      <c r="D18" s="27">
        <f t="shared" si="6"/>
        <v>65584786</v>
      </c>
      <c r="E18" s="27">
        <f t="shared" si="6"/>
        <v>0</v>
      </c>
      <c r="F18" s="27">
        <f t="shared" si="6"/>
        <v>65757486</v>
      </c>
      <c r="G18" s="27">
        <f t="shared" si="6"/>
        <v>142911910</v>
      </c>
      <c r="H18" s="22">
        <f t="shared" si="0"/>
        <v>65584786</v>
      </c>
      <c r="I18" s="22">
        <f t="shared" si="3"/>
        <v>208669396</v>
      </c>
      <c r="J18" s="27">
        <f t="shared" si="6"/>
        <v>108542342</v>
      </c>
      <c r="K18" s="27">
        <f t="shared" si="6"/>
        <v>121845674</v>
      </c>
      <c r="L18" s="27">
        <f t="shared" si="6"/>
        <v>131703540</v>
      </c>
      <c r="M18" s="27">
        <f t="shared" si="6"/>
        <v>29967493</v>
      </c>
      <c r="N18" s="27">
        <f t="shared" si="6"/>
        <v>31698983</v>
      </c>
      <c r="O18" s="27">
        <f t="shared" si="6"/>
        <v>34686796</v>
      </c>
      <c r="P18" s="28">
        <f t="shared" si="1"/>
        <v>208078638</v>
      </c>
      <c r="Q18" s="28">
        <f t="shared" si="1"/>
        <v>219129443</v>
      </c>
      <c r="R18" s="29">
        <f t="shared" si="2"/>
        <v>219129443</v>
      </c>
      <c r="S18" s="24">
        <f t="shared" si="4"/>
        <v>232147822</v>
      </c>
      <c r="T18" s="24">
        <f t="shared" si="5"/>
        <v>375059732</v>
      </c>
      <c r="U18" s="7"/>
    </row>
    <row r="19" spans="1:21" ht="63.75">
      <c r="A19" s="20" t="s">
        <v>46</v>
      </c>
      <c r="B19" s="21" t="s">
        <v>47</v>
      </c>
      <c r="C19" s="22">
        <v>20768732</v>
      </c>
      <c r="D19" s="22">
        <v>19989928</v>
      </c>
      <c r="E19" s="22"/>
      <c r="F19" s="22">
        <v>19989928</v>
      </c>
      <c r="G19" s="22"/>
      <c r="H19" s="22">
        <f t="shared" si="0"/>
        <v>19989928</v>
      </c>
      <c r="I19" s="22">
        <f t="shared" si="3"/>
        <v>19989928</v>
      </c>
      <c r="J19" s="22"/>
      <c r="K19" s="22"/>
      <c r="L19" s="22"/>
      <c r="M19" s="22"/>
      <c r="N19" s="22"/>
      <c r="O19" s="22"/>
      <c r="P19" s="23">
        <f t="shared" si="1"/>
        <v>20768732</v>
      </c>
      <c r="Q19" s="23">
        <f t="shared" si="1"/>
        <v>19989928</v>
      </c>
      <c r="R19" s="24">
        <f t="shared" si="2"/>
        <v>19989928</v>
      </c>
      <c r="S19" s="24">
        <f t="shared" si="4"/>
        <v>19989928</v>
      </c>
      <c r="T19" s="24">
        <f t="shared" si="5"/>
        <v>19989928</v>
      </c>
      <c r="U19" s="7"/>
    </row>
    <row r="20" spans="1:21" ht="153">
      <c r="A20" s="20" t="s">
        <v>48</v>
      </c>
      <c r="B20" s="21" t="s">
        <v>49</v>
      </c>
      <c r="C20" s="22">
        <v>8652900</v>
      </c>
      <c r="D20" s="22">
        <v>21421900</v>
      </c>
      <c r="E20" s="22">
        <v>168385266</v>
      </c>
      <c r="F20" s="22">
        <f>D20</f>
        <v>21421900</v>
      </c>
      <c r="G20" s="22">
        <v>18003356</v>
      </c>
      <c r="H20" s="22">
        <f t="shared" si="0"/>
        <v>189807166</v>
      </c>
      <c r="I20" s="22">
        <f t="shared" si="3"/>
        <v>39425256</v>
      </c>
      <c r="J20" s="22">
        <v>150000</v>
      </c>
      <c r="K20" s="22"/>
      <c r="L20" s="22">
        <v>1100357</v>
      </c>
      <c r="M20" s="22">
        <v>750000</v>
      </c>
      <c r="N20" s="22">
        <v>1284000</v>
      </c>
      <c r="O20" s="22">
        <v>1284000</v>
      </c>
      <c r="P20" s="23">
        <f t="shared" si="1"/>
        <v>9552900</v>
      </c>
      <c r="Q20" s="23">
        <f t="shared" si="1"/>
        <v>22705900</v>
      </c>
      <c r="R20" s="24">
        <f t="shared" si="2"/>
        <v>191091166</v>
      </c>
      <c r="S20" s="24">
        <f t="shared" si="4"/>
        <v>23806257</v>
      </c>
      <c r="T20" s="24">
        <f t="shared" si="5"/>
        <v>41809613</v>
      </c>
      <c r="U20" s="7"/>
    </row>
    <row r="21" spans="1:21" ht="63.75">
      <c r="A21" s="20" t="s">
        <v>50</v>
      </c>
      <c r="B21" s="21" t="s">
        <v>51</v>
      </c>
      <c r="C21" s="22">
        <v>2900000</v>
      </c>
      <c r="D21" s="22">
        <v>1000000</v>
      </c>
      <c r="E21" s="22"/>
      <c r="F21" s="22">
        <f>1000000+3000000</f>
        <v>4000000</v>
      </c>
      <c r="G21" s="22"/>
      <c r="H21" s="22">
        <f t="shared" si="0"/>
        <v>1000000</v>
      </c>
      <c r="I21" s="22">
        <f t="shared" si="3"/>
        <v>4000000</v>
      </c>
      <c r="J21" s="22">
        <v>145532</v>
      </c>
      <c r="K21" s="22">
        <v>200000</v>
      </c>
      <c r="L21" s="22">
        <f>K21+300000</f>
        <v>500000</v>
      </c>
      <c r="M21" s="22">
        <v>684000</v>
      </c>
      <c r="N21" s="22">
        <v>773000</v>
      </c>
      <c r="O21" s="22">
        <v>773000</v>
      </c>
      <c r="P21" s="23">
        <f t="shared" si="1"/>
        <v>3729532</v>
      </c>
      <c r="Q21" s="23">
        <f t="shared" si="1"/>
        <v>1973000</v>
      </c>
      <c r="R21" s="24">
        <f t="shared" si="2"/>
        <v>1973000</v>
      </c>
      <c r="S21" s="24">
        <f t="shared" si="4"/>
        <v>5273000</v>
      </c>
      <c r="T21" s="24">
        <f t="shared" si="5"/>
        <v>5273000</v>
      </c>
      <c r="U21" s="7"/>
    </row>
    <row r="22" spans="1:21" ht="63.75">
      <c r="A22" s="25" t="s">
        <v>52</v>
      </c>
      <c r="B22" s="26" t="s">
        <v>53</v>
      </c>
      <c r="C22" s="27">
        <f t="shared" ref="C22:O22" si="7">SUM(C19:C21)</f>
        <v>32321632</v>
      </c>
      <c r="D22" s="27">
        <f t="shared" si="7"/>
        <v>42411828</v>
      </c>
      <c r="E22" s="27">
        <f>SUM(E19:E21)</f>
        <v>168385266</v>
      </c>
      <c r="F22" s="27">
        <f>SUM(F19:F21)</f>
        <v>45411828</v>
      </c>
      <c r="G22" s="27">
        <f>SUM(G19:G21)</f>
        <v>18003356</v>
      </c>
      <c r="H22" s="27">
        <f>SUM(H19:H21)</f>
        <v>210797094</v>
      </c>
      <c r="I22" s="22">
        <f t="shared" si="3"/>
        <v>63415184</v>
      </c>
      <c r="J22" s="27">
        <f t="shared" si="7"/>
        <v>295532</v>
      </c>
      <c r="K22" s="27">
        <f t="shared" si="7"/>
        <v>200000</v>
      </c>
      <c r="L22" s="27">
        <f t="shared" si="7"/>
        <v>1600357</v>
      </c>
      <c r="M22" s="27">
        <f t="shared" si="7"/>
        <v>1434000</v>
      </c>
      <c r="N22" s="27">
        <f t="shared" si="7"/>
        <v>2057000</v>
      </c>
      <c r="O22" s="27">
        <f t="shared" si="7"/>
        <v>2057000</v>
      </c>
      <c r="P22" s="28">
        <f t="shared" si="1"/>
        <v>34051164</v>
      </c>
      <c r="Q22" s="28">
        <f t="shared" si="1"/>
        <v>44668828</v>
      </c>
      <c r="R22" s="30">
        <f t="shared" si="2"/>
        <v>213054094</v>
      </c>
      <c r="S22" s="24">
        <f t="shared" si="4"/>
        <v>49069185</v>
      </c>
      <c r="T22" s="24">
        <f t="shared" si="5"/>
        <v>67072541</v>
      </c>
      <c r="U22" s="7"/>
    </row>
    <row r="23" spans="1:21" ht="51">
      <c r="A23" s="25" t="s">
        <v>54</v>
      </c>
      <c r="B23" s="26" t="s">
        <v>55</v>
      </c>
      <c r="C23" s="27">
        <f t="shared" ref="C23:O23" si="8">C18+C22</f>
        <v>101890435</v>
      </c>
      <c r="D23" s="27">
        <f t="shared" si="8"/>
        <v>107996614</v>
      </c>
      <c r="E23" s="27">
        <f>E18+E22</f>
        <v>168385266</v>
      </c>
      <c r="F23" s="27">
        <f>F18+F22</f>
        <v>111169314</v>
      </c>
      <c r="G23" s="27">
        <f>G18+G22</f>
        <v>160915266</v>
      </c>
      <c r="H23" s="27">
        <f>H18+H22</f>
        <v>276381880</v>
      </c>
      <c r="I23" s="27">
        <f t="shared" si="3"/>
        <v>272084580</v>
      </c>
      <c r="J23" s="27">
        <f t="shared" si="8"/>
        <v>108837874</v>
      </c>
      <c r="K23" s="27">
        <f t="shared" si="8"/>
        <v>122045674</v>
      </c>
      <c r="L23" s="27">
        <f t="shared" si="8"/>
        <v>133303897</v>
      </c>
      <c r="M23" s="27">
        <f t="shared" si="8"/>
        <v>31401493</v>
      </c>
      <c r="N23" s="27">
        <f t="shared" si="8"/>
        <v>33755983</v>
      </c>
      <c r="O23" s="27">
        <f t="shared" si="8"/>
        <v>36743796</v>
      </c>
      <c r="P23" s="28">
        <f t="shared" si="1"/>
        <v>242129802</v>
      </c>
      <c r="Q23" s="28">
        <f t="shared" si="1"/>
        <v>263798271</v>
      </c>
      <c r="R23" s="30">
        <f t="shared" si="2"/>
        <v>432183537</v>
      </c>
      <c r="S23" s="24">
        <f t="shared" si="4"/>
        <v>281217007</v>
      </c>
      <c r="T23" s="24">
        <f t="shared" si="5"/>
        <v>442132273</v>
      </c>
      <c r="U23" s="7"/>
    </row>
    <row r="24" spans="1:21" ht="114.75">
      <c r="A24" s="25" t="s">
        <v>56</v>
      </c>
      <c r="B24" s="26" t="s">
        <v>57</v>
      </c>
      <c r="C24" s="27">
        <v>22404117</v>
      </c>
      <c r="D24" s="27">
        <v>23672928</v>
      </c>
      <c r="E24" s="27">
        <v>32912567</v>
      </c>
      <c r="F24" s="27">
        <f>D24+31615+1</f>
        <v>23704544</v>
      </c>
      <c r="G24" s="27">
        <f>E24-1472218</f>
        <v>31440349</v>
      </c>
      <c r="H24" s="27">
        <f t="shared" ref="H24:H79" si="9">SUM(D24:E24)</f>
        <v>56585495</v>
      </c>
      <c r="I24" s="22">
        <f t="shared" si="3"/>
        <v>55144893</v>
      </c>
      <c r="J24" s="27">
        <v>26563092</v>
      </c>
      <c r="K24" s="27">
        <v>29566762</v>
      </c>
      <c r="L24" s="27">
        <v>31624132</v>
      </c>
      <c r="M24" s="27">
        <v>7457669</v>
      </c>
      <c r="N24" s="27">
        <v>6867979</v>
      </c>
      <c r="O24" s="27">
        <v>7454169</v>
      </c>
      <c r="P24" s="28">
        <f t="shared" si="1"/>
        <v>56424878</v>
      </c>
      <c r="Q24" s="28">
        <f t="shared" si="1"/>
        <v>60107669</v>
      </c>
      <c r="R24" s="29">
        <f t="shared" si="2"/>
        <v>93020236</v>
      </c>
      <c r="S24" s="24">
        <f t="shared" si="4"/>
        <v>62782845</v>
      </c>
      <c r="T24" s="24">
        <f t="shared" si="5"/>
        <v>94223194</v>
      </c>
      <c r="U24" s="7"/>
    </row>
    <row r="25" spans="1:21" ht="51">
      <c r="A25" s="20" t="s">
        <v>58</v>
      </c>
      <c r="B25" s="21" t="s">
        <v>59</v>
      </c>
      <c r="C25" s="22">
        <v>815000</v>
      </c>
      <c r="D25" s="22">
        <v>1500000</v>
      </c>
      <c r="E25" s="22"/>
      <c r="F25" s="22">
        <v>1500000</v>
      </c>
      <c r="G25" s="22"/>
      <c r="H25" s="22">
        <f t="shared" si="9"/>
        <v>1500000</v>
      </c>
      <c r="I25" s="22">
        <f t="shared" si="3"/>
        <v>1500000</v>
      </c>
      <c r="J25" s="22">
        <v>500000</v>
      </c>
      <c r="K25" s="22">
        <v>250000</v>
      </c>
      <c r="L25" s="22">
        <f>K25+300000</f>
        <v>550000</v>
      </c>
      <c r="M25" s="22">
        <v>1563806</v>
      </c>
      <c r="N25" s="22">
        <v>750000</v>
      </c>
      <c r="O25" s="22">
        <f>N25+280316</f>
        <v>1030316</v>
      </c>
      <c r="P25" s="23">
        <f t="shared" si="1"/>
        <v>2878806</v>
      </c>
      <c r="Q25" s="23">
        <f t="shared" si="1"/>
        <v>2500000</v>
      </c>
      <c r="R25" s="24">
        <f t="shared" si="2"/>
        <v>2500000</v>
      </c>
      <c r="S25" s="24">
        <f t="shared" si="4"/>
        <v>3080316</v>
      </c>
      <c r="T25" s="24">
        <f t="shared" si="5"/>
        <v>3080316</v>
      </c>
      <c r="U25" s="7"/>
    </row>
    <row r="26" spans="1:21" ht="63.75">
      <c r="A26" s="20" t="s">
        <v>60</v>
      </c>
      <c r="B26" s="21" t="s">
        <v>61</v>
      </c>
      <c r="C26" s="22">
        <v>10695000</v>
      </c>
      <c r="D26" s="22">
        <v>13100000</v>
      </c>
      <c r="E26" s="22"/>
      <c r="F26" s="22">
        <v>13100000</v>
      </c>
      <c r="G26" s="22"/>
      <c r="H26" s="22">
        <f t="shared" si="9"/>
        <v>13100000</v>
      </c>
      <c r="I26" s="22">
        <f t="shared" si="3"/>
        <v>13100000</v>
      </c>
      <c r="J26" s="22">
        <v>2380000</v>
      </c>
      <c r="K26" s="22">
        <v>3800000</v>
      </c>
      <c r="L26" s="22">
        <f>K26+57774-300000</f>
        <v>3557774</v>
      </c>
      <c r="M26" s="22">
        <v>2525000</v>
      </c>
      <c r="N26" s="22">
        <v>3800000</v>
      </c>
      <c r="O26" s="22">
        <f>N26+500000</f>
        <v>4300000</v>
      </c>
      <c r="P26" s="23">
        <f t="shared" si="1"/>
        <v>15600000</v>
      </c>
      <c r="Q26" s="23">
        <f t="shared" si="1"/>
        <v>20700000</v>
      </c>
      <c r="R26" s="24">
        <f t="shared" si="2"/>
        <v>20700000</v>
      </c>
      <c r="S26" s="24">
        <f t="shared" si="4"/>
        <v>20957774</v>
      </c>
      <c r="T26" s="24">
        <f t="shared" si="5"/>
        <v>20957774</v>
      </c>
      <c r="U26" s="7"/>
    </row>
    <row r="27" spans="1:21" ht="25.5">
      <c r="A27" s="20" t="s">
        <v>62</v>
      </c>
      <c r="B27" s="21" t="s">
        <v>63</v>
      </c>
      <c r="C27" s="22"/>
      <c r="D27" s="22"/>
      <c r="E27" s="22"/>
      <c r="F27" s="22">
        <f>448000</f>
        <v>448000</v>
      </c>
      <c r="G27" s="22"/>
      <c r="H27" s="22">
        <f t="shared" si="9"/>
        <v>0</v>
      </c>
      <c r="I27" s="22">
        <f t="shared" si="3"/>
        <v>448000</v>
      </c>
      <c r="J27" s="22"/>
      <c r="K27" s="22"/>
      <c r="L27" s="22"/>
      <c r="M27" s="22"/>
      <c r="N27" s="22"/>
      <c r="O27" s="22"/>
      <c r="P27" s="23">
        <f t="shared" si="1"/>
        <v>0</v>
      </c>
      <c r="Q27" s="23">
        <f t="shared" si="1"/>
        <v>0</v>
      </c>
      <c r="R27" s="24">
        <f t="shared" si="2"/>
        <v>0</v>
      </c>
      <c r="S27" s="24">
        <f t="shared" si="4"/>
        <v>448000</v>
      </c>
      <c r="T27" s="24">
        <f t="shared" si="5"/>
        <v>448000</v>
      </c>
      <c r="U27" s="7"/>
    </row>
    <row r="28" spans="1:21" ht="51">
      <c r="A28" s="25" t="s">
        <v>64</v>
      </c>
      <c r="B28" s="26" t="s">
        <v>65</v>
      </c>
      <c r="C28" s="27">
        <f t="shared" ref="C28:O28" si="10">SUM(C25:C27)</f>
        <v>11510000</v>
      </c>
      <c r="D28" s="27">
        <f t="shared" si="10"/>
        <v>14600000</v>
      </c>
      <c r="E28" s="27">
        <f t="shared" si="10"/>
        <v>0</v>
      </c>
      <c r="F28" s="27">
        <f t="shared" si="10"/>
        <v>15048000</v>
      </c>
      <c r="G28" s="27">
        <f t="shared" si="10"/>
        <v>0</v>
      </c>
      <c r="H28" s="27">
        <f t="shared" si="9"/>
        <v>14600000</v>
      </c>
      <c r="I28" s="22">
        <f t="shared" si="3"/>
        <v>15048000</v>
      </c>
      <c r="J28" s="27">
        <f t="shared" si="10"/>
        <v>2880000</v>
      </c>
      <c r="K28" s="27">
        <f t="shared" si="10"/>
        <v>4050000</v>
      </c>
      <c r="L28" s="27">
        <f>SUM(L25:L27)</f>
        <v>4107774</v>
      </c>
      <c r="M28" s="27">
        <f t="shared" si="10"/>
        <v>4088806</v>
      </c>
      <c r="N28" s="27">
        <f t="shared" si="10"/>
        <v>4550000</v>
      </c>
      <c r="O28" s="27">
        <f t="shared" si="10"/>
        <v>5330316</v>
      </c>
      <c r="P28" s="28">
        <f t="shared" si="1"/>
        <v>18478806</v>
      </c>
      <c r="Q28" s="28">
        <f t="shared" si="1"/>
        <v>23200000</v>
      </c>
      <c r="R28" s="30">
        <f t="shared" si="2"/>
        <v>23200000</v>
      </c>
      <c r="S28" s="24">
        <f t="shared" si="4"/>
        <v>24486090</v>
      </c>
      <c r="T28" s="24">
        <f t="shared" si="5"/>
        <v>24486090</v>
      </c>
      <c r="U28" s="7"/>
    </row>
    <row r="29" spans="1:21" ht="76.5">
      <c r="A29" s="20" t="s">
        <v>66</v>
      </c>
      <c r="B29" s="21" t="s">
        <v>67</v>
      </c>
      <c r="C29" s="22">
        <v>940000</v>
      </c>
      <c r="D29" s="22">
        <v>1599990</v>
      </c>
      <c r="E29" s="22"/>
      <c r="F29" s="22">
        <v>1599990</v>
      </c>
      <c r="G29" s="22">
        <v>380000</v>
      </c>
      <c r="H29" s="22">
        <f t="shared" si="9"/>
        <v>1599990</v>
      </c>
      <c r="I29" s="22">
        <f t="shared" si="3"/>
        <v>1979990</v>
      </c>
      <c r="J29" s="22">
        <v>3850000</v>
      </c>
      <c r="K29" s="22">
        <v>5200000</v>
      </c>
      <c r="L29" s="22">
        <f>K29</f>
        <v>5200000</v>
      </c>
      <c r="M29" s="22">
        <v>355000</v>
      </c>
      <c r="N29" s="22">
        <v>200000</v>
      </c>
      <c r="O29" s="22">
        <v>200000</v>
      </c>
      <c r="P29" s="23">
        <f t="shared" si="1"/>
        <v>5145000</v>
      </c>
      <c r="Q29" s="23">
        <f t="shared" si="1"/>
        <v>6999990</v>
      </c>
      <c r="R29" s="24">
        <f t="shared" si="2"/>
        <v>6999990</v>
      </c>
      <c r="S29" s="24">
        <f t="shared" si="4"/>
        <v>6999990</v>
      </c>
      <c r="T29" s="24">
        <f t="shared" si="5"/>
        <v>7379990</v>
      </c>
      <c r="U29" s="7"/>
    </row>
    <row r="30" spans="1:21" ht="63.75">
      <c r="A30" s="20" t="s">
        <v>68</v>
      </c>
      <c r="B30" s="21" t="s">
        <v>69</v>
      </c>
      <c r="C30" s="22">
        <v>1083000</v>
      </c>
      <c r="D30" s="22">
        <v>1300000</v>
      </c>
      <c r="E30" s="22"/>
      <c r="F30" s="22">
        <v>1300000</v>
      </c>
      <c r="G30" s="22"/>
      <c r="H30" s="22">
        <f t="shared" si="9"/>
        <v>1300000</v>
      </c>
      <c r="I30" s="22">
        <f t="shared" si="3"/>
        <v>1300000</v>
      </c>
      <c r="J30" s="22">
        <v>1350000</v>
      </c>
      <c r="K30" s="22">
        <v>1750000</v>
      </c>
      <c r="L30" s="22">
        <v>1750000</v>
      </c>
      <c r="M30" s="22">
        <v>440000</v>
      </c>
      <c r="N30" s="22">
        <v>400000</v>
      </c>
      <c r="O30" s="22">
        <v>400000</v>
      </c>
      <c r="P30" s="23">
        <f t="shared" si="1"/>
        <v>2873000</v>
      </c>
      <c r="Q30" s="23">
        <f t="shared" si="1"/>
        <v>3450000</v>
      </c>
      <c r="R30" s="24">
        <f t="shared" si="2"/>
        <v>3450000</v>
      </c>
      <c r="S30" s="24">
        <f t="shared" si="4"/>
        <v>3450000</v>
      </c>
      <c r="T30" s="24">
        <f t="shared" si="5"/>
        <v>3450000</v>
      </c>
      <c r="U30" s="7"/>
    </row>
    <row r="31" spans="1:21" ht="76.5">
      <c r="A31" s="25" t="s">
        <v>70</v>
      </c>
      <c r="B31" s="26" t="s">
        <v>71</v>
      </c>
      <c r="C31" s="27">
        <f t="shared" ref="C31:O31" si="11">SUM(C29:C30)</f>
        <v>2023000</v>
      </c>
      <c r="D31" s="27">
        <f t="shared" si="11"/>
        <v>2899990</v>
      </c>
      <c r="E31" s="27">
        <f t="shared" si="11"/>
        <v>0</v>
      </c>
      <c r="F31" s="27">
        <f t="shared" si="11"/>
        <v>2899990</v>
      </c>
      <c r="G31" s="27">
        <f t="shared" si="11"/>
        <v>380000</v>
      </c>
      <c r="H31" s="27">
        <f t="shared" si="9"/>
        <v>2899990</v>
      </c>
      <c r="I31" s="22">
        <f t="shared" si="3"/>
        <v>3279990</v>
      </c>
      <c r="J31" s="27">
        <f t="shared" si="11"/>
        <v>5200000</v>
      </c>
      <c r="K31" s="27">
        <f t="shared" si="11"/>
        <v>6950000</v>
      </c>
      <c r="L31" s="27">
        <f>SUM(L29:L30)</f>
        <v>6950000</v>
      </c>
      <c r="M31" s="27">
        <f t="shared" si="11"/>
        <v>795000</v>
      </c>
      <c r="N31" s="27">
        <f t="shared" si="11"/>
        <v>600000</v>
      </c>
      <c r="O31" s="27">
        <f t="shared" si="11"/>
        <v>600000</v>
      </c>
      <c r="P31" s="28">
        <f t="shared" si="1"/>
        <v>8018000</v>
      </c>
      <c r="Q31" s="28">
        <f t="shared" si="1"/>
        <v>10449990</v>
      </c>
      <c r="R31" s="30">
        <f t="shared" si="2"/>
        <v>10449990</v>
      </c>
      <c r="S31" s="24">
        <f t="shared" si="4"/>
        <v>10449990</v>
      </c>
      <c r="T31" s="24">
        <f t="shared" si="5"/>
        <v>10829990</v>
      </c>
      <c r="U31" s="7"/>
    </row>
    <row r="32" spans="1:21" ht="38.25">
      <c r="A32" s="20" t="s">
        <v>72</v>
      </c>
      <c r="B32" s="21" t="s">
        <v>73</v>
      </c>
      <c r="C32" s="22">
        <v>20325000</v>
      </c>
      <c r="D32" s="22">
        <v>24500000</v>
      </c>
      <c r="E32" s="22"/>
      <c r="F32" s="22">
        <f>D32-1000000-5000000</f>
        <v>18500000</v>
      </c>
      <c r="G32" s="22">
        <v>565000</v>
      </c>
      <c r="H32" s="22">
        <f t="shared" si="9"/>
        <v>24500000</v>
      </c>
      <c r="I32" s="22">
        <f t="shared" si="3"/>
        <v>19065000</v>
      </c>
      <c r="J32" s="22">
        <v>2750000</v>
      </c>
      <c r="K32" s="22">
        <v>3500000</v>
      </c>
      <c r="L32" s="22">
        <v>3500000</v>
      </c>
      <c r="M32" s="22">
        <v>8200000</v>
      </c>
      <c r="N32" s="22">
        <v>7800000</v>
      </c>
      <c r="O32" s="22">
        <v>7800000</v>
      </c>
      <c r="P32" s="23">
        <f t="shared" si="1"/>
        <v>31275000</v>
      </c>
      <c r="Q32" s="23">
        <f t="shared" si="1"/>
        <v>35800000</v>
      </c>
      <c r="R32" s="24">
        <f t="shared" si="2"/>
        <v>35800000</v>
      </c>
      <c r="S32" s="24">
        <f t="shared" si="4"/>
        <v>29800000</v>
      </c>
      <c r="T32" s="24">
        <f t="shared" si="5"/>
        <v>30365000</v>
      </c>
      <c r="U32" s="7"/>
    </row>
    <row r="33" spans="1:21" ht="38.25">
      <c r="A33" s="20" t="s">
        <v>74</v>
      </c>
      <c r="B33" s="21" t="s">
        <v>75</v>
      </c>
      <c r="C33" s="22">
        <v>5954715</v>
      </c>
      <c r="D33" s="22">
        <v>17500000</v>
      </c>
      <c r="E33" s="22"/>
      <c r="F33" s="22">
        <f>17500000-3000000</f>
        <v>14500000</v>
      </c>
      <c r="G33" s="22"/>
      <c r="H33" s="22">
        <f t="shared" si="9"/>
        <v>17500000</v>
      </c>
      <c r="I33" s="22">
        <f t="shared" si="3"/>
        <v>14500000</v>
      </c>
      <c r="J33" s="22"/>
      <c r="K33" s="22"/>
      <c r="L33" s="22"/>
      <c r="M33" s="22"/>
      <c r="N33" s="22"/>
      <c r="O33" s="22"/>
      <c r="P33" s="23">
        <f t="shared" si="1"/>
        <v>5954715</v>
      </c>
      <c r="Q33" s="23">
        <f t="shared" si="1"/>
        <v>17500000</v>
      </c>
      <c r="R33" s="24">
        <f t="shared" si="2"/>
        <v>17500000</v>
      </c>
      <c r="S33" s="24">
        <f t="shared" si="4"/>
        <v>14500000</v>
      </c>
      <c r="T33" s="24">
        <f t="shared" si="5"/>
        <v>14500000</v>
      </c>
      <c r="U33" s="7"/>
    </row>
    <row r="34" spans="1:21" ht="38.25">
      <c r="A34" s="20" t="s">
        <v>76</v>
      </c>
      <c r="B34" s="21" t="s">
        <v>77</v>
      </c>
      <c r="C34" s="22">
        <v>8621000</v>
      </c>
      <c r="D34" s="22">
        <v>1200000</v>
      </c>
      <c r="E34" s="22"/>
      <c r="F34" s="22">
        <f>D34+10000000+5000000</f>
        <v>16200000</v>
      </c>
      <c r="G34" s="22"/>
      <c r="H34" s="22">
        <f t="shared" si="9"/>
        <v>1200000</v>
      </c>
      <c r="I34" s="22">
        <f t="shared" si="3"/>
        <v>16200000</v>
      </c>
      <c r="J34" s="22">
        <v>50000</v>
      </c>
      <c r="K34" s="22">
        <v>100000</v>
      </c>
      <c r="L34" s="22">
        <v>100000</v>
      </c>
      <c r="M34" s="22">
        <v>1800000</v>
      </c>
      <c r="N34" s="22">
        <v>1600000</v>
      </c>
      <c r="O34" s="22">
        <f>N34-800000</f>
        <v>800000</v>
      </c>
      <c r="P34" s="23">
        <f t="shared" si="1"/>
        <v>10471000</v>
      </c>
      <c r="Q34" s="23">
        <f t="shared" si="1"/>
        <v>2900000</v>
      </c>
      <c r="R34" s="24">
        <f t="shared" si="2"/>
        <v>2900000</v>
      </c>
      <c r="S34" s="24">
        <f t="shared" si="4"/>
        <v>17100000</v>
      </c>
      <c r="T34" s="24">
        <f t="shared" si="5"/>
        <v>17100000</v>
      </c>
      <c r="U34" s="7"/>
    </row>
    <row r="35" spans="1:21" ht="63.75">
      <c r="A35" s="20" t="s">
        <v>78</v>
      </c>
      <c r="B35" s="21" t="s">
        <v>79</v>
      </c>
      <c r="C35" s="22">
        <v>10526000</v>
      </c>
      <c r="D35" s="22">
        <v>16500000</v>
      </c>
      <c r="E35" s="22"/>
      <c r="F35" s="22">
        <f>D35-5000000</f>
        <v>11500000</v>
      </c>
      <c r="G35" s="22"/>
      <c r="H35" s="22">
        <f t="shared" si="9"/>
        <v>16500000</v>
      </c>
      <c r="I35" s="22">
        <f t="shared" si="3"/>
        <v>11500000</v>
      </c>
      <c r="J35" s="22">
        <v>50000</v>
      </c>
      <c r="K35" s="22">
        <v>200000</v>
      </c>
      <c r="L35" s="22">
        <f>K35+200000</f>
        <v>400000</v>
      </c>
      <c r="M35" s="22">
        <v>965000</v>
      </c>
      <c r="N35" s="22">
        <v>900000</v>
      </c>
      <c r="O35" s="22">
        <v>900000</v>
      </c>
      <c r="P35" s="23">
        <f t="shared" si="1"/>
        <v>11541000</v>
      </c>
      <c r="Q35" s="23">
        <f t="shared" si="1"/>
        <v>17600000</v>
      </c>
      <c r="R35" s="24">
        <f t="shared" si="2"/>
        <v>17600000</v>
      </c>
      <c r="S35" s="24">
        <f t="shared" si="4"/>
        <v>12800000</v>
      </c>
      <c r="T35" s="24">
        <f t="shared" si="5"/>
        <v>12800000</v>
      </c>
      <c r="U35" s="7"/>
    </row>
    <row r="36" spans="1:21" ht="51">
      <c r="A36" s="20" t="s">
        <v>80</v>
      </c>
      <c r="B36" s="21" t="s">
        <v>81</v>
      </c>
      <c r="C36" s="22">
        <v>5285000</v>
      </c>
      <c r="D36" s="22">
        <v>2200000</v>
      </c>
      <c r="E36" s="22"/>
      <c r="F36" s="22">
        <v>2200000</v>
      </c>
      <c r="G36" s="22"/>
      <c r="H36" s="22">
        <f t="shared" si="9"/>
        <v>2200000</v>
      </c>
      <c r="I36" s="22">
        <f t="shared" si="3"/>
        <v>2200000</v>
      </c>
      <c r="J36" s="22">
        <v>200000</v>
      </c>
      <c r="K36" s="22">
        <v>250000</v>
      </c>
      <c r="L36" s="22">
        <v>250000</v>
      </c>
      <c r="M36" s="22"/>
      <c r="N36" s="22"/>
      <c r="O36" s="22"/>
      <c r="P36" s="23">
        <f t="shared" si="1"/>
        <v>5485000</v>
      </c>
      <c r="Q36" s="23">
        <f t="shared" si="1"/>
        <v>2450000</v>
      </c>
      <c r="R36" s="24">
        <f t="shared" si="2"/>
        <v>2450000</v>
      </c>
      <c r="S36" s="24">
        <f t="shared" si="4"/>
        <v>2450000</v>
      </c>
      <c r="T36" s="24">
        <f t="shared" si="5"/>
        <v>2450000</v>
      </c>
      <c r="U36" s="7"/>
    </row>
    <row r="37" spans="1:21" ht="89.25">
      <c r="A37" s="20" t="s">
        <v>82</v>
      </c>
      <c r="B37" s="21" t="s">
        <v>83</v>
      </c>
      <c r="C37" s="22">
        <v>32424600</v>
      </c>
      <c r="D37" s="22">
        <f>43000000-600000</f>
        <v>42400000</v>
      </c>
      <c r="E37" s="22"/>
      <c r="F37" s="22">
        <f>D37-542</f>
        <v>42399458</v>
      </c>
      <c r="G37" s="22">
        <v>25844218</v>
      </c>
      <c r="H37" s="22">
        <f t="shared" si="9"/>
        <v>42400000</v>
      </c>
      <c r="I37" s="22">
        <f t="shared" si="3"/>
        <v>68243676</v>
      </c>
      <c r="J37" s="22">
        <v>1600000</v>
      </c>
      <c r="K37" s="22">
        <v>2500000</v>
      </c>
      <c r="L37" s="22">
        <f>K37+1000000</f>
        <v>3500000</v>
      </c>
      <c r="M37" s="22">
        <v>1450000</v>
      </c>
      <c r="N37" s="22">
        <v>1500000</v>
      </c>
      <c r="O37" s="22">
        <f>N37+300000</f>
        <v>1800000</v>
      </c>
      <c r="P37" s="23">
        <f t="shared" ref="P37:Q68" si="12">C37+J37+M37</f>
        <v>35474600</v>
      </c>
      <c r="Q37" s="23">
        <f t="shared" si="12"/>
        <v>46400000</v>
      </c>
      <c r="R37" s="24">
        <f t="shared" si="2"/>
        <v>46400000</v>
      </c>
      <c r="S37" s="24">
        <f t="shared" si="4"/>
        <v>47699458</v>
      </c>
      <c r="T37" s="24">
        <f t="shared" si="5"/>
        <v>73543676</v>
      </c>
      <c r="U37" s="7"/>
    </row>
    <row r="38" spans="1:21" ht="38.25">
      <c r="A38" s="20" t="s">
        <v>84</v>
      </c>
      <c r="B38" s="21" t="s">
        <v>85</v>
      </c>
      <c r="C38" s="22">
        <v>37355000</v>
      </c>
      <c r="D38" s="22">
        <f>41200000-600000</f>
        <v>40600000</v>
      </c>
      <c r="E38" s="22"/>
      <c r="F38" s="22">
        <f>D38-5000000</f>
        <v>35600000</v>
      </c>
      <c r="G38" s="22">
        <v>188589914</v>
      </c>
      <c r="H38" s="22">
        <f t="shared" si="9"/>
        <v>40600000</v>
      </c>
      <c r="I38" s="22">
        <f t="shared" si="3"/>
        <v>224189914</v>
      </c>
      <c r="J38" s="22">
        <v>7300000</v>
      </c>
      <c r="K38" s="22">
        <v>8800000</v>
      </c>
      <c r="L38" s="22">
        <f>K38+47408-1000000-200000-3085+74656</f>
        <v>7718979</v>
      </c>
      <c r="M38" s="22">
        <v>9428000</v>
      </c>
      <c r="N38" s="22">
        <v>12200000</v>
      </c>
      <c r="O38" s="22">
        <v>12200000</v>
      </c>
      <c r="P38" s="23">
        <f t="shared" si="12"/>
        <v>54083000</v>
      </c>
      <c r="Q38" s="23">
        <f t="shared" si="12"/>
        <v>61600000</v>
      </c>
      <c r="R38" s="24">
        <f t="shared" si="2"/>
        <v>61600000</v>
      </c>
      <c r="S38" s="24">
        <f t="shared" si="4"/>
        <v>55518979</v>
      </c>
      <c r="T38" s="24">
        <f t="shared" si="5"/>
        <v>244108893</v>
      </c>
      <c r="U38" s="7"/>
    </row>
    <row r="39" spans="1:21" ht="63.75">
      <c r="A39" s="25" t="s">
        <v>86</v>
      </c>
      <c r="B39" s="26" t="s">
        <v>87</v>
      </c>
      <c r="C39" s="27">
        <f t="shared" ref="C39:O39" si="13">SUM(C32:C38)</f>
        <v>120491315</v>
      </c>
      <c r="D39" s="27">
        <f t="shared" si="13"/>
        <v>144900000</v>
      </c>
      <c r="E39" s="27">
        <f t="shared" si="13"/>
        <v>0</v>
      </c>
      <c r="F39" s="27">
        <f t="shared" si="13"/>
        <v>140899458</v>
      </c>
      <c r="G39" s="27">
        <f t="shared" si="13"/>
        <v>214999132</v>
      </c>
      <c r="H39" s="27">
        <f t="shared" si="9"/>
        <v>144900000</v>
      </c>
      <c r="I39" s="22">
        <f t="shared" si="3"/>
        <v>355898590</v>
      </c>
      <c r="J39" s="27">
        <f t="shared" si="13"/>
        <v>11950000</v>
      </c>
      <c r="K39" s="27">
        <f t="shared" si="13"/>
        <v>15350000</v>
      </c>
      <c r="L39" s="27">
        <f>SUM(L32:L38)</f>
        <v>15468979</v>
      </c>
      <c r="M39" s="27">
        <f t="shared" si="13"/>
        <v>21843000</v>
      </c>
      <c r="N39" s="27">
        <f t="shared" si="13"/>
        <v>24000000</v>
      </c>
      <c r="O39" s="27">
        <f t="shared" si="13"/>
        <v>23500000</v>
      </c>
      <c r="P39" s="28">
        <f t="shared" si="12"/>
        <v>154284315</v>
      </c>
      <c r="Q39" s="28">
        <f t="shared" si="12"/>
        <v>184250000</v>
      </c>
      <c r="R39" s="30">
        <f t="shared" si="2"/>
        <v>184250000</v>
      </c>
      <c r="S39" s="24">
        <f t="shared" si="4"/>
        <v>179868437</v>
      </c>
      <c r="T39" s="24">
        <f t="shared" si="5"/>
        <v>394867569</v>
      </c>
      <c r="U39" s="7"/>
    </row>
    <row r="40" spans="1:21" ht="51">
      <c r="A40" s="20" t="s">
        <v>88</v>
      </c>
      <c r="B40" s="21" t="s">
        <v>89</v>
      </c>
      <c r="C40" s="22">
        <v>1520000</v>
      </c>
      <c r="D40" s="22">
        <v>2500000</v>
      </c>
      <c r="E40" s="22"/>
      <c r="F40" s="22">
        <v>2500000</v>
      </c>
      <c r="G40" s="22"/>
      <c r="H40" s="22">
        <f t="shared" si="9"/>
        <v>2500000</v>
      </c>
      <c r="I40" s="22">
        <f t="shared" si="3"/>
        <v>2500000</v>
      </c>
      <c r="J40" s="22">
        <v>50000</v>
      </c>
      <c r="K40" s="22">
        <v>150000</v>
      </c>
      <c r="L40" s="22">
        <v>150000</v>
      </c>
      <c r="M40" s="22">
        <v>215000</v>
      </c>
      <c r="N40" s="22">
        <v>100000</v>
      </c>
      <c r="O40" s="22">
        <v>100000</v>
      </c>
      <c r="P40" s="23">
        <f t="shared" si="12"/>
        <v>1785000</v>
      </c>
      <c r="Q40" s="23">
        <f t="shared" si="12"/>
        <v>2750000</v>
      </c>
      <c r="R40" s="24">
        <f t="shared" si="2"/>
        <v>2750000</v>
      </c>
      <c r="S40" s="24">
        <f t="shared" si="4"/>
        <v>2750000</v>
      </c>
      <c r="T40" s="24">
        <f t="shared" si="5"/>
        <v>2750000</v>
      </c>
      <c r="U40" s="7"/>
    </row>
    <row r="41" spans="1:21" ht="51">
      <c r="A41" s="20" t="s">
        <v>90</v>
      </c>
      <c r="B41" s="21" t="s">
        <v>91</v>
      </c>
      <c r="C41" s="22">
        <v>1220000</v>
      </c>
      <c r="D41" s="22">
        <v>2000000</v>
      </c>
      <c r="E41" s="22"/>
      <c r="F41" s="22">
        <f>D41+1000000</f>
        <v>3000000</v>
      </c>
      <c r="G41" s="22">
        <v>100000</v>
      </c>
      <c r="H41" s="22">
        <f t="shared" si="9"/>
        <v>2000000</v>
      </c>
      <c r="I41" s="22">
        <f t="shared" si="3"/>
        <v>3100000</v>
      </c>
      <c r="J41" s="22">
        <v>220000</v>
      </c>
      <c r="K41" s="22"/>
      <c r="L41" s="22"/>
      <c r="M41" s="22">
        <v>170000</v>
      </c>
      <c r="N41" s="22">
        <v>150000</v>
      </c>
      <c r="O41" s="22">
        <v>150000</v>
      </c>
      <c r="P41" s="23">
        <f t="shared" si="12"/>
        <v>1610000</v>
      </c>
      <c r="Q41" s="23">
        <f t="shared" si="12"/>
        <v>2150000</v>
      </c>
      <c r="R41" s="24">
        <f t="shared" si="2"/>
        <v>2150000</v>
      </c>
      <c r="S41" s="24">
        <f t="shared" si="4"/>
        <v>3150000</v>
      </c>
      <c r="T41" s="24">
        <f t="shared" si="5"/>
        <v>3250000</v>
      </c>
      <c r="U41" s="7"/>
    </row>
    <row r="42" spans="1:21" ht="102">
      <c r="A42" s="25" t="s">
        <v>92</v>
      </c>
      <c r="B42" s="26" t="s">
        <v>93</v>
      </c>
      <c r="C42" s="27">
        <f t="shared" ref="C42:M42" si="14">SUM(C40:C41)</f>
        <v>2740000</v>
      </c>
      <c r="D42" s="27">
        <f t="shared" si="14"/>
        <v>4500000</v>
      </c>
      <c r="E42" s="27">
        <f t="shared" si="14"/>
        <v>0</v>
      </c>
      <c r="F42" s="27">
        <f t="shared" si="14"/>
        <v>5500000</v>
      </c>
      <c r="G42" s="27">
        <f t="shared" si="14"/>
        <v>100000</v>
      </c>
      <c r="H42" s="22">
        <f t="shared" si="9"/>
        <v>4500000</v>
      </c>
      <c r="I42" s="22">
        <f t="shared" si="3"/>
        <v>5600000</v>
      </c>
      <c r="J42" s="27">
        <f t="shared" si="14"/>
        <v>270000</v>
      </c>
      <c r="K42" s="27">
        <f t="shared" si="14"/>
        <v>150000</v>
      </c>
      <c r="L42" s="27">
        <f t="shared" si="14"/>
        <v>150000</v>
      </c>
      <c r="M42" s="27">
        <f t="shared" si="14"/>
        <v>385000</v>
      </c>
      <c r="N42" s="27">
        <f>SUM(N40:N41)</f>
        <v>250000</v>
      </c>
      <c r="O42" s="27">
        <f>SUM(O40:O41)</f>
        <v>250000</v>
      </c>
      <c r="P42" s="28">
        <f t="shared" si="12"/>
        <v>3395000</v>
      </c>
      <c r="Q42" s="28">
        <f>D42+K42+N42</f>
        <v>4900000</v>
      </c>
      <c r="R42" s="29">
        <f t="shared" si="2"/>
        <v>4900000</v>
      </c>
      <c r="S42" s="24">
        <f t="shared" si="4"/>
        <v>5900000</v>
      </c>
      <c r="T42" s="24">
        <f t="shared" si="5"/>
        <v>6000000</v>
      </c>
      <c r="U42" s="7"/>
    </row>
    <row r="43" spans="1:21" ht="102">
      <c r="A43" s="20" t="s">
        <v>94</v>
      </c>
      <c r="B43" s="21" t="s">
        <v>95</v>
      </c>
      <c r="C43" s="22">
        <v>33147473</v>
      </c>
      <c r="D43" s="22">
        <v>34600000</v>
      </c>
      <c r="E43" s="22"/>
      <c r="F43" s="22">
        <f>D43+120960</f>
        <v>34720960</v>
      </c>
      <c r="G43" s="22">
        <v>59454296</v>
      </c>
      <c r="H43" s="22">
        <f t="shared" si="9"/>
        <v>34600000</v>
      </c>
      <c r="I43" s="22">
        <f t="shared" si="3"/>
        <v>94175256</v>
      </c>
      <c r="J43" s="22">
        <v>4000000</v>
      </c>
      <c r="K43" s="22">
        <v>4800000</v>
      </c>
      <c r="L43" s="22">
        <f>K43+26432</f>
        <v>4826432</v>
      </c>
      <c r="M43" s="22">
        <v>4966568</v>
      </c>
      <c r="N43" s="22">
        <v>4200000</v>
      </c>
      <c r="O43" s="22">
        <f>N43+14016</f>
        <v>4214016</v>
      </c>
      <c r="P43" s="23">
        <f t="shared" si="12"/>
        <v>42114041</v>
      </c>
      <c r="Q43" s="23">
        <f t="shared" si="12"/>
        <v>43600000</v>
      </c>
      <c r="R43" s="24">
        <f t="shared" si="2"/>
        <v>43600000</v>
      </c>
      <c r="S43" s="24">
        <f t="shared" si="4"/>
        <v>43761408</v>
      </c>
      <c r="T43" s="24">
        <f t="shared" si="5"/>
        <v>103215704</v>
      </c>
      <c r="U43" s="7"/>
    </row>
    <row r="44" spans="1:21" ht="63.75">
      <c r="A44" s="20" t="s">
        <v>96</v>
      </c>
      <c r="B44" s="21" t="s">
        <v>97</v>
      </c>
      <c r="C44" s="22">
        <v>83992737</v>
      </c>
      <c r="D44" s="22">
        <v>35189000</v>
      </c>
      <c r="E44" s="22"/>
      <c r="F44" s="22">
        <v>35189000</v>
      </c>
      <c r="G44" s="22">
        <v>451185544</v>
      </c>
      <c r="H44" s="22">
        <f t="shared" si="9"/>
        <v>35189000</v>
      </c>
      <c r="I44" s="22">
        <f t="shared" si="3"/>
        <v>486374544</v>
      </c>
      <c r="J44" s="22"/>
      <c r="K44" s="22"/>
      <c r="L44" s="22"/>
      <c r="M44" s="22"/>
      <c r="N44" s="22">
        <v>1000000</v>
      </c>
      <c r="O44" s="22">
        <f>N44+1121255+1600000</f>
        <v>3721255</v>
      </c>
      <c r="P44" s="23">
        <f t="shared" si="12"/>
        <v>83992737</v>
      </c>
      <c r="Q44" s="23">
        <f t="shared" si="12"/>
        <v>36189000</v>
      </c>
      <c r="R44" s="24">
        <f t="shared" si="2"/>
        <v>36189000</v>
      </c>
      <c r="S44" s="24">
        <f t="shared" si="4"/>
        <v>38910255</v>
      </c>
      <c r="T44" s="24">
        <f t="shared" si="5"/>
        <v>490095799</v>
      </c>
      <c r="U44" s="7"/>
    </row>
    <row r="45" spans="1:21" ht="38.25">
      <c r="A45" s="20" t="s">
        <v>98</v>
      </c>
      <c r="B45" s="21" t="s">
        <v>99</v>
      </c>
      <c r="C45" s="22">
        <v>44000</v>
      </c>
      <c r="D45" s="22"/>
      <c r="E45" s="22"/>
      <c r="F45" s="22"/>
      <c r="G45" s="22"/>
      <c r="H45" s="22">
        <f t="shared" si="9"/>
        <v>0</v>
      </c>
      <c r="I45" s="22">
        <f t="shared" si="3"/>
        <v>0</v>
      </c>
      <c r="J45" s="22"/>
      <c r="K45" s="22"/>
      <c r="L45" s="22"/>
      <c r="M45" s="22"/>
      <c r="N45" s="22"/>
      <c r="O45" s="22"/>
      <c r="P45" s="23">
        <f t="shared" si="12"/>
        <v>44000</v>
      </c>
      <c r="Q45" s="23">
        <f t="shared" si="12"/>
        <v>0</v>
      </c>
      <c r="R45" s="24">
        <f t="shared" si="2"/>
        <v>0</v>
      </c>
      <c r="S45" s="24">
        <f t="shared" si="4"/>
        <v>0</v>
      </c>
      <c r="T45" s="24">
        <f t="shared" si="5"/>
        <v>0</v>
      </c>
      <c r="U45" s="7"/>
    </row>
    <row r="46" spans="1:21" ht="63.75">
      <c r="A46" s="20" t="s">
        <v>100</v>
      </c>
      <c r="B46" s="21" t="s">
        <v>101</v>
      </c>
      <c r="C46" s="22"/>
      <c r="D46" s="22"/>
      <c r="E46" s="22"/>
      <c r="F46" s="22"/>
      <c r="G46" s="22"/>
      <c r="H46" s="22">
        <f t="shared" si="9"/>
        <v>0</v>
      </c>
      <c r="I46" s="22">
        <f t="shared" si="3"/>
        <v>0</v>
      </c>
      <c r="J46" s="22"/>
      <c r="K46" s="22"/>
      <c r="L46" s="22"/>
      <c r="M46" s="22"/>
      <c r="N46" s="22"/>
      <c r="O46" s="22"/>
      <c r="P46" s="23">
        <f t="shared" si="12"/>
        <v>0</v>
      </c>
      <c r="Q46" s="23">
        <f t="shared" si="12"/>
        <v>0</v>
      </c>
      <c r="R46" s="24">
        <f t="shared" si="2"/>
        <v>0</v>
      </c>
      <c r="S46" s="24">
        <f t="shared" si="4"/>
        <v>0</v>
      </c>
      <c r="T46" s="24">
        <f t="shared" si="5"/>
        <v>0</v>
      </c>
      <c r="U46" s="7"/>
    </row>
    <row r="47" spans="1:21" ht="51">
      <c r="A47" s="20" t="s">
        <v>102</v>
      </c>
      <c r="B47" s="21" t="s">
        <v>103</v>
      </c>
      <c r="C47" s="22">
        <v>20000000</v>
      </c>
      <c r="D47" s="22">
        <v>6500000</v>
      </c>
      <c r="E47" s="22">
        <v>716895962</v>
      </c>
      <c r="F47" s="22">
        <v>6500000</v>
      </c>
      <c r="G47" s="22">
        <v>9259834</v>
      </c>
      <c r="H47" s="22">
        <f t="shared" si="9"/>
        <v>723395962</v>
      </c>
      <c r="I47" s="22">
        <f t="shared" si="3"/>
        <v>15759834</v>
      </c>
      <c r="J47" s="22">
        <v>700000</v>
      </c>
      <c r="K47" s="22">
        <v>700000</v>
      </c>
      <c r="L47" s="22">
        <v>700000</v>
      </c>
      <c r="M47" s="22">
        <v>560000</v>
      </c>
      <c r="N47" s="22">
        <v>400000</v>
      </c>
      <c r="O47" s="22">
        <v>400000</v>
      </c>
      <c r="P47" s="23">
        <f t="shared" si="12"/>
        <v>21260000</v>
      </c>
      <c r="Q47" s="23">
        <f t="shared" si="12"/>
        <v>7600000</v>
      </c>
      <c r="R47" s="24">
        <f t="shared" si="2"/>
        <v>724495962</v>
      </c>
      <c r="S47" s="24">
        <f t="shared" si="4"/>
        <v>7600000</v>
      </c>
      <c r="T47" s="24">
        <f t="shared" si="5"/>
        <v>16859834</v>
      </c>
      <c r="U47" s="7"/>
    </row>
    <row r="48" spans="1:21" ht="89.25">
      <c r="A48" s="25" t="s">
        <v>104</v>
      </c>
      <c r="B48" s="26" t="s">
        <v>105</v>
      </c>
      <c r="C48" s="27">
        <f t="shared" ref="C48:N48" si="15">SUM(C43:C47)</f>
        <v>137184210</v>
      </c>
      <c r="D48" s="27">
        <f t="shared" si="15"/>
        <v>76289000</v>
      </c>
      <c r="E48" s="27">
        <f>SUM(E43:E47)</f>
        <v>716895962</v>
      </c>
      <c r="F48" s="27">
        <f>SUM(F43:F47)</f>
        <v>76409960</v>
      </c>
      <c r="G48" s="27">
        <f>SUM(G43:G47)</f>
        <v>519899674</v>
      </c>
      <c r="H48" s="27">
        <f t="shared" si="9"/>
        <v>793184962</v>
      </c>
      <c r="I48" s="22">
        <f t="shared" si="3"/>
        <v>596309634</v>
      </c>
      <c r="J48" s="27">
        <f t="shared" si="15"/>
        <v>4700000</v>
      </c>
      <c r="K48" s="27">
        <f t="shared" si="15"/>
        <v>5500000</v>
      </c>
      <c r="L48" s="27">
        <f>SUM(L43:L47)</f>
        <v>5526432</v>
      </c>
      <c r="M48" s="27">
        <f t="shared" si="15"/>
        <v>5526568</v>
      </c>
      <c r="N48" s="27">
        <f t="shared" si="15"/>
        <v>5600000</v>
      </c>
      <c r="O48" s="27">
        <f>SUM(O43:O47)</f>
        <v>8335271</v>
      </c>
      <c r="P48" s="28">
        <f t="shared" si="12"/>
        <v>147410778</v>
      </c>
      <c r="Q48" s="28">
        <f t="shared" si="12"/>
        <v>87389000</v>
      </c>
      <c r="R48" s="29">
        <f t="shared" si="2"/>
        <v>804284962</v>
      </c>
      <c r="S48" s="24">
        <f t="shared" si="4"/>
        <v>90271663</v>
      </c>
      <c r="T48" s="24">
        <f t="shared" si="5"/>
        <v>610171337</v>
      </c>
      <c r="U48" s="7"/>
    </row>
    <row r="49" spans="1:21" ht="63.75">
      <c r="A49" s="25" t="s">
        <v>106</v>
      </c>
      <c r="B49" s="26" t="s">
        <v>107</v>
      </c>
      <c r="C49" s="27">
        <f>C28+C31+C39+C42+C48</f>
        <v>273948525</v>
      </c>
      <c r="D49" s="27">
        <f>D28+D31+D39+D42+D48</f>
        <v>243188990</v>
      </c>
      <c r="E49" s="27">
        <f>E28+E31+E39+E42+E48</f>
        <v>716895962</v>
      </c>
      <c r="F49" s="27">
        <f>F28+F31+F39+F42+F48</f>
        <v>240757408</v>
      </c>
      <c r="G49" s="27">
        <f>G28+G31+G39+G42+G48</f>
        <v>735378806</v>
      </c>
      <c r="H49" s="27">
        <f t="shared" si="9"/>
        <v>960084952</v>
      </c>
      <c r="I49" s="27">
        <f t="shared" si="3"/>
        <v>976136214</v>
      </c>
      <c r="J49" s="27">
        <f t="shared" ref="J49:O49" si="16">J28+J31+J39+J42+J48</f>
        <v>25000000</v>
      </c>
      <c r="K49" s="27">
        <f t="shared" si="16"/>
        <v>32000000</v>
      </c>
      <c r="L49" s="27">
        <f>L28+L31+L39+L42+L48</f>
        <v>32203185</v>
      </c>
      <c r="M49" s="27">
        <f t="shared" si="16"/>
        <v>32638374</v>
      </c>
      <c r="N49" s="27">
        <f t="shared" si="16"/>
        <v>35000000</v>
      </c>
      <c r="O49" s="27">
        <f t="shared" si="16"/>
        <v>38015587</v>
      </c>
      <c r="P49" s="28">
        <f t="shared" si="12"/>
        <v>331586899</v>
      </c>
      <c r="Q49" s="28">
        <f t="shared" si="12"/>
        <v>310188990</v>
      </c>
      <c r="R49" s="30">
        <f t="shared" si="2"/>
        <v>1027084952</v>
      </c>
      <c r="S49" s="24">
        <f t="shared" si="4"/>
        <v>310976180</v>
      </c>
      <c r="T49" s="24">
        <f t="shared" si="5"/>
        <v>1046354986</v>
      </c>
      <c r="U49" s="7"/>
    </row>
    <row r="50" spans="1:21" ht="76.5">
      <c r="A50" s="20" t="s">
        <v>108</v>
      </c>
      <c r="B50" s="21" t="s">
        <v>109</v>
      </c>
      <c r="C50" s="22">
        <v>0</v>
      </c>
      <c r="D50" s="22">
        <v>0</v>
      </c>
      <c r="E50" s="22"/>
      <c r="F50" s="22"/>
      <c r="G50" s="22"/>
      <c r="H50" s="22">
        <f t="shared" si="9"/>
        <v>0</v>
      </c>
      <c r="I50" s="22">
        <f t="shared" si="3"/>
        <v>0</v>
      </c>
      <c r="J50" s="22">
        <v>0</v>
      </c>
      <c r="K50" s="22">
        <v>0</v>
      </c>
      <c r="L50" s="22"/>
      <c r="M50" s="22">
        <v>0</v>
      </c>
      <c r="N50" s="22">
        <v>0</v>
      </c>
      <c r="O50" s="22"/>
      <c r="P50" s="23">
        <f t="shared" si="12"/>
        <v>0</v>
      </c>
      <c r="Q50" s="23">
        <f t="shared" si="12"/>
        <v>0</v>
      </c>
      <c r="R50" s="24">
        <f t="shared" si="2"/>
        <v>0</v>
      </c>
      <c r="S50" s="24">
        <f t="shared" si="4"/>
        <v>0</v>
      </c>
      <c r="T50" s="24">
        <f t="shared" si="5"/>
        <v>0</v>
      </c>
      <c r="U50" s="7"/>
    </row>
    <row r="51" spans="1:21" ht="63.75">
      <c r="A51" s="20" t="s">
        <v>110</v>
      </c>
      <c r="B51" s="21" t="s">
        <v>111</v>
      </c>
      <c r="C51" s="22">
        <v>0</v>
      </c>
      <c r="D51" s="22">
        <v>0</v>
      </c>
      <c r="E51" s="22"/>
      <c r="F51" s="22"/>
      <c r="G51" s="22"/>
      <c r="H51" s="22">
        <f t="shared" si="9"/>
        <v>0</v>
      </c>
      <c r="I51" s="22">
        <f t="shared" si="3"/>
        <v>0</v>
      </c>
      <c r="J51" s="22">
        <v>0</v>
      </c>
      <c r="K51" s="22">
        <v>0</v>
      </c>
      <c r="L51" s="22"/>
      <c r="M51" s="22">
        <v>0</v>
      </c>
      <c r="N51" s="22">
        <v>0</v>
      </c>
      <c r="O51" s="22"/>
      <c r="P51" s="23">
        <f t="shared" si="12"/>
        <v>0</v>
      </c>
      <c r="Q51" s="23">
        <f t="shared" si="12"/>
        <v>0</v>
      </c>
      <c r="R51" s="24">
        <f t="shared" si="2"/>
        <v>0</v>
      </c>
      <c r="S51" s="24">
        <f t="shared" si="4"/>
        <v>0</v>
      </c>
      <c r="T51" s="24">
        <f t="shared" si="5"/>
        <v>0</v>
      </c>
      <c r="U51" s="7"/>
    </row>
    <row r="52" spans="1:21" ht="63.75">
      <c r="A52" s="20" t="s">
        <v>112</v>
      </c>
      <c r="B52" s="21" t="s">
        <v>113</v>
      </c>
      <c r="C52" s="22">
        <v>10340280</v>
      </c>
      <c r="D52" s="22">
        <v>8550000</v>
      </c>
      <c r="E52" s="22"/>
      <c r="F52" s="22">
        <v>8550000</v>
      </c>
      <c r="G52" s="22"/>
      <c r="H52" s="22">
        <f t="shared" si="9"/>
        <v>8550000</v>
      </c>
      <c r="I52" s="22">
        <f t="shared" si="3"/>
        <v>8550000</v>
      </c>
      <c r="J52" s="22"/>
      <c r="K52" s="22"/>
      <c r="L52" s="22"/>
      <c r="M52" s="22"/>
      <c r="N52" s="22"/>
      <c r="O52" s="22"/>
      <c r="P52" s="23">
        <f t="shared" si="12"/>
        <v>10340280</v>
      </c>
      <c r="Q52" s="23">
        <f t="shared" si="12"/>
        <v>8550000</v>
      </c>
      <c r="R52" s="24">
        <f t="shared" si="2"/>
        <v>8550000</v>
      </c>
      <c r="S52" s="24">
        <f t="shared" si="4"/>
        <v>8550000</v>
      </c>
      <c r="T52" s="24">
        <f t="shared" si="5"/>
        <v>8550000</v>
      </c>
      <c r="U52" s="7"/>
    </row>
    <row r="53" spans="1:21" ht="63.75">
      <c r="A53" s="25" t="s">
        <v>114</v>
      </c>
      <c r="B53" s="26" t="s">
        <v>115</v>
      </c>
      <c r="C53" s="27">
        <f t="shared" ref="C53:O53" si="17">SUM(C50:C52)</f>
        <v>10340280</v>
      </c>
      <c r="D53" s="27">
        <f t="shared" si="17"/>
        <v>8550000</v>
      </c>
      <c r="E53" s="27">
        <f t="shared" si="17"/>
        <v>0</v>
      </c>
      <c r="F53" s="27">
        <f t="shared" si="17"/>
        <v>8550000</v>
      </c>
      <c r="G53" s="27">
        <f t="shared" si="17"/>
        <v>0</v>
      </c>
      <c r="H53" s="27">
        <f t="shared" si="9"/>
        <v>8550000</v>
      </c>
      <c r="I53" s="22">
        <f t="shared" si="3"/>
        <v>8550000</v>
      </c>
      <c r="J53" s="27">
        <f t="shared" si="17"/>
        <v>0</v>
      </c>
      <c r="K53" s="27">
        <f t="shared" si="17"/>
        <v>0</v>
      </c>
      <c r="L53" s="27">
        <f t="shared" si="17"/>
        <v>0</v>
      </c>
      <c r="M53" s="27">
        <f t="shared" si="17"/>
        <v>0</v>
      </c>
      <c r="N53" s="27">
        <f t="shared" si="17"/>
        <v>0</v>
      </c>
      <c r="O53" s="27">
        <f t="shared" si="17"/>
        <v>0</v>
      </c>
      <c r="P53" s="28">
        <f t="shared" si="12"/>
        <v>10340280</v>
      </c>
      <c r="Q53" s="28">
        <f t="shared" si="12"/>
        <v>8550000</v>
      </c>
      <c r="R53" s="30">
        <f t="shared" si="2"/>
        <v>8550000</v>
      </c>
      <c r="S53" s="24">
        <f t="shared" si="4"/>
        <v>8550000</v>
      </c>
      <c r="T53" s="24">
        <f t="shared" si="5"/>
        <v>8550000</v>
      </c>
      <c r="U53" s="7"/>
    </row>
    <row r="54" spans="1:21" ht="51">
      <c r="A54" s="20" t="s">
        <v>116</v>
      </c>
      <c r="B54" s="21" t="s">
        <v>117</v>
      </c>
      <c r="C54" s="22">
        <v>191000</v>
      </c>
      <c r="D54" s="22">
        <v>0</v>
      </c>
      <c r="E54" s="22"/>
      <c r="F54" s="22"/>
      <c r="G54" s="22"/>
      <c r="H54" s="22">
        <f t="shared" si="9"/>
        <v>0</v>
      </c>
      <c r="I54" s="22">
        <f t="shared" si="3"/>
        <v>0</v>
      </c>
      <c r="J54" s="22">
        <v>0</v>
      </c>
      <c r="K54" s="22">
        <v>0</v>
      </c>
      <c r="L54" s="22"/>
      <c r="M54" s="22">
        <v>0</v>
      </c>
      <c r="N54" s="22">
        <v>0</v>
      </c>
      <c r="O54" s="22"/>
      <c r="P54" s="23">
        <f t="shared" si="12"/>
        <v>191000</v>
      </c>
      <c r="Q54" s="23">
        <f t="shared" si="12"/>
        <v>0</v>
      </c>
      <c r="R54" s="24">
        <f t="shared" si="2"/>
        <v>0</v>
      </c>
      <c r="S54" s="24">
        <f t="shared" si="4"/>
        <v>0</v>
      </c>
      <c r="T54" s="24">
        <f t="shared" si="5"/>
        <v>0</v>
      </c>
      <c r="U54" s="7"/>
    </row>
    <row r="55" spans="1:21" ht="114.75">
      <c r="A55" s="20" t="s">
        <v>118</v>
      </c>
      <c r="B55" s="21" t="s">
        <v>119</v>
      </c>
      <c r="C55" s="22">
        <v>166115527</v>
      </c>
      <c r="D55" s="22">
        <v>179050594</v>
      </c>
      <c r="E55" s="22"/>
      <c r="F55" s="22">
        <f>D55+2250796+262012</f>
        <v>181563402</v>
      </c>
      <c r="G55" s="22">
        <f>8942218+2151000</f>
        <v>11093218</v>
      </c>
      <c r="H55" s="22">
        <f t="shared" si="9"/>
        <v>179050594</v>
      </c>
      <c r="I55" s="22">
        <f t="shared" si="3"/>
        <v>192656620</v>
      </c>
      <c r="J55" s="22"/>
      <c r="K55" s="22"/>
      <c r="L55" s="22"/>
      <c r="M55" s="22"/>
      <c r="N55" s="22"/>
      <c r="O55" s="22"/>
      <c r="P55" s="23">
        <f t="shared" si="12"/>
        <v>166115527</v>
      </c>
      <c r="Q55" s="23">
        <f t="shared" si="12"/>
        <v>179050594</v>
      </c>
      <c r="R55" s="24">
        <f t="shared" si="2"/>
        <v>179050594</v>
      </c>
      <c r="S55" s="24">
        <f t="shared" si="4"/>
        <v>181563402</v>
      </c>
      <c r="T55" s="24">
        <f t="shared" si="5"/>
        <v>192656620</v>
      </c>
      <c r="U55" s="7"/>
    </row>
    <row r="56" spans="1:21" ht="89.25">
      <c r="A56" s="20" t="s">
        <v>120</v>
      </c>
      <c r="B56" s="21" t="s">
        <v>121</v>
      </c>
      <c r="C56" s="22">
        <v>5000000</v>
      </c>
      <c r="D56" s="22">
        <v>2000000</v>
      </c>
      <c r="E56" s="22"/>
      <c r="F56" s="22">
        <v>2000000</v>
      </c>
      <c r="G56" s="22"/>
      <c r="H56" s="22">
        <f t="shared" si="9"/>
        <v>2000000</v>
      </c>
      <c r="I56" s="22">
        <f t="shared" si="3"/>
        <v>2000000</v>
      </c>
      <c r="J56" s="22"/>
      <c r="K56" s="22"/>
      <c r="L56" s="22"/>
      <c r="M56" s="22"/>
      <c r="N56" s="22"/>
      <c r="O56" s="22"/>
      <c r="P56" s="23">
        <f t="shared" si="12"/>
        <v>5000000</v>
      </c>
      <c r="Q56" s="23">
        <f t="shared" si="12"/>
        <v>2000000</v>
      </c>
      <c r="R56" s="24">
        <f t="shared" si="2"/>
        <v>2000000</v>
      </c>
      <c r="S56" s="24">
        <f t="shared" si="4"/>
        <v>2000000</v>
      </c>
      <c r="T56" s="24">
        <f t="shared" si="5"/>
        <v>2000000</v>
      </c>
      <c r="U56" s="7"/>
    </row>
    <row r="57" spans="1:21" ht="153">
      <c r="A57" s="20" t="s">
        <v>122</v>
      </c>
      <c r="B57" s="21" t="s">
        <v>123</v>
      </c>
      <c r="C57" s="22"/>
      <c r="D57" s="22"/>
      <c r="E57" s="22"/>
      <c r="F57" s="22">
        <v>1000000</v>
      </c>
      <c r="G57" s="22"/>
      <c r="H57" s="22">
        <f t="shared" si="9"/>
        <v>0</v>
      </c>
      <c r="I57" s="22">
        <f t="shared" si="3"/>
        <v>1000000</v>
      </c>
      <c r="J57" s="22"/>
      <c r="K57" s="22"/>
      <c r="L57" s="22"/>
      <c r="M57" s="22"/>
      <c r="N57" s="22"/>
      <c r="O57" s="22"/>
      <c r="P57" s="23">
        <f t="shared" si="12"/>
        <v>0</v>
      </c>
      <c r="Q57" s="23">
        <f t="shared" si="12"/>
        <v>0</v>
      </c>
      <c r="R57" s="24">
        <f t="shared" si="2"/>
        <v>0</v>
      </c>
      <c r="S57" s="24">
        <f t="shared" si="4"/>
        <v>1000000</v>
      </c>
      <c r="T57" s="24">
        <f t="shared" si="5"/>
        <v>1000000</v>
      </c>
      <c r="U57" s="7"/>
    </row>
    <row r="58" spans="1:21" ht="63.75">
      <c r="A58" s="20" t="s">
        <v>124</v>
      </c>
      <c r="B58" s="21" t="s">
        <v>125</v>
      </c>
      <c r="C58" s="22"/>
      <c r="D58" s="22"/>
      <c r="E58" s="22"/>
      <c r="F58" s="22"/>
      <c r="G58" s="22"/>
      <c r="H58" s="22">
        <f t="shared" si="9"/>
        <v>0</v>
      </c>
      <c r="I58" s="22">
        <f t="shared" si="3"/>
        <v>0</v>
      </c>
      <c r="J58" s="22"/>
      <c r="K58" s="22"/>
      <c r="L58" s="22"/>
      <c r="M58" s="22"/>
      <c r="N58" s="22"/>
      <c r="O58" s="22"/>
      <c r="P58" s="23">
        <f t="shared" si="12"/>
        <v>0</v>
      </c>
      <c r="Q58" s="23">
        <f t="shared" si="12"/>
        <v>0</v>
      </c>
      <c r="R58" s="24">
        <f t="shared" si="2"/>
        <v>0</v>
      </c>
      <c r="S58" s="24">
        <f t="shared" si="4"/>
        <v>0</v>
      </c>
      <c r="T58" s="24">
        <f t="shared" si="5"/>
        <v>0</v>
      </c>
      <c r="U58" s="7"/>
    </row>
    <row r="59" spans="1:21" ht="38.25">
      <c r="A59" s="20" t="s">
        <v>126</v>
      </c>
      <c r="B59" s="21" t="s">
        <v>127</v>
      </c>
      <c r="C59" s="22"/>
      <c r="D59" s="22"/>
      <c r="E59" s="22"/>
      <c r="F59" s="22"/>
      <c r="G59" s="22"/>
      <c r="H59" s="22">
        <f t="shared" si="9"/>
        <v>0</v>
      </c>
      <c r="I59" s="22">
        <f t="shared" si="3"/>
        <v>0</v>
      </c>
      <c r="J59" s="22"/>
      <c r="K59" s="22"/>
      <c r="L59" s="22"/>
      <c r="M59" s="22"/>
      <c r="N59" s="22"/>
      <c r="O59" s="22"/>
      <c r="P59" s="23">
        <f t="shared" si="12"/>
        <v>0</v>
      </c>
      <c r="Q59" s="23">
        <f t="shared" si="12"/>
        <v>0</v>
      </c>
      <c r="R59" s="24">
        <f t="shared" si="2"/>
        <v>0</v>
      </c>
      <c r="S59" s="24">
        <f t="shared" si="4"/>
        <v>0</v>
      </c>
      <c r="T59" s="24">
        <f t="shared" si="5"/>
        <v>0</v>
      </c>
      <c r="U59" s="7"/>
    </row>
    <row r="60" spans="1:21" ht="89.25">
      <c r="A60" s="20" t="s">
        <v>128</v>
      </c>
      <c r="B60" s="21" t="s">
        <v>129</v>
      </c>
      <c r="C60" s="22"/>
      <c r="D60" s="22"/>
      <c r="E60" s="22"/>
      <c r="F60" s="22"/>
      <c r="G60" s="22"/>
      <c r="H60" s="22">
        <f t="shared" si="9"/>
        <v>0</v>
      </c>
      <c r="I60" s="22">
        <f t="shared" si="3"/>
        <v>0</v>
      </c>
      <c r="J60" s="22"/>
      <c r="K60" s="22"/>
      <c r="L60" s="22"/>
      <c r="M60" s="22"/>
      <c r="N60" s="22"/>
      <c r="O60" s="22"/>
      <c r="P60" s="23">
        <f t="shared" si="12"/>
        <v>0</v>
      </c>
      <c r="Q60" s="23">
        <f t="shared" si="12"/>
        <v>0</v>
      </c>
      <c r="R60" s="24">
        <f t="shared" si="2"/>
        <v>0</v>
      </c>
      <c r="S60" s="24">
        <f t="shared" si="4"/>
        <v>0</v>
      </c>
      <c r="T60" s="24">
        <f t="shared" si="5"/>
        <v>0</v>
      </c>
      <c r="U60" s="7"/>
    </row>
    <row r="61" spans="1:21" ht="114.75">
      <c r="A61" s="20" t="s">
        <v>130</v>
      </c>
      <c r="B61" s="21" t="s">
        <v>131</v>
      </c>
      <c r="C61" s="22">
        <v>191374000</v>
      </c>
      <c r="D61" s="22">
        <v>202236560</v>
      </c>
      <c r="E61" s="22"/>
      <c r="F61" s="22">
        <f>D61+13100000+1000000</f>
        <v>216336560</v>
      </c>
      <c r="G61" s="22"/>
      <c r="H61" s="22">
        <f t="shared" si="9"/>
        <v>202236560</v>
      </c>
      <c r="I61" s="22">
        <f t="shared" si="3"/>
        <v>216336560</v>
      </c>
      <c r="J61" s="22"/>
      <c r="K61" s="22"/>
      <c r="L61" s="22"/>
      <c r="M61" s="22"/>
      <c r="N61" s="22"/>
      <c r="O61" s="22"/>
      <c r="P61" s="23">
        <f t="shared" si="12"/>
        <v>191374000</v>
      </c>
      <c r="Q61" s="23">
        <f t="shared" si="12"/>
        <v>202236560</v>
      </c>
      <c r="R61" s="24">
        <f t="shared" si="2"/>
        <v>202236560</v>
      </c>
      <c r="S61" s="24">
        <f t="shared" si="4"/>
        <v>216336560</v>
      </c>
      <c r="T61" s="24">
        <f t="shared" si="5"/>
        <v>216336560</v>
      </c>
      <c r="U61" s="7"/>
    </row>
    <row r="62" spans="1:21" ht="25.5">
      <c r="A62" s="20" t="s">
        <v>132</v>
      </c>
      <c r="B62" s="21" t="s">
        <v>133</v>
      </c>
      <c r="C62" s="22">
        <v>2000000</v>
      </c>
      <c r="D62" s="22">
        <v>10000000</v>
      </c>
      <c r="E62" s="22"/>
      <c r="F62" s="22">
        <v>10000000</v>
      </c>
      <c r="G62" s="22"/>
      <c r="H62" s="22">
        <f t="shared" si="9"/>
        <v>10000000</v>
      </c>
      <c r="I62" s="22">
        <f t="shared" si="3"/>
        <v>10000000</v>
      </c>
      <c r="J62" s="22"/>
      <c r="K62" s="22"/>
      <c r="L62" s="22"/>
      <c r="M62" s="22"/>
      <c r="N62" s="22"/>
      <c r="O62" s="22"/>
      <c r="P62" s="23">
        <f t="shared" si="12"/>
        <v>2000000</v>
      </c>
      <c r="Q62" s="23">
        <f t="shared" si="12"/>
        <v>10000000</v>
      </c>
      <c r="R62" s="24">
        <f t="shared" si="2"/>
        <v>10000000</v>
      </c>
      <c r="S62" s="24">
        <f t="shared" si="4"/>
        <v>10000000</v>
      </c>
      <c r="T62" s="24">
        <f t="shared" si="5"/>
        <v>10000000</v>
      </c>
      <c r="U62" s="7"/>
    </row>
    <row r="63" spans="1:21" ht="89.25">
      <c r="A63" s="25" t="s">
        <v>134</v>
      </c>
      <c r="B63" s="26" t="s">
        <v>135</v>
      </c>
      <c r="C63" s="27">
        <f t="shared" ref="C63:O63" si="18">SUM(C54:C62)</f>
        <v>364680527</v>
      </c>
      <c r="D63" s="27">
        <f t="shared" si="18"/>
        <v>393287154</v>
      </c>
      <c r="E63" s="27">
        <f t="shared" si="18"/>
        <v>0</v>
      </c>
      <c r="F63" s="27">
        <f t="shared" si="18"/>
        <v>410899962</v>
      </c>
      <c r="G63" s="27">
        <f t="shared" si="18"/>
        <v>11093218</v>
      </c>
      <c r="H63" s="27">
        <f t="shared" si="9"/>
        <v>393287154</v>
      </c>
      <c r="I63" s="22">
        <f t="shared" si="3"/>
        <v>421993180</v>
      </c>
      <c r="J63" s="27">
        <f t="shared" si="18"/>
        <v>0</v>
      </c>
      <c r="K63" s="27">
        <f t="shared" si="18"/>
        <v>0</v>
      </c>
      <c r="L63" s="27">
        <f t="shared" si="18"/>
        <v>0</v>
      </c>
      <c r="M63" s="27">
        <f t="shared" si="18"/>
        <v>0</v>
      </c>
      <c r="N63" s="27">
        <f t="shared" si="18"/>
        <v>0</v>
      </c>
      <c r="O63" s="27">
        <f t="shared" si="18"/>
        <v>0</v>
      </c>
      <c r="P63" s="28">
        <f t="shared" si="12"/>
        <v>364680527</v>
      </c>
      <c r="Q63" s="28">
        <f t="shared" si="12"/>
        <v>393287154</v>
      </c>
      <c r="R63" s="29">
        <f t="shared" si="2"/>
        <v>393287154</v>
      </c>
      <c r="S63" s="24">
        <f t="shared" si="4"/>
        <v>410899962</v>
      </c>
      <c r="T63" s="24">
        <f t="shared" si="5"/>
        <v>421993180</v>
      </c>
      <c r="U63" s="7"/>
    </row>
    <row r="64" spans="1:21" ht="63.75">
      <c r="A64" s="20" t="s">
        <v>136</v>
      </c>
      <c r="B64" s="21" t="s">
        <v>137</v>
      </c>
      <c r="C64" s="22">
        <v>7671811</v>
      </c>
      <c r="D64" s="22">
        <v>3000000</v>
      </c>
      <c r="E64" s="22"/>
      <c r="F64" s="22">
        <v>3000000</v>
      </c>
      <c r="G64" s="22">
        <v>6944950</v>
      </c>
      <c r="H64" s="22">
        <f t="shared" si="9"/>
        <v>3000000</v>
      </c>
      <c r="I64" s="22">
        <f t="shared" si="3"/>
        <v>9944950</v>
      </c>
      <c r="J64" s="22">
        <v>40000</v>
      </c>
      <c r="K64" s="22">
        <f>1000000/1.27</f>
        <v>787401.57480314956</v>
      </c>
      <c r="L64" s="22">
        <v>787402</v>
      </c>
      <c r="M64" s="22">
        <v>0</v>
      </c>
      <c r="N64" s="22">
        <v>0</v>
      </c>
      <c r="O64" s="22"/>
      <c r="P64" s="23">
        <f t="shared" si="12"/>
        <v>7711811</v>
      </c>
      <c r="Q64" s="23">
        <f t="shared" si="12"/>
        <v>3787401.5748031493</v>
      </c>
      <c r="R64" s="24">
        <f t="shared" si="2"/>
        <v>3787401.5748031493</v>
      </c>
      <c r="S64" s="24">
        <f t="shared" si="4"/>
        <v>3787402</v>
      </c>
      <c r="T64" s="24">
        <f t="shared" si="5"/>
        <v>10732352</v>
      </c>
      <c r="U64" s="7"/>
    </row>
    <row r="65" spans="1:21" ht="51">
      <c r="A65" s="20" t="s">
        <v>138</v>
      </c>
      <c r="B65" s="21" t="s">
        <v>139</v>
      </c>
      <c r="C65" s="22">
        <v>950634070</v>
      </c>
      <c r="D65" s="22">
        <f>(21000000+500000+3810000+5000000+4000000+55000000)/1.27+637800</f>
        <v>70960634.645669296</v>
      </c>
      <c r="E65" s="22">
        <v>2014472190</v>
      </c>
      <c r="F65" s="22">
        <f>D65-13318583-41350196</f>
        <v>16291855.645669296</v>
      </c>
      <c r="G65" s="22">
        <v>1782332271</v>
      </c>
      <c r="H65" s="22">
        <f t="shared" si="9"/>
        <v>2085432824.6456692</v>
      </c>
      <c r="I65" s="22">
        <f t="shared" si="3"/>
        <v>1798624126.6456692</v>
      </c>
      <c r="J65" s="22"/>
      <c r="K65" s="7"/>
      <c r="L65" s="7"/>
      <c r="M65" s="22"/>
      <c r="N65" s="22"/>
      <c r="O65" s="22">
        <v>314961</v>
      </c>
      <c r="P65" s="23">
        <f t="shared" si="12"/>
        <v>950634070</v>
      </c>
      <c r="Q65" s="23">
        <f t="shared" si="12"/>
        <v>70960634.645669296</v>
      </c>
      <c r="R65" s="24">
        <f t="shared" si="2"/>
        <v>2085432824.6456692</v>
      </c>
      <c r="S65" s="24">
        <f t="shared" si="4"/>
        <v>16606816.645669296</v>
      </c>
      <c r="T65" s="24">
        <f t="shared" si="5"/>
        <v>1798939087.6456692</v>
      </c>
      <c r="U65" s="7"/>
    </row>
    <row r="66" spans="1:21" ht="76.5">
      <c r="A66" s="20" t="s">
        <v>140</v>
      </c>
      <c r="B66" s="21" t="s">
        <v>141</v>
      </c>
      <c r="C66" s="22">
        <v>3779567</v>
      </c>
      <c r="D66" s="22">
        <f>2000000/1.27</f>
        <v>1574803.1496062991</v>
      </c>
      <c r="E66" s="22"/>
      <c r="F66" s="22">
        <v>1574803</v>
      </c>
      <c r="G66" s="22">
        <v>3270287</v>
      </c>
      <c r="H66" s="22">
        <f t="shared" si="9"/>
        <v>1574803.1496062991</v>
      </c>
      <c r="I66" s="22">
        <f t="shared" si="3"/>
        <v>4845090</v>
      </c>
      <c r="J66" s="22">
        <v>5574803</v>
      </c>
      <c r="K66" s="22">
        <f>2000000/1.27+1000000/1.27</f>
        <v>2362204.7244094489</v>
      </c>
      <c r="L66" s="22">
        <v>2362205</v>
      </c>
      <c r="M66" s="22">
        <v>473000</v>
      </c>
      <c r="N66" s="22"/>
      <c r="O66" s="22"/>
      <c r="P66" s="23">
        <f t="shared" si="12"/>
        <v>9827370</v>
      </c>
      <c r="Q66" s="23">
        <f t="shared" si="12"/>
        <v>3937007.874015748</v>
      </c>
      <c r="R66" s="24">
        <f t="shared" si="2"/>
        <v>3937007.874015748</v>
      </c>
      <c r="S66" s="24">
        <f t="shared" si="4"/>
        <v>3937008</v>
      </c>
      <c r="T66" s="24">
        <f t="shared" si="5"/>
        <v>7207295</v>
      </c>
      <c r="U66" s="7"/>
    </row>
    <row r="67" spans="1:21" ht="76.5">
      <c r="A67" s="20" t="s">
        <v>142</v>
      </c>
      <c r="B67" s="21" t="s">
        <v>143</v>
      </c>
      <c r="C67" s="22">
        <v>115223149</v>
      </c>
      <c r="D67" s="22">
        <f>31850000/1.27+3200000/1.27+2500000/1.27-3000000</f>
        <v>26566929.133858267</v>
      </c>
      <c r="E67" s="22"/>
      <c r="F67" s="22">
        <f>D67-3740157</f>
        <v>22826772.133858267</v>
      </c>
      <c r="G67" s="22">
        <v>96849508</v>
      </c>
      <c r="H67" s="22">
        <f t="shared" si="9"/>
        <v>26566929.133858267</v>
      </c>
      <c r="I67" s="22">
        <f t="shared" si="3"/>
        <v>119676280.13385826</v>
      </c>
      <c r="J67" s="22">
        <v>1786772</v>
      </c>
      <c r="K67" s="22">
        <f>2000000/1.27</f>
        <v>1574803.1496062991</v>
      </c>
      <c r="L67" s="22">
        <v>1574803</v>
      </c>
      <c r="M67" s="22">
        <v>3844952</v>
      </c>
      <c r="N67" s="22">
        <f>2550000/1.27</f>
        <v>2007874.0157480314</v>
      </c>
      <c r="O67" s="22">
        <f>N67+787402</f>
        <v>2795276.0157480314</v>
      </c>
      <c r="P67" s="23">
        <f t="shared" si="12"/>
        <v>120854873</v>
      </c>
      <c r="Q67" s="23">
        <f t="shared" si="12"/>
        <v>30149606.299212597</v>
      </c>
      <c r="R67" s="24">
        <f t="shared" si="2"/>
        <v>30149606.299212597</v>
      </c>
      <c r="S67" s="24">
        <f t="shared" si="4"/>
        <v>27196851.149606299</v>
      </c>
      <c r="T67" s="24">
        <f t="shared" si="5"/>
        <v>124046359.14960629</v>
      </c>
      <c r="U67" s="7"/>
    </row>
    <row r="68" spans="1:21" ht="51">
      <c r="A68" s="20" t="s">
        <v>144</v>
      </c>
      <c r="B68" s="21" t="s">
        <v>145</v>
      </c>
      <c r="C68" s="22">
        <v>10000</v>
      </c>
      <c r="D68" s="22"/>
      <c r="E68" s="22"/>
      <c r="F68" s="22"/>
      <c r="G68" s="22"/>
      <c r="H68" s="22">
        <f t="shared" si="9"/>
        <v>0</v>
      </c>
      <c r="I68" s="22">
        <f t="shared" si="3"/>
        <v>0</v>
      </c>
      <c r="J68" s="22"/>
      <c r="K68" s="22"/>
      <c r="L68" s="22"/>
      <c r="M68" s="22"/>
      <c r="N68" s="22"/>
      <c r="O68" s="22"/>
      <c r="P68" s="23">
        <f t="shared" si="12"/>
        <v>10000</v>
      </c>
      <c r="Q68" s="23">
        <f t="shared" si="12"/>
        <v>0</v>
      </c>
      <c r="R68" s="24">
        <f t="shared" si="2"/>
        <v>0</v>
      </c>
      <c r="S68" s="24">
        <f t="shared" si="4"/>
        <v>0</v>
      </c>
      <c r="T68" s="24">
        <f t="shared" si="5"/>
        <v>0</v>
      </c>
      <c r="U68" s="7"/>
    </row>
    <row r="69" spans="1:21" ht="102">
      <c r="A69" s="20" t="s">
        <v>146</v>
      </c>
      <c r="B69" s="21" t="s">
        <v>147</v>
      </c>
      <c r="C69" s="22"/>
      <c r="D69" s="22"/>
      <c r="E69" s="22"/>
      <c r="F69" s="22"/>
      <c r="G69" s="22"/>
      <c r="H69" s="22">
        <f t="shared" si="9"/>
        <v>0</v>
      </c>
      <c r="I69" s="22">
        <f t="shared" si="3"/>
        <v>0</v>
      </c>
      <c r="J69" s="22"/>
      <c r="K69" s="22"/>
      <c r="L69" s="22"/>
      <c r="M69" s="22"/>
      <c r="N69" s="22"/>
      <c r="O69" s="22"/>
      <c r="P69" s="23">
        <f t="shared" ref="P69:Q79" si="19">C69+J69+M69</f>
        <v>0</v>
      </c>
      <c r="Q69" s="23">
        <f t="shared" si="19"/>
        <v>0</v>
      </c>
      <c r="R69" s="24">
        <f t="shared" ref="R69:R79" si="20">Q69+E69</f>
        <v>0</v>
      </c>
      <c r="S69" s="24">
        <f t="shared" si="4"/>
        <v>0</v>
      </c>
      <c r="T69" s="24">
        <f t="shared" si="5"/>
        <v>0</v>
      </c>
      <c r="U69" s="7"/>
    </row>
    <row r="70" spans="1:21" ht="89.25">
      <c r="A70" s="20" t="s">
        <v>148</v>
      </c>
      <c r="B70" s="21" t="s">
        <v>149</v>
      </c>
      <c r="C70" s="22">
        <v>290873321</v>
      </c>
      <c r="D70" s="22">
        <f>(D65+D66+D67)*0.27-6</f>
        <v>26757633.070866145</v>
      </c>
      <c r="E70" s="22"/>
      <c r="F70" s="22">
        <f>D70-3596017-1009843-11164553</f>
        <v>10987220.070866145</v>
      </c>
      <c r="G70" s="22">
        <v>59107079</v>
      </c>
      <c r="H70" s="22">
        <f t="shared" si="9"/>
        <v>26757633.070866145</v>
      </c>
      <c r="I70" s="22">
        <f>SUM(F70:G70)</f>
        <v>70094299.070866138</v>
      </c>
      <c r="J70" s="22">
        <v>1998425</v>
      </c>
      <c r="K70" s="22">
        <f>(K64+K65+K66+K67)*0.27</f>
        <v>1275590.5511811024</v>
      </c>
      <c r="L70" s="22">
        <v>1275590</v>
      </c>
      <c r="M70" s="22">
        <v>1165268</v>
      </c>
      <c r="N70" s="22">
        <v>542126</v>
      </c>
      <c r="O70" s="22">
        <f>N70+85039+212598</f>
        <v>839763</v>
      </c>
      <c r="P70" s="23">
        <f t="shared" si="19"/>
        <v>294037014</v>
      </c>
      <c r="Q70" s="23">
        <f t="shared" si="19"/>
        <v>28575349.622047249</v>
      </c>
      <c r="R70" s="24">
        <f t="shared" si="20"/>
        <v>28575349.622047249</v>
      </c>
      <c r="S70" s="24">
        <f t="shared" ref="S70:S79" si="21">O70+F70+L70</f>
        <v>13102573.070866145</v>
      </c>
      <c r="T70" s="24">
        <f t="shared" ref="T70:T79" si="22">O70+L70+G70+F70</f>
        <v>72209652.070866138</v>
      </c>
      <c r="U70" s="7"/>
    </row>
    <row r="71" spans="1:21" ht="51">
      <c r="A71" s="25" t="s">
        <v>150</v>
      </c>
      <c r="B71" s="26" t="s">
        <v>151</v>
      </c>
      <c r="C71" s="27">
        <f t="shared" ref="C71:N71" si="23">SUM(C64:C70)</f>
        <v>1368191918</v>
      </c>
      <c r="D71" s="27">
        <f t="shared" si="23"/>
        <v>128860000</v>
      </c>
      <c r="E71" s="27">
        <f t="shared" si="23"/>
        <v>2014472190</v>
      </c>
      <c r="F71" s="27">
        <f>SUM(F64:F70)</f>
        <v>54680650.850393705</v>
      </c>
      <c r="G71" s="27">
        <f>SUM(G64:G70)</f>
        <v>1948504095</v>
      </c>
      <c r="H71" s="27">
        <f t="shared" si="9"/>
        <v>2143332190</v>
      </c>
      <c r="I71" s="27">
        <f>SUM(F71:G71)</f>
        <v>2003184745.8503938</v>
      </c>
      <c r="J71" s="27">
        <f t="shared" si="23"/>
        <v>9400000</v>
      </c>
      <c r="K71" s="27">
        <f>SUM(K64:K70)</f>
        <v>6000000</v>
      </c>
      <c r="L71" s="27">
        <f>SUM(L64:L70)</f>
        <v>6000000</v>
      </c>
      <c r="M71" s="27">
        <f t="shared" si="23"/>
        <v>5483220</v>
      </c>
      <c r="N71" s="27">
        <f t="shared" si="23"/>
        <v>2550000.0157480314</v>
      </c>
      <c r="O71" s="27">
        <f>SUM(O64:O70)</f>
        <v>3950000.0157480314</v>
      </c>
      <c r="P71" s="28">
        <f t="shared" si="19"/>
        <v>1383075138</v>
      </c>
      <c r="Q71" s="28">
        <f t="shared" si="19"/>
        <v>137410000.01574802</v>
      </c>
      <c r="R71" s="30">
        <f t="shared" si="20"/>
        <v>2151882190.015748</v>
      </c>
      <c r="S71" s="24">
        <f t="shared" si="21"/>
        <v>64630650.866141737</v>
      </c>
      <c r="T71" s="24">
        <f t="shared" si="22"/>
        <v>2013134745.8661418</v>
      </c>
      <c r="U71" s="7"/>
    </row>
    <row r="72" spans="1:21" ht="38.25">
      <c r="A72" s="20" t="s">
        <v>152</v>
      </c>
      <c r="B72" s="21" t="s">
        <v>153</v>
      </c>
      <c r="C72" s="22">
        <v>40039407</v>
      </c>
      <c r="D72" s="22">
        <f>(5000000+20000000+12900000+3770000+1000000+5000000+1000000+9550000+5000000+1200000)/1.27</f>
        <v>50724409.4488189</v>
      </c>
      <c r="E72" s="22">
        <v>432252666</v>
      </c>
      <c r="F72" s="22">
        <f>D72-3564173</f>
        <v>47160236.4488189</v>
      </c>
      <c r="G72" s="22">
        <v>340393493</v>
      </c>
      <c r="H72" s="22">
        <f t="shared" si="9"/>
        <v>482977075.44881892</v>
      </c>
      <c r="I72" s="22">
        <f t="shared" ref="I72:I78" si="24">SUM(F72:G72)</f>
        <v>387553729.44881892</v>
      </c>
      <c r="J72" s="22"/>
      <c r="K72" s="22"/>
      <c r="L72" s="22"/>
      <c r="M72" s="22">
        <v>414000</v>
      </c>
      <c r="N72" s="22"/>
      <c r="O72" s="22">
        <v>275590</v>
      </c>
      <c r="P72" s="23">
        <f t="shared" si="19"/>
        <v>40453407</v>
      </c>
      <c r="Q72" s="23">
        <f t="shared" si="19"/>
        <v>50724409.4488189</v>
      </c>
      <c r="R72" s="24">
        <f t="shared" si="20"/>
        <v>482977075.44881892</v>
      </c>
      <c r="S72" s="24">
        <f t="shared" si="21"/>
        <v>47435826.4488189</v>
      </c>
      <c r="T72" s="24">
        <f t="shared" si="22"/>
        <v>387829319.44881892</v>
      </c>
      <c r="U72" s="7"/>
    </row>
    <row r="73" spans="1:21" ht="63.75">
      <c r="A73" s="20" t="s">
        <v>154</v>
      </c>
      <c r="B73" s="21" t="s">
        <v>155</v>
      </c>
      <c r="C73" s="22">
        <v>8849847</v>
      </c>
      <c r="D73" s="22">
        <v>0</v>
      </c>
      <c r="E73" s="22"/>
      <c r="F73" s="22"/>
      <c r="G73" s="22"/>
      <c r="H73" s="22">
        <f t="shared" si="9"/>
        <v>0</v>
      </c>
      <c r="I73" s="22">
        <f t="shared" si="24"/>
        <v>0</v>
      </c>
      <c r="J73" s="22">
        <v>0</v>
      </c>
      <c r="K73" s="22">
        <v>0</v>
      </c>
      <c r="L73" s="22"/>
      <c r="M73" s="22">
        <v>0</v>
      </c>
      <c r="N73" s="22">
        <v>0</v>
      </c>
      <c r="O73" s="22"/>
      <c r="P73" s="23">
        <f t="shared" si="19"/>
        <v>8849847</v>
      </c>
      <c r="Q73" s="23">
        <f t="shared" si="19"/>
        <v>0</v>
      </c>
      <c r="R73" s="24">
        <f t="shared" si="20"/>
        <v>0</v>
      </c>
      <c r="S73" s="24">
        <f t="shared" si="21"/>
        <v>0</v>
      </c>
      <c r="T73" s="24">
        <f t="shared" si="22"/>
        <v>0</v>
      </c>
      <c r="U73" s="7"/>
    </row>
    <row r="74" spans="1:21" ht="63.75">
      <c r="A74" s="20" t="s">
        <v>156</v>
      </c>
      <c r="B74" s="21" t="s">
        <v>157</v>
      </c>
      <c r="C74" s="22">
        <v>0</v>
      </c>
      <c r="D74" s="22">
        <f>10407000/1.27</f>
        <v>8194488.1889763782</v>
      </c>
      <c r="E74" s="22"/>
      <c r="F74" s="22">
        <v>8194488</v>
      </c>
      <c r="G74" s="22">
        <v>91859173</v>
      </c>
      <c r="H74" s="22">
        <f t="shared" si="9"/>
        <v>8194488.1889763782</v>
      </c>
      <c r="I74" s="22">
        <f t="shared" si="24"/>
        <v>100053661</v>
      </c>
      <c r="J74" s="22">
        <v>0</v>
      </c>
      <c r="K74" s="22">
        <v>0</v>
      </c>
      <c r="L74" s="22"/>
      <c r="M74" s="22">
        <v>0</v>
      </c>
      <c r="N74" s="22">
        <v>0</v>
      </c>
      <c r="O74" s="22">
        <v>275590</v>
      </c>
      <c r="P74" s="23">
        <f t="shared" si="19"/>
        <v>0</v>
      </c>
      <c r="Q74" s="23">
        <f t="shared" si="19"/>
        <v>8194488.1889763782</v>
      </c>
      <c r="R74" s="24">
        <f t="shared" si="20"/>
        <v>8194488.1889763782</v>
      </c>
      <c r="S74" s="24">
        <f t="shared" si="21"/>
        <v>8470078</v>
      </c>
      <c r="T74" s="24">
        <f t="shared" si="22"/>
        <v>100329251</v>
      </c>
      <c r="U74" s="7"/>
    </row>
    <row r="75" spans="1:21" ht="89.25">
      <c r="A75" s="20" t="s">
        <v>158</v>
      </c>
      <c r="B75" s="21" t="s">
        <v>159</v>
      </c>
      <c r="C75" s="22">
        <v>13200099</v>
      </c>
      <c r="D75" s="22">
        <f>(D72+D74)*0.27+1</f>
        <v>15908103.362204725</v>
      </c>
      <c r="E75" s="22"/>
      <c r="F75" s="22">
        <f>15908103-962327</f>
        <v>14945776</v>
      </c>
      <c r="G75" s="22"/>
      <c r="H75" s="22">
        <f t="shared" si="9"/>
        <v>15908103.362204725</v>
      </c>
      <c r="I75" s="22">
        <f t="shared" si="24"/>
        <v>14945776</v>
      </c>
      <c r="J75" s="22"/>
      <c r="K75" s="22"/>
      <c r="L75" s="22"/>
      <c r="M75" s="22">
        <v>111780</v>
      </c>
      <c r="N75" s="22"/>
      <c r="O75" s="22">
        <f>74410*2</f>
        <v>148820</v>
      </c>
      <c r="P75" s="23">
        <f t="shared" si="19"/>
        <v>13311879</v>
      </c>
      <c r="Q75" s="23">
        <f t="shared" si="19"/>
        <v>15908103.362204725</v>
      </c>
      <c r="R75" s="24">
        <f t="shared" si="20"/>
        <v>15908103.362204725</v>
      </c>
      <c r="S75" s="24">
        <f t="shared" si="21"/>
        <v>15094596</v>
      </c>
      <c r="T75" s="24">
        <f t="shared" si="22"/>
        <v>15094596</v>
      </c>
      <c r="U75" s="7"/>
    </row>
    <row r="76" spans="1:21" ht="51">
      <c r="A76" s="25" t="s">
        <v>160</v>
      </c>
      <c r="B76" s="26" t="s">
        <v>161</v>
      </c>
      <c r="C76" s="27">
        <f t="shared" ref="C76:N76" si="25">SUM(C72:C75)</f>
        <v>62089353</v>
      </c>
      <c r="D76" s="27">
        <f t="shared" si="25"/>
        <v>74827001</v>
      </c>
      <c r="E76" s="27">
        <f t="shared" si="25"/>
        <v>432252666</v>
      </c>
      <c r="F76" s="27">
        <f t="shared" si="25"/>
        <v>70300500.448818892</v>
      </c>
      <c r="G76" s="27">
        <f t="shared" si="25"/>
        <v>432252666</v>
      </c>
      <c r="H76" s="27">
        <f t="shared" si="9"/>
        <v>507079667</v>
      </c>
      <c r="I76" s="27">
        <f t="shared" si="24"/>
        <v>502553166.44881892</v>
      </c>
      <c r="J76" s="27">
        <f t="shared" si="25"/>
        <v>0</v>
      </c>
      <c r="K76" s="27">
        <f t="shared" si="25"/>
        <v>0</v>
      </c>
      <c r="L76" s="27">
        <f>SUM(L72:L75)</f>
        <v>0</v>
      </c>
      <c r="M76" s="27">
        <f t="shared" si="25"/>
        <v>525780</v>
      </c>
      <c r="N76" s="27">
        <f t="shared" si="25"/>
        <v>0</v>
      </c>
      <c r="O76" s="27">
        <f>SUM(O72:O75)</f>
        <v>700000</v>
      </c>
      <c r="P76" s="28">
        <f t="shared" si="19"/>
        <v>62615133</v>
      </c>
      <c r="Q76" s="28">
        <f t="shared" si="19"/>
        <v>74827001</v>
      </c>
      <c r="R76" s="30">
        <f t="shared" si="20"/>
        <v>507079667</v>
      </c>
      <c r="S76" s="24">
        <f t="shared" si="21"/>
        <v>71000500.448818892</v>
      </c>
      <c r="T76" s="24">
        <f t="shared" si="22"/>
        <v>503253166.44881892</v>
      </c>
      <c r="U76" s="7"/>
    </row>
    <row r="77" spans="1:21" ht="114.75">
      <c r="A77" s="20" t="s">
        <v>162</v>
      </c>
      <c r="B77" s="21" t="s">
        <v>163</v>
      </c>
      <c r="C77" s="22">
        <v>4650000</v>
      </c>
      <c r="D77" s="22">
        <v>3060000</v>
      </c>
      <c r="E77" s="22"/>
      <c r="F77" s="22">
        <f>D77+5750000</f>
        <v>8810000</v>
      </c>
      <c r="G77" s="22"/>
      <c r="H77" s="22">
        <f t="shared" si="9"/>
        <v>3060000</v>
      </c>
      <c r="I77" s="22">
        <f t="shared" si="24"/>
        <v>8810000</v>
      </c>
      <c r="J77" s="22"/>
      <c r="K77" s="22"/>
      <c r="L77" s="22"/>
      <c r="M77" s="22"/>
      <c r="N77" s="22"/>
      <c r="O77" s="22"/>
      <c r="P77" s="23">
        <f t="shared" si="19"/>
        <v>4650000</v>
      </c>
      <c r="Q77" s="23">
        <f t="shared" si="19"/>
        <v>3060000</v>
      </c>
      <c r="R77" s="24">
        <f t="shared" si="20"/>
        <v>3060000</v>
      </c>
      <c r="S77" s="24">
        <f t="shared" si="21"/>
        <v>8810000</v>
      </c>
      <c r="T77" s="24">
        <f t="shared" si="22"/>
        <v>8810000</v>
      </c>
      <c r="U77" s="7"/>
    </row>
    <row r="78" spans="1:21" ht="76.5">
      <c r="A78" s="25" t="s">
        <v>164</v>
      </c>
      <c r="B78" s="26" t="s">
        <v>165</v>
      </c>
      <c r="C78" s="27">
        <f>C77</f>
        <v>4650000</v>
      </c>
      <c r="D78" s="27">
        <f>D77</f>
        <v>3060000</v>
      </c>
      <c r="E78" s="27">
        <f>E77</f>
        <v>0</v>
      </c>
      <c r="F78" s="27">
        <f>F77</f>
        <v>8810000</v>
      </c>
      <c r="G78" s="27">
        <f>G77</f>
        <v>0</v>
      </c>
      <c r="H78" s="22">
        <f t="shared" si="9"/>
        <v>3060000</v>
      </c>
      <c r="I78" s="22">
        <f t="shared" si="24"/>
        <v>8810000</v>
      </c>
      <c r="J78" s="27">
        <f t="shared" ref="J78:O78" si="26">J77</f>
        <v>0</v>
      </c>
      <c r="K78" s="27">
        <f t="shared" si="26"/>
        <v>0</v>
      </c>
      <c r="L78" s="27">
        <f t="shared" si="26"/>
        <v>0</v>
      </c>
      <c r="M78" s="27">
        <f t="shared" si="26"/>
        <v>0</v>
      </c>
      <c r="N78" s="27">
        <f t="shared" si="26"/>
        <v>0</v>
      </c>
      <c r="O78" s="27">
        <f t="shared" si="26"/>
        <v>0</v>
      </c>
      <c r="P78" s="28">
        <f t="shared" si="19"/>
        <v>4650000</v>
      </c>
      <c r="Q78" s="28">
        <f t="shared" si="19"/>
        <v>3060000</v>
      </c>
      <c r="R78" s="30">
        <f t="shared" si="20"/>
        <v>3060000</v>
      </c>
      <c r="S78" s="24">
        <f t="shared" si="21"/>
        <v>8810000</v>
      </c>
      <c r="T78" s="24">
        <f t="shared" si="22"/>
        <v>8810000</v>
      </c>
      <c r="U78" s="7"/>
    </row>
    <row r="79" spans="1:21" ht="102">
      <c r="A79" s="25" t="s">
        <v>166</v>
      </c>
      <c r="B79" s="26" t="s">
        <v>167</v>
      </c>
      <c r="C79" s="27">
        <f t="shared" ref="C79:N79" si="27">C23+C24+C49+C53+C63+C71+C76+C78</f>
        <v>2208195155</v>
      </c>
      <c r="D79" s="27">
        <f t="shared" si="27"/>
        <v>983442687</v>
      </c>
      <c r="E79" s="27">
        <f t="shared" si="27"/>
        <v>3364918651</v>
      </c>
      <c r="F79" s="27">
        <f>F23+F24+F49+F53+F63+F71+F76+F78</f>
        <v>928872379.29921257</v>
      </c>
      <c r="G79" s="27">
        <f t="shared" si="27"/>
        <v>3319584400</v>
      </c>
      <c r="H79" s="27">
        <f t="shared" si="9"/>
        <v>4348361338</v>
      </c>
      <c r="I79" s="22">
        <f>SUM(F79:G79)</f>
        <v>4248456779.2992125</v>
      </c>
      <c r="J79" s="27">
        <f t="shared" si="27"/>
        <v>169800966</v>
      </c>
      <c r="K79" s="27">
        <f t="shared" si="27"/>
        <v>189612436</v>
      </c>
      <c r="L79" s="27">
        <f>L23+L24+L49+L53+L63+L71+L76+L78</f>
        <v>203131214</v>
      </c>
      <c r="M79" s="27">
        <f t="shared" si="27"/>
        <v>77506536</v>
      </c>
      <c r="N79" s="27">
        <f t="shared" si="27"/>
        <v>78173962.015748024</v>
      </c>
      <c r="O79" s="27">
        <f>O23+O24+O49+O53+O63+O71+O76+O78</f>
        <v>86863552.015748024</v>
      </c>
      <c r="P79" s="28">
        <f t="shared" si="19"/>
        <v>2455502657</v>
      </c>
      <c r="Q79" s="28">
        <f t="shared" si="19"/>
        <v>1251229085.015748</v>
      </c>
      <c r="R79" s="29">
        <f t="shared" si="20"/>
        <v>4616147736.015748</v>
      </c>
      <c r="S79" s="24">
        <f t="shared" si="21"/>
        <v>1218867145.3149605</v>
      </c>
      <c r="T79" s="24">
        <f t="shared" si="22"/>
        <v>4538451545.3149605</v>
      </c>
      <c r="U79" s="7"/>
    </row>
    <row r="80" spans="1:2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>
      <c r="A81" s="7"/>
      <c r="B81" s="7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>
      <c r="A82" s="7"/>
      <c r="B82" s="7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>
      <c r="A83" s="7"/>
      <c r="B83" s="7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</sheetData>
  <mergeCells count="5">
    <mergeCell ref="A1:R1"/>
    <mergeCell ref="C2:I2"/>
    <mergeCell ref="J2:L2"/>
    <mergeCell ref="M2:O2"/>
    <mergeCell ref="P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2018-10-10T13:36:52Z</dcterms:created>
  <dcterms:modified xsi:type="dcterms:W3CDTF">2018-10-10T13:37:12Z</dcterms:modified>
</cp:coreProperties>
</file>