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0995" tabRatio="895" activeTab="0"/>
  </bookViews>
  <sheets>
    <sheet name="1. bevételek" sheetId="1" r:id="rId1"/>
    <sheet name="2. kiadások" sheetId="2" r:id="rId2"/>
    <sheet name="3.műk.-felh." sheetId="3" r:id="rId3"/>
    <sheet name="4.önkorm.szakf. " sheetId="4" r:id="rId4"/>
    <sheet name="5. kiadások megbontása" sheetId="5" r:id="rId5"/>
    <sheet name="6. források sz. bontás" sheetId="6" r:id="rId6"/>
    <sheet name="7.létszám" sheetId="7" r:id="rId7"/>
    <sheet name="8.felhki" sheetId="8" r:id="rId8"/>
    <sheet name="9.tart" sheetId="9" r:id="rId9"/>
    <sheet name="10.Stab.tv.saját bev." sheetId="10" r:id="rId10"/>
    <sheet name="11.EU-projektek" sheetId="11" r:id="rId11"/>
    <sheet name="12.normatívák" sheetId="12" r:id="rId12"/>
  </sheets>
  <definedNames>
    <definedName name="_xlnm.Print_Titles" localSheetId="0">'1. bevételek'!$5:$6</definedName>
    <definedName name="_xlnm.Print_Titles" localSheetId="11">'12.normatívák'!$5:$6</definedName>
    <definedName name="_xlnm.Print_Titles" localSheetId="2">'3.műk.-felh.'!$4:$5</definedName>
    <definedName name="_xlnm.Print_Titles" localSheetId="3">'4.önkorm.szakf. '!$4:$7</definedName>
    <definedName name="_xlnm.Print_Titles" localSheetId="4">'5. kiadások megbontása'!$5:$8</definedName>
    <definedName name="_xlnm.Print_Titles" localSheetId="6">'7.létszám'!$6:$6</definedName>
    <definedName name="_xlnm.Print_Titles" localSheetId="8">'9.tart'!$7:$7</definedName>
    <definedName name="_xlnm.Print_Area" localSheetId="0">'1. bevételek'!$A$1:$I$188</definedName>
    <definedName name="_xlnm.Print_Area" localSheetId="10">'11.EU-projektek'!$A$1:$J$72</definedName>
    <definedName name="_xlnm.Print_Area" localSheetId="11">'12.normatívák'!$A$1:$L$58</definedName>
    <definedName name="_xlnm.Print_Area" localSheetId="1">'2. kiadások'!$A$1:$I$165</definedName>
    <definedName name="_xlnm.Print_Area" localSheetId="3">'4.önkorm.szakf. '!$D$1:$AB$58</definedName>
    <definedName name="_xlnm.Print_Area" localSheetId="4">'5. kiadások megbontása'!$A$1:$M$80</definedName>
    <definedName name="_xlnm.Print_Area" localSheetId="5">'6. források sz. bontás'!$A$1:$AC$73</definedName>
    <definedName name="_xlnm.Print_Area" localSheetId="6">'7.létszám'!$A$1:$M$78</definedName>
    <definedName name="_xlnm.Print_Area" localSheetId="7">'8.felhki'!$A$1:$D$67</definedName>
  </definedNames>
  <calcPr fullCalcOnLoad="1"/>
</workbook>
</file>

<file path=xl/sharedStrings.xml><?xml version="1.0" encoding="utf-8"?>
<sst xmlns="http://schemas.openxmlformats.org/spreadsheetml/2006/main" count="1876" uniqueCount="1253">
  <si>
    <t>Pedagógiai asszisztens</t>
  </si>
  <si>
    <t>Rovatok megnevezése</t>
  </si>
  <si>
    <t>Helyi Önk.</t>
  </si>
  <si>
    <t>Polg. Hiv.</t>
  </si>
  <si>
    <t>K1</t>
  </si>
  <si>
    <t>K11</t>
  </si>
  <si>
    <t>Foglalkoztatottak személyi juttatásai</t>
  </si>
  <si>
    <t>K1101</t>
  </si>
  <si>
    <t>Törvény szerinti illetmények, munkabérek</t>
  </si>
  <si>
    <t>K1104</t>
  </si>
  <si>
    <t>Készenléti, ügyeleti, helyettesítési díj, túlóra, túlszolgálat</t>
  </si>
  <si>
    <t>K1106</t>
  </si>
  <si>
    <t>Jubileumi jutalom</t>
  </si>
  <si>
    <t>K1107</t>
  </si>
  <si>
    <t>Béren kívüli juttatások</t>
  </si>
  <si>
    <t>K1109</t>
  </si>
  <si>
    <t>Közlekedési költségtérítés</t>
  </si>
  <si>
    <t>K1110</t>
  </si>
  <si>
    <t>Egyéb költségtérítések</t>
  </si>
  <si>
    <t>K1113</t>
  </si>
  <si>
    <t>Foglalkoztatottak egyéb személyi juttatásai</t>
  </si>
  <si>
    <t>ebből:</t>
  </si>
  <si>
    <t>biztosítási díjak</t>
  </si>
  <si>
    <t>K12</t>
  </si>
  <si>
    <t>Külső személyi juttatások</t>
  </si>
  <si>
    <t>K121</t>
  </si>
  <si>
    <t>Választott tisztségviselők juttatásai</t>
  </si>
  <si>
    <t>K122</t>
  </si>
  <si>
    <t>Munkavégzésre irányuló egyéb jogvisz-ban nem saját foglalkoztatottnak fizetett juttatások</t>
  </si>
  <si>
    <t>K123</t>
  </si>
  <si>
    <t>Egyéb külső személyi juttatások</t>
  </si>
  <si>
    <t>K2</t>
  </si>
  <si>
    <t>Munkaadókat terhelő járulékok és szoc. hozzájárulási adó</t>
  </si>
  <si>
    <t>szociális hozzájárulási adó</t>
  </si>
  <si>
    <t>rehabilitációs hozzájárulás</t>
  </si>
  <si>
    <t>korkedvezmény-biztosítási járulék</t>
  </si>
  <si>
    <t>egészségügyi hozzájárulás</t>
  </si>
  <si>
    <t>munkáltatót terhelő SZJA</t>
  </si>
  <si>
    <t>K3</t>
  </si>
  <si>
    <t>Dologi kiadások</t>
  </si>
  <si>
    <t>K31</t>
  </si>
  <si>
    <t>Készletbeszerzés</t>
  </si>
  <si>
    <t>K311</t>
  </si>
  <si>
    <t>Szakmai anyagok beszerzése</t>
  </si>
  <si>
    <t>K312</t>
  </si>
  <si>
    <t>Üzemeltetési anyagok beszerzése</t>
  </si>
  <si>
    <t>K32</t>
  </si>
  <si>
    <t>Kommunikációs szolgáltatások</t>
  </si>
  <si>
    <t>K321</t>
  </si>
  <si>
    <t>Informatikai szolgáltatások igénybevétele</t>
  </si>
  <si>
    <t>K322</t>
  </si>
  <si>
    <t>Egyéb kommunikációs szolgáltatások</t>
  </si>
  <si>
    <t>K33</t>
  </si>
  <si>
    <t>Szolgáltatási kiadások</t>
  </si>
  <si>
    <t>K331</t>
  </si>
  <si>
    <t>Közüzemi díjak</t>
  </si>
  <si>
    <t>villamosenergia</t>
  </si>
  <si>
    <t>gázenergia</t>
  </si>
  <si>
    <t>távhő- és melegvíz</t>
  </si>
  <si>
    <t>víz- és csatornadíjak</t>
  </si>
  <si>
    <t>K332</t>
  </si>
  <si>
    <t>Vásárolt élelmezés</t>
  </si>
  <si>
    <t>K333</t>
  </si>
  <si>
    <t>Bérleti és lízingdíjak</t>
  </si>
  <si>
    <t>K334</t>
  </si>
  <si>
    <t>Karbantartási, kisjavítási szolgáltatások</t>
  </si>
  <si>
    <t>K335</t>
  </si>
  <si>
    <t>Közvetített szolgáltatások</t>
  </si>
  <si>
    <t>államháztartáson belül</t>
  </si>
  <si>
    <t>K336</t>
  </si>
  <si>
    <t>Szakmai tevékenységet segítő szolgáltatások</t>
  </si>
  <si>
    <t>K337</t>
  </si>
  <si>
    <t>Egyéb szolgáltatások</t>
  </si>
  <si>
    <t>K34</t>
  </si>
  <si>
    <t>Kiküldetések, reklám- és propagandakiadások</t>
  </si>
  <si>
    <t>K341</t>
  </si>
  <si>
    <t>Kiküldetések kiadásai</t>
  </si>
  <si>
    <t>K342</t>
  </si>
  <si>
    <t>Reklám- és propagandakiadások</t>
  </si>
  <si>
    <t>K35</t>
  </si>
  <si>
    <t>Különféle befizetések és egyéb dologi kiadások</t>
  </si>
  <si>
    <t>K351</t>
  </si>
  <si>
    <t>Működési célú előzetesen felszámított áfa</t>
  </si>
  <si>
    <t>K352</t>
  </si>
  <si>
    <t>Fizetendő általános forgalmi adó</t>
  </si>
  <si>
    <t>K355</t>
  </si>
  <si>
    <t>Egyéb dologi kiadások</t>
  </si>
  <si>
    <t>K4</t>
  </si>
  <si>
    <t>Ellátottak pénzbeli juttatásai</t>
  </si>
  <si>
    <t>K41</t>
  </si>
  <si>
    <t>Társadalombiztosítási ellátások</t>
  </si>
  <si>
    <t>K42</t>
  </si>
  <si>
    <t>Családi támogatások</t>
  </si>
  <si>
    <t>Pénzbeli és természetbeni gyermekvédelmi támogatások</t>
  </si>
  <si>
    <t>Intézményi ellátottak pénzbeli juttatásai</t>
  </si>
  <si>
    <t>1. Működési célú támogatások államháztartáson belülről</t>
  </si>
  <si>
    <t>1.1. Önkormányzatok működési támogatásai</t>
  </si>
  <si>
    <t>1.2. Műk. c. visszatérítendő tám., kölcsönök v.térülése állh-on bel.</t>
  </si>
  <si>
    <t>1.3. Egyéb műk. c. támogatások bevételei állh.-on belülről</t>
  </si>
  <si>
    <t>1.Felhalm. célú támogatások államháztartáson belülről</t>
  </si>
  <si>
    <t>1.1. Felhalmozási célú önkormányzati támogatások</t>
  </si>
  <si>
    <t>1.2. Egyéb felh. c. támogatások bevételei államházt.-on belülről</t>
  </si>
  <si>
    <t>2. Közhatalmi bevételek</t>
  </si>
  <si>
    <t>2.3. Egyéb közhatalmi bevételek</t>
  </si>
  <si>
    <t>3. Működési bevételek</t>
  </si>
  <si>
    <t>3.2. Szolgáltatások ellenértéke</t>
  </si>
  <si>
    <t>3.3. Közvetített szolgáltatások ellenértéke</t>
  </si>
  <si>
    <t>3.5. Ellátási díjak</t>
  </si>
  <si>
    <t>3.6. Kiszámlázott általános forgalmi adó</t>
  </si>
  <si>
    <t>3.7. Kamatbevételek</t>
  </si>
  <si>
    <t>3.8. Egyéb működési bevételek</t>
  </si>
  <si>
    <t>2. Felhalmozási bevételek</t>
  </si>
  <si>
    <t>2.1. Immateriális javak értékesítése</t>
  </si>
  <si>
    <t>2.2. Ingatlanok értékesítése</t>
  </si>
  <si>
    <t>2.3. Egyéb tárgyi eszközök értékesítése</t>
  </si>
  <si>
    <t>2.4. Részesedések értékesítése</t>
  </si>
  <si>
    <t>4. Működési célú átvett pénzeszközök</t>
  </si>
  <si>
    <t>4.1. Műk. c. vtérítendő támog., kölcsönök vtérülése állh.-on kív.</t>
  </si>
  <si>
    <t>4.2. Egyéb műk. c. átvett pénzeszközök</t>
  </si>
  <si>
    <t>3.  Felhalmozási célú átvett pénzeszközök</t>
  </si>
  <si>
    <t>3.1. Felh. c. vtérítendő támog., kölcsönök vtérülése állh.-on kív.</t>
  </si>
  <si>
    <t>3.2. Egyéb felh. c. átvett pénzeszközök</t>
  </si>
  <si>
    <t>VI. Hitel-, kölcsönfelvétel államháztartáson kívülről</t>
  </si>
  <si>
    <t>V.Belföldi értékpapírok bevételei</t>
  </si>
  <si>
    <t>2. Munkaadót terhelő járulékok és szoc. hozzájárulási adó</t>
  </si>
  <si>
    <t xml:space="preserve">3. Dologi kiadások </t>
  </si>
  <si>
    <t>4. Ellátottak pénzbeli juttatásai</t>
  </si>
  <si>
    <t>5.1. Egyéb műk. célú támogatások államh.-on belülre</t>
  </si>
  <si>
    <t>5.3. Egyéb műk. célú támogatások államh.-on kívülre</t>
  </si>
  <si>
    <t>5. Egyéb működési célú kiadások</t>
  </si>
  <si>
    <t>1. Beruházások</t>
  </si>
  <si>
    <t>2. Felújítások</t>
  </si>
  <si>
    <t>3. Egyéb felhalmozási célú kiadások</t>
  </si>
  <si>
    <t>3.1. Felh. c. v.tér. tám. kölcs. nyújt. állh.-on belülre</t>
  </si>
  <si>
    <t>3.2. Felh. c. v.tér. tám. kölcs. törl. állh.-on belülre</t>
  </si>
  <si>
    <t>3.3. Egyéb felh. c. támogatások állh-on belülre</t>
  </si>
  <si>
    <t>2.2. Belföldi gépjárművek adójának helyi önk-t megillető része</t>
  </si>
  <si>
    <t>3.4. Felh. c. v.tér. tám. kölcs. nyújt. állh.-on kívülre</t>
  </si>
  <si>
    <t>3.5. Egyéb felh. c. támogatások állh-on kívülre</t>
  </si>
  <si>
    <t>Viziközmű fejl. tartalék</t>
  </si>
  <si>
    <t>051030</t>
  </si>
  <si>
    <t>Nem veszélyes (települési) hulladék vegyes begyűjtése, szállítása, átrakása</t>
  </si>
  <si>
    <t>051060</t>
  </si>
  <si>
    <t>052080</t>
  </si>
  <si>
    <t>Szennyvízcsatorna építése, fenntartása, üzemeltetése</t>
  </si>
  <si>
    <t>045160</t>
  </si>
  <si>
    <t>081071</t>
  </si>
  <si>
    <t>013350</t>
  </si>
  <si>
    <t>Önk-i vagyonnal való gazdálkodással kapcs. feladatok</t>
  </si>
  <si>
    <t>013360</t>
  </si>
  <si>
    <t>Más szerv részére végzett pü-i gazd-i, üzemeltetési, egyéb szolg.</t>
  </si>
  <si>
    <t>066010</t>
  </si>
  <si>
    <t>011130</t>
  </si>
  <si>
    <t>Önk-ok és önk-i hivatalok jogalkotói és ált. igazgatási tevékenysége</t>
  </si>
  <si>
    <t>016080</t>
  </si>
  <si>
    <t>064010</t>
  </si>
  <si>
    <t>066020</t>
  </si>
  <si>
    <t>900070</t>
  </si>
  <si>
    <t>032020</t>
  </si>
  <si>
    <t>Tűz- és katasztrófavédelmi tevékenységek</t>
  </si>
  <si>
    <t>047410</t>
  </si>
  <si>
    <t>Ár- és belvízvédelemmel összefüggő tevékenységek</t>
  </si>
  <si>
    <t>091140</t>
  </si>
  <si>
    <t>072111</t>
  </si>
  <si>
    <t>072112</t>
  </si>
  <si>
    <t>072311</t>
  </si>
  <si>
    <t>074031</t>
  </si>
  <si>
    <t>102021</t>
  </si>
  <si>
    <t>107013</t>
  </si>
  <si>
    <t>Hajléktalanok átmeneti ellátása</t>
  </si>
  <si>
    <t>102030</t>
  </si>
  <si>
    <t>Idősek, demens betegek nappali ellátása</t>
  </si>
  <si>
    <t>104042</t>
  </si>
  <si>
    <t>Gyermekjóléti szolgáltatások</t>
  </si>
  <si>
    <t>107015</t>
  </si>
  <si>
    <t>Hajléktalanok nappali ellátása</t>
  </si>
  <si>
    <t>107051</t>
  </si>
  <si>
    <t>107052</t>
  </si>
  <si>
    <t>107054</t>
  </si>
  <si>
    <t>104060</t>
  </si>
  <si>
    <t>107060</t>
  </si>
  <si>
    <t>082044</t>
  </si>
  <si>
    <t>082061</t>
  </si>
  <si>
    <t>082092</t>
  </si>
  <si>
    <t>Hagyományos közösségi kult. értékek gondozása - Közművelődés</t>
  </si>
  <si>
    <t>081030</t>
  </si>
  <si>
    <t>Sportlétesítmények, edzőtáborok működtetése és fejlesztése</t>
  </si>
  <si>
    <t>Város-,  községgazdálkodási egyéb szolg.</t>
  </si>
  <si>
    <t>Időskorúak, demens betegek  tartós bentlakásos ellátása</t>
  </si>
  <si>
    <t xml:space="preserve">Hajléktalanok átmeneti ellátása </t>
  </si>
  <si>
    <t>Múzeumi, gyűjteményi tevékenység</t>
  </si>
  <si>
    <t xml:space="preserve">működési </t>
  </si>
  <si>
    <t>felhalmozási</t>
  </si>
  <si>
    <t>össz.</t>
  </si>
  <si>
    <t>Mötv. 13.§(1)2.11. 9.12.5</t>
  </si>
  <si>
    <t>Mötv. 13.§(1)13</t>
  </si>
  <si>
    <t>Ttv. 2.§(2) Mötv. 13.§(1)12</t>
  </si>
  <si>
    <t>Mötv. 13.§(1) 10</t>
  </si>
  <si>
    <t>Mötv. 13.§(1) 7</t>
  </si>
  <si>
    <t>Lakásfenntartással, lakhatással összefüggő ellátások</t>
  </si>
  <si>
    <t>Gyermekvédelmi pénzbeli és természetbeni ell. -(Erzsébet ut., kieg. gyerm.véd. tám. és pótléka, óvodáztatási tám.)</t>
  </si>
  <si>
    <t>Gyvt. tv. 14.§ (3), 18.§ b, 20/A.§,20/B.§, 20/C.§</t>
  </si>
  <si>
    <t>Munkanélküli aktív korúak ellátásai</t>
  </si>
  <si>
    <t>Jánoshalma Városi Önkormányzat</t>
  </si>
  <si>
    <t>Költségvetési egyenleg</t>
  </si>
  <si>
    <t>működési</t>
  </si>
  <si>
    <t>összesen</t>
  </si>
  <si>
    <t>Lakott külterülettel kapcsolatos feladatok támogatása</t>
  </si>
  <si>
    <t xml:space="preserve"> </t>
  </si>
  <si>
    <t>Állami feladat kiadása</t>
  </si>
  <si>
    <t>Önkormányzat kiadásai összesen:</t>
  </si>
  <si>
    <t>Központi ktgv.-i támogatás össz.:</t>
  </si>
  <si>
    <t>Átvett pénzeszköz összesen:</t>
  </si>
  <si>
    <t>Saját bevétel összesen:</t>
  </si>
  <si>
    <t>Jh.-i Polgárm. Hiv. kiadásai össz.:</t>
  </si>
  <si>
    <t>Gyermeklánc Óvoda és Egységes Óvoda-Bölcsőde kiadásai összesen:</t>
  </si>
  <si>
    <t>Központi ktgv.-i támog. mindössz.:</t>
  </si>
  <si>
    <t>Átvett pénzeszköz mindösszesen:</t>
  </si>
  <si>
    <t>Saját bevétel mindösszesen:</t>
  </si>
  <si>
    <t>Földalapú támogatás</t>
  </si>
  <si>
    <t>Bérleti díj bevételek</t>
  </si>
  <si>
    <t>Gyermekétkeztetés tám. - fin. szempontjából elismert dolgozók bértámogatása (óvoda)</t>
  </si>
  <si>
    <t>ÁROP szervezetfejl. projekt EU tám. műk.</t>
  </si>
  <si>
    <t>Kieg. RGYVK címén kifizetett összeg és kapcsolódó pótlék megtérítése</t>
  </si>
  <si>
    <t>Munkaügyi Kp. tám. -Egyéb közfoglalk.</t>
  </si>
  <si>
    <t>RGYVK-hoz kapcs. természetb. j. (Erzsébet utalvány) megtérítése</t>
  </si>
  <si>
    <t>Imre Zoltán Műv. Kp. Napelemes fejlesztés projekt EU támogatása</t>
  </si>
  <si>
    <t>Takarítási szolgáltatás díjbevétele</t>
  </si>
  <si>
    <t>Felhalmozás célú támogatás államháztartáson kívülre</t>
  </si>
  <si>
    <t>2.1. Helyi adók és adójellegű bevételek</t>
  </si>
  <si>
    <t>Település-üzemeltetéshez kapcsolódó feladatellátás támogatása</t>
  </si>
  <si>
    <t>Egyéb önkormányzati feladatok támogatása</t>
  </si>
  <si>
    <t>A települési önkormányzatok egyes köznevelési feladatainak támogatása</t>
  </si>
  <si>
    <t>Óvodapedagógusok, és az óvodapedagógusok nevelő munkáját közvetlenül segítők bértámogatása</t>
  </si>
  <si>
    <t>Óvodapedagógusok nevelő munkáját közvetlenül segítők bértámogatása</t>
  </si>
  <si>
    <t>II.1 (3)</t>
  </si>
  <si>
    <t>A települési önkormányzatok szociális, gyermekjóléti és gyermekétkeztetési feladatainak támogatása</t>
  </si>
  <si>
    <t>III.3.a (1)</t>
  </si>
  <si>
    <t>III.3.a (2)</t>
  </si>
  <si>
    <t>III.5</t>
  </si>
  <si>
    <t>Gyermekétkeztetés támogatása</t>
  </si>
  <si>
    <t>III.5.b</t>
  </si>
  <si>
    <t>Gyermekétkeztetés üzemeltetési támogatása</t>
  </si>
  <si>
    <t>Települési önkormányzatok nyilvános könyvtári és közművelődési feladatainak támogatása</t>
  </si>
  <si>
    <t>Központi költségvetési támogatások mindösszesen:</t>
  </si>
  <si>
    <t>Jánoshalma Város Polgármesteri Hivatalának szervezetfejlesztése II. (ÁROP-1.A.5-2013-2013-0111)</t>
  </si>
  <si>
    <t>Imre Zoltán Műv. Kp. villamosenergia megtakarítását eredményező napelemes fejlesztés (KEOP-4.10.0/A/12-2013-0726)</t>
  </si>
  <si>
    <t>Helyi Önkorm. összesen</t>
  </si>
  <si>
    <t>Műk. célú tám. ÁH-on belülre</t>
  </si>
  <si>
    <t>Műk. célú tám. ÁH-on kívülre</t>
  </si>
  <si>
    <t>Felh. célú tám. ÁH-on kívülre</t>
  </si>
  <si>
    <t>K6</t>
  </si>
  <si>
    <t>Felújítások</t>
  </si>
  <si>
    <t>K7</t>
  </si>
  <si>
    <t>Egyéb felhalmozási célú kiadások</t>
  </si>
  <si>
    <t>K8</t>
  </si>
  <si>
    <t>Finanszírozási kiadások</t>
  </si>
  <si>
    <t>K9</t>
  </si>
  <si>
    <t>Tárgyi eszköz beszerzések (telefonkészülék, porszívó, számológép )</t>
  </si>
  <si>
    <t>Tárgyi eszköz beszerzések (szerelő kulcskészlet, híradó-akku, tömlők) - Tűzoltóság</t>
  </si>
  <si>
    <t>353/2011. (XII. 30.) Korm. rendelet 2.§ (1) bek. szerinti saját bevétel összege az adósságot keletkeztető ügyletek (viziközmű-társulati hitel kapcsán vállalt készfizető kezesség)  futamidejének végéig</t>
  </si>
  <si>
    <t>K43</t>
  </si>
  <si>
    <t>Pénzbeli kárpótlások, kártérítések</t>
  </si>
  <si>
    <t>K44</t>
  </si>
  <si>
    <t>Betegséggel kapcsolatos (nem TB) ellátások</t>
  </si>
  <si>
    <t>megváltozott munkaképességűek, ill. egészségkárosodottak kereset-kiegészítése</t>
  </si>
  <si>
    <t>helyi megállapítású közgyógyellátás (Szoctv. 50.§ (3) bek.)</t>
  </si>
  <si>
    <t>K45</t>
  </si>
  <si>
    <t>Foglalkoztatással, munkanélküliséggel kapcs. ellátások</t>
  </si>
  <si>
    <t>K46</t>
  </si>
  <si>
    <t>Lakhatással kapcsolatos ellátások</t>
  </si>
  <si>
    <t>K47</t>
  </si>
  <si>
    <t>K48</t>
  </si>
  <si>
    <t>Egyéb nem intézményi ellátások</t>
  </si>
  <si>
    <t>K5</t>
  </si>
  <si>
    <t>Egyéb működési célú kiadások</t>
  </si>
  <si>
    <t>K501</t>
  </si>
  <si>
    <t>Nemzetközi kötelezettségek</t>
  </si>
  <si>
    <t>K502</t>
  </si>
  <si>
    <t>Elvonások és befizetések</t>
  </si>
  <si>
    <t>K503</t>
  </si>
  <si>
    <t>Műk. célú garancia- és kezességvállalásból szárm. Kif. Államháztartáson belülre</t>
  </si>
  <si>
    <t>K504</t>
  </si>
  <si>
    <t>Műk. c. visszatérítendő támogatások, kölcsönök nyújtása államháztartáson belülre</t>
  </si>
  <si>
    <t>a,</t>
  </si>
  <si>
    <t>központi költségvetési szervek</t>
  </si>
  <si>
    <t>b,</t>
  </si>
  <si>
    <t>központi kezelésű előirányzatok</t>
  </si>
  <si>
    <t>c,</t>
  </si>
  <si>
    <t>fejezeti kezelésű ei EU-s pr. és azok hazai társfin.</t>
  </si>
  <si>
    <t>d,</t>
  </si>
  <si>
    <t>egyéb fejezeti kezelésű előirányzatok</t>
  </si>
  <si>
    <t>e,</t>
  </si>
  <si>
    <t>TB pénzügyi alapjai</t>
  </si>
  <si>
    <t xml:space="preserve">f, </t>
  </si>
  <si>
    <t>elkülönített állami pénzalapok</t>
  </si>
  <si>
    <t>g,</t>
  </si>
  <si>
    <t>helyi önkormányzatok és költségvetési szerveik</t>
  </si>
  <si>
    <t xml:space="preserve">h, </t>
  </si>
  <si>
    <t>társulások és költségvetési szerveik</t>
  </si>
  <si>
    <t xml:space="preserve">i, </t>
  </si>
  <si>
    <t>nemzetiségi önk-ok és költségvetési szerveik</t>
  </si>
  <si>
    <t>j,</t>
  </si>
  <si>
    <t>térségi fejleszt. tanácsok és költségvetési szerveik</t>
  </si>
  <si>
    <t>K505</t>
  </si>
  <si>
    <t>Műk. c. visszatérítendő támogatások, kölcsönök törtlesztése államháztartáson belülre</t>
  </si>
  <si>
    <t>K506</t>
  </si>
  <si>
    <t>Egyéb működési célú támogatások államháztartáson belülre</t>
  </si>
  <si>
    <t>K507</t>
  </si>
  <si>
    <t>Műk. c. garancia- és kezességv-ból származó kifizetés államháztartáson kívülre</t>
  </si>
  <si>
    <t>K508</t>
  </si>
  <si>
    <t>egyházi jogi személyek</t>
  </si>
  <si>
    <t>egyéb civil szervezetek</t>
  </si>
  <si>
    <t>háztartások</t>
  </si>
  <si>
    <t>pénzügyi vállalkozások</t>
  </si>
  <si>
    <t>állami többségi tul. -ú nem pénzügyi vállalkozások</t>
  </si>
  <si>
    <t>önk-i többségi tul.-ú nem pénzügyi vállalkozások</t>
  </si>
  <si>
    <t>egyéb vállalkozások</t>
  </si>
  <si>
    <t>Európai Unió</t>
  </si>
  <si>
    <t>kormányok és nemzetközi szervezetek</t>
  </si>
  <si>
    <t>egyéb külföldiek</t>
  </si>
  <si>
    <t>K509</t>
  </si>
  <si>
    <t>Árkiegészítések, átrtámogatások</t>
  </si>
  <si>
    <t>K510</t>
  </si>
  <si>
    <t>Kamattámogatások</t>
  </si>
  <si>
    <t>K511</t>
  </si>
  <si>
    <t>Egyéb műk. c. támogatások államháztartáson kívülre</t>
  </si>
  <si>
    <t>K512</t>
  </si>
  <si>
    <t>Tartalékok</t>
  </si>
  <si>
    <t>Fejlesztési c. tartalék- viziközművek fejlesztésére</t>
  </si>
  <si>
    <t>K61</t>
  </si>
  <si>
    <t>Immateriális javak beszerzése, létesítése</t>
  </si>
  <si>
    <t>K62</t>
  </si>
  <si>
    <t>Ingatlanok beszerzése, létesítése</t>
  </si>
  <si>
    <t xml:space="preserve">    </t>
  </si>
  <si>
    <t>K63</t>
  </si>
  <si>
    <t>Informatikai eszközök beszerzése, létesítése</t>
  </si>
  <si>
    <t>K64</t>
  </si>
  <si>
    <t>Egyéb tárgyi eszközök beszerzése, létesítése</t>
  </si>
  <si>
    <t>K65</t>
  </si>
  <si>
    <t>Részesedések beszerzése</t>
  </si>
  <si>
    <t>K66</t>
  </si>
  <si>
    <t>Meglévő részesedések növeléséhez kapcsolódó kiadások</t>
  </si>
  <si>
    <t>K67</t>
  </si>
  <si>
    <t>Beruházási célú előzetesen felszámított áfa</t>
  </si>
  <si>
    <t>K71</t>
  </si>
  <si>
    <t>Ingatlanok felújítása</t>
  </si>
  <si>
    <t>K72</t>
  </si>
  <si>
    <t>Infrormatikai eszközök felújítása</t>
  </si>
  <si>
    <t xml:space="preserve">K73 </t>
  </si>
  <si>
    <t>Egyéb tárgyi eszközök felújítása</t>
  </si>
  <si>
    <t>K74</t>
  </si>
  <si>
    <t>Felújítási célú előzetesen felszámított áfa</t>
  </si>
  <si>
    <t>K81</t>
  </si>
  <si>
    <t>Felhalm. c. garancia- és kez.váll-ból szárm. kif. állh-on belülre</t>
  </si>
  <si>
    <t>K82</t>
  </si>
  <si>
    <t>Felh. c. visszatér. tám, kölcsönök nyújt. állh-on belülre</t>
  </si>
  <si>
    <t>K83</t>
  </si>
  <si>
    <t>Felh. c. visszatér. tám, kölcsönök törl. állh-on belülre</t>
  </si>
  <si>
    <t>K84</t>
  </si>
  <si>
    <t>Egyéb felhalmozási c. támogatások állh-on belülre</t>
  </si>
  <si>
    <t>K85</t>
  </si>
  <si>
    <t>Felhalm. c. garancia- és kez.váll-ból szárm. kif. állh-on kívülre</t>
  </si>
  <si>
    <t>K86</t>
  </si>
  <si>
    <t>Felh. c. visszatér. tám, kölcsönök nyújt. állh-on kívülre</t>
  </si>
  <si>
    <t>K87</t>
  </si>
  <si>
    <t>Lakástámogatás</t>
  </si>
  <si>
    <t>K88</t>
  </si>
  <si>
    <t>Egyéb felhalmozási c. támogatások állh-on kívülre</t>
  </si>
  <si>
    <t>K91</t>
  </si>
  <si>
    <t>Belföldi finanszírozás kiadásai</t>
  </si>
  <si>
    <t>K92</t>
  </si>
  <si>
    <t>Külföldi finanszírozás kiadásai</t>
  </si>
  <si>
    <t>K93</t>
  </si>
  <si>
    <t>Adóssághoz nem kapcsolódó származékos ügyletek kiadásai</t>
  </si>
  <si>
    <t>Kiadások mindösszesen</t>
  </si>
  <si>
    <t>B1</t>
  </si>
  <si>
    <t>Működési célú támogatások államháztartáson belülről</t>
  </si>
  <si>
    <t>B11</t>
  </si>
  <si>
    <t>Önkormányzatok működési támogatásai</t>
  </si>
  <si>
    <t>B111</t>
  </si>
  <si>
    <t>B112</t>
  </si>
  <si>
    <t>Telep. önk-ok egyes köznevelési feladatainak támogatása</t>
  </si>
  <si>
    <t>B113</t>
  </si>
  <si>
    <t>B114</t>
  </si>
  <si>
    <t>Telep. önk-ok kulturális feladatainak támogatása</t>
  </si>
  <si>
    <t>B115</t>
  </si>
  <si>
    <t>B116</t>
  </si>
  <si>
    <t>B12</t>
  </si>
  <si>
    <t>Elvonások és befizetések bevételei</t>
  </si>
  <si>
    <t>B13</t>
  </si>
  <si>
    <t>Működési c. garancia- és kez.váll-ból szárm. megt. állh-on belülről</t>
  </si>
  <si>
    <t>B14</t>
  </si>
  <si>
    <t>Műk. c. visszatérítendő támogatások, kölcsönök vtérülése állh. bel.</t>
  </si>
  <si>
    <t>fejezeti kezelésű ei EU-s pr. és azok hazai társfinanszírozása</t>
  </si>
  <si>
    <t>B15</t>
  </si>
  <si>
    <t>Műk. c. visszatérítendő támogatások, kölcsönök igénybev. állh. bel.</t>
  </si>
  <si>
    <t>B16</t>
  </si>
  <si>
    <t>Egyéb műk. c. támogatások bevételei államházt.-on belülről</t>
  </si>
  <si>
    <t>B2</t>
  </si>
  <si>
    <t>Felhalm. célú támogatások államháztartáson belülről</t>
  </si>
  <si>
    <t>B21</t>
  </si>
  <si>
    <t>Felhalmozási c. önkormányzati támogatások</t>
  </si>
  <si>
    <t>B22</t>
  </si>
  <si>
    <t>Felhalm. c. garancia- és kez.váll-ból szárm. megt. állh-on belülről</t>
  </si>
  <si>
    <t>B23</t>
  </si>
  <si>
    <t>Felh. c. visszatérítendő támogatások, kölcsönök vtérülése állh. bel.</t>
  </si>
  <si>
    <t>B24</t>
  </si>
  <si>
    <t>Felh. c. visszatérítendő támogatások, kölcsönök igénybev. állh. bel.</t>
  </si>
  <si>
    <t>B25</t>
  </si>
  <si>
    <t>Egyéb felh. c. támogatások bevételei államházt.-on belülről</t>
  </si>
  <si>
    <t>B3</t>
  </si>
  <si>
    <t>Közhatalmi bevételek</t>
  </si>
  <si>
    <t>B31</t>
  </si>
  <si>
    <t>Jövedelemadók</t>
  </si>
  <si>
    <t>B32</t>
  </si>
  <si>
    <t>Szociális hozzájárulási adó és járulékok</t>
  </si>
  <si>
    <t>B33</t>
  </si>
  <si>
    <t>Bérhez és foglalkoztatáshoz kapcsolódó adók</t>
  </si>
  <si>
    <t>B34</t>
  </si>
  <si>
    <t xml:space="preserve">Vagyoni típusú adók </t>
  </si>
  <si>
    <t>magánszemélyek kommunális adója</t>
  </si>
  <si>
    <t>telekadó</t>
  </si>
  <si>
    <t>B35</t>
  </si>
  <si>
    <t>Termékek és szolgáltatások adói</t>
  </si>
  <si>
    <t>B351</t>
  </si>
  <si>
    <t>Értékesítési és forgalmi adók</t>
  </si>
  <si>
    <t>állandó jelleggel végz. iparűz. tev. utáni helyi iparűzési adó</t>
  </si>
  <si>
    <t>ideigl. jell. végz. tev. utáni helyi iparűzési adó</t>
  </si>
  <si>
    <t>B352</t>
  </si>
  <si>
    <t>Fogyasztási adók</t>
  </si>
  <si>
    <t>B353</t>
  </si>
  <si>
    <t>Pü-i monopóliumok nyereségét terhelő adók</t>
  </si>
  <si>
    <t>B354</t>
  </si>
  <si>
    <t>Gépjárműadók</t>
  </si>
  <si>
    <t>belföldi gépjárművek adójának helyi önk-t megillető része</t>
  </si>
  <si>
    <t>B355</t>
  </si>
  <si>
    <t>Egyéb áruhasználati és szolgáltatási adók</t>
  </si>
  <si>
    <t>talajterhelési díj</t>
  </si>
  <si>
    <t>korábbi évek megszűnt adónemei áthúzódó bevételei</t>
  </si>
  <si>
    <t>B36</t>
  </si>
  <si>
    <t>Egyéb közhatalmi bevételek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</si>
  <si>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</si>
  <si>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</si>
  <si>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</si>
  <si>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</si>
  <si>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</si>
  <si>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építésügyi bírság</t>
  </si>
  <si>
    <t>szabálysértési pénz- és helyszíni bírság és a közlekedési szabályszegések után kiszabott közig. bírság önkormányzatot megillető része</t>
  </si>
  <si>
    <t>egyéb bírságok</t>
  </si>
  <si>
    <t>késedelmi és önellenőrzési pótlék</t>
  </si>
  <si>
    <t>B4</t>
  </si>
  <si>
    <t>Működési bevételek</t>
  </si>
  <si>
    <t>B401</t>
  </si>
  <si>
    <t>B402</t>
  </si>
  <si>
    <t>tárgyi eszközök bérbe adásából származó bevétel</t>
  </si>
  <si>
    <t>B403</t>
  </si>
  <si>
    <t>Közvetített szolgáltatások ellenértéke</t>
  </si>
  <si>
    <t>B404</t>
  </si>
  <si>
    <t>Tulajdonosi bevételek</t>
  </si>
  <si>
    <t>vadászati jog bérbeadásából származó bevétel</t>
  </si>
  <si>
    <t>önk-i vagyon vagyonkezelésbe adásából szárm. bevétel</t>
  </si>
  <si>
    <t>B405</t>
  </si>
  <si>
    <t>Ellátási díjak (pl. szociális és ellátotti étkeztetés díja)</t>
  </si>
  <si>
    <t>B406</t>
  </si>
  <si>
    <t>Kiszámlázott általános forgalmi adó</t>
  </si>
  <si>
    <t>B407</t>
  </si>
  <si>
    <t>Általános forgalmi adó visszatérítése</t>
  </si>
  <si>
    <t>B408</t>
  </si>
  <si>
    <t>B409</t>
  </si>
  <si>
    <t>Egyéb pénzügyi műveletek bevételei (pl. árfolyamnyereség)</t>
  </si>
  <si>
    <t>B410</t>
  </si>
  <si>
    <t>költségek visszatérítései</t>
  </si>
  <si>
    <t>B5</t>
  </si>
  <si>
    <t>Felhalmozási bevételek</t>
  </si>
  <si>
    <t>B51</t>
  </si>
  <si>
    <t>B52</t>
  </si>
  <si>
    <t>Ingatlanok értékesítése</t>
  </si>
  <si>
    <t>termőföld-eladás bevételei</t>
  </si>
  <si>
    <t>B53</t>
  </si>
  <si>
    <t>Egyéb tárgyi eszközök értékesítése</t>
  </si>
  <si>
    <t>B54</t>
  </si>
  <si>
    <t>Részesedések értékesítése</t>
  </si>
  <si>
    <t>B55</t>
  </si>
  <si>
    <t>Részesedések megszűnéséhez kapcsolódó bevételek</t>
  </si>
  <si>
    <t>B6</t>
  </si>
  <si>
    <t>Működési célú átvett pénzeszközök</t>
  </si>
  <si>
    <t>B61</t>
  </si>
  <si>
    <t>Működési c. garancia- és kez.váll-ból szárm. megt. állh-on kívülről</t>
  </si>
  <si>
    <t>B62</t>
  </si>
  <si>
    <t>Gyermekétkeztetés üzemeltetési támogatása (ált. isk. gimn.)</t>
  </si>
  <si>
    <t>Gyermekétkeztetés üzemeltetési tám.  (óvoda)</t>
  </si>
  <si>
    <t xml:space="preserve">  IPA Határon Átnyúló Projekt FAB (Magyarország-Szerbia) - Jánoshalma Város Önkormányzat </t>
  </si>
  <si>
    <t>EUR</t>
  </si>
  <si>
    <t>eFt</t>
  </si>
  <si>
    <t>Hazai társfinanszírozás</t>
  </si>
  <si>
    <t>EU-s forrás  (IPA)</t>
  </si>
  <si>
    <t>Felújítási kiadások (elszámolható)</t>
  </si>
  <si>
    <t>Felújítási kiadások (nem elszámolható)</t>
  </si>
  <si>
    <t>Beruházási kiadások (eszközbeszerzés)</t>
  </si>
  <si>
    <t>Bér+járulék kiadások (elszámolható)</t>
  </si>
  <si>
    <t>3.7. Általános forgalmi adó visszatérítése</t>
  </si>
  <si>
    <t>43</t>
  </si>
  <si>
    <t>Szennyvíz beruh. saját erő (Viziközmű társ. h.)</t>
  </si>
  <si>
    <t>Szennyvíz beruházás EU-s és hazai támogatás</t>
  </si>
  <si>
    <t>IPA Határon Átnyúló Projekt EU tám. műk.</t>
  </si>
  <si>
    <t>Műk. c. visszatérítendő támogatások, kölcsönök vtérülése állh. kív.</t>
  </si>
  <si>
    <t>B63</t>
  </si>
  <si>
    <t>Egyéb műk. c. átvett pénzeszközök</t>
  </si>
  <si>
    <t>B7</t>
  </si>
  <si>
    <t>Felhalmozási célú átvett pénzeszközök</t>
  </si>
  <si>
    <t>B71</t>
  </si>
  <si>
    <t>Felhalm. c. garancia- és kez.váll-ból szárm. megt. állh-on kívülről</t>
  </si>
  <si>
    <t>B72</t>
  </si>
  <si>
    <t>Felhalm. c. v.térítendő támogatások, kölcsönök vtérülése állh. kív.</t>
  </si>
  <si>
    <t>B73</t>
  </si>
  <si>
    <t>Egyéb felhalm. c. átvett pénzeszközök</t>
  </si>
  <si>
    <t>B8</t>
  </si>
  <si>
    <t>Finanszírozási bevételek</t>
  </si>
  <si>
    <t>B81</t>
  </si>
  <si>
    <t>Belföldi finanszírozás bevételei</t>
  </si>
  <si>
    <t>B811</t>
  </si>
  <si>
    <t>Hitel-, kölcsönfelvétel államháztartáson kívülről</t>
  </si>
  <si>
    <t>B8111</t>
  </si>
  <si>
    <t>B8112</t>
  </si>
  <si>
    <t>Likviditási célú hitelek, kölcsönök felvétele pü-i vállalkozástól</t>
  </si>
  <si>
    <t>B8113</t>
  </si>
  <si>
    <t>B812</t>
  </si>
  <si>
    <t>Belföldi értékpapírok bevételei</t>
  </si>
  <si>
    <t>B813</t>
  </si>
  <si>
    <t>Maradvány igénybevétele</t>
  </si>
  <si>
    <t>B8131</t>
  </si>
  <si>
    <t>Előző év költségvetési maradványának igénybevétele</t>
  </si>
  <si>
    <t>B8132</t>
  </si>
  <si>
    <t>Előző év vállalkozási maradványának igénybevétele</t>
  </si>
  <si>
    <t>B814</t>
  </si>
  <si>
    <t>Államháztartáson belüli megelőlegezések (Áht. 78.§ (4) és (5) bek.)</t>
  </si>
  <si>
    <t>B815</t>
  </si>
  <si>
    <t>Államháztartáson belüli megelől. törleszt. (Áht. 78.§ (4) és (5) bek.)</t>
  </si>
  <si>
    <t>B816</t>
  </si>
  <si>
    <t>Központi, irányító szervi támogatás</t>
  </si>
  <si>
    <t>B817</t>
  </si>
  <si>
    <t>B818</t>
  </si>
  <si>
    <t>Központi költségvetés sajátos finanszírozási bevételei</t>
  </si>
  <si>
    <t>B82</t>
  </si>
  <si>
    <t>Külföldi finanszírozás bevételei</t>
  </si>
  <si>
    <t>B83</t>
  </si>
  <si>
    <t>Adóssághoz nem kapcsolódó származékos ügyletek bevételei</t>
  </si>
  <si>
    <t xml:space="preserve">Támogatási szerződés szerinti bevételek, kiadások  (eFt)     </t>
  </si>
  <si>
    <t>évenkénti üteme</t>
  </si>
  <si>
    <t>Saját erő</t>
  </si>
  <si>
    <t>EU-s forrás</t>
  </si>
  <si>
    <t>Források összesen</t>
  </si>
  <si>
    <t>Beruházási kiadások (elszámolható)</t>
  </si>
  <si>
    <t>Beruházási kiadások (nem elszámolható)</t>
  </si>
  <si>
    <t>Dologi kiadások (elszámolható)</t>
  </si>
  <si>
    <t>Dologi kiadások (nem elszámolható)</t>
  </si>
  <si>
    <t>Szennyvíz-csatornázási és szennyvíztisztítási beruházás (KEOP-1.2.0/2F/09-2010-0029)</t>
  </si>
  <si>
    <t>EU-s forrás és hazai együtt</t>
  </si>
  <si>
    <t>Egyéb forrás (ÁFA visszatérülés)</t>
  </si>
  <si>
    <t>II. Felhalmozási kiadások</t>
  </si>
  <si>
    <t>C. Költségvetési hiány belső finanszírozására szolgáló pénzforgalom nélküli bevételek</t>
  </si>
  <si>
    <t>E. Finanszírozási kiadások</t>
  </si>
  <si>
    <t>Össz.</t>
  </si>
  <si>
    <t>Felh. célú</t>
  </si>
  <si>
    <t>Műk. célú</t>
  </si>
  <si>
    <t>Szolgáltatások ellenértéke</t>
  </si>
  <si>
    <t>Immateriális javak értékesítése</t>
  </si>
  <si>
    <t>Beruházás</t>
  </si>
  <si>
    <t>Építményüzemeltetés</t>
  </si>
  <si>
    <t>- Gazdasági ügyintéző</t>
  </si>
  <si>
    <t>Közutak, alagutak üzemeltetése, fenntartása</t>
  </si>
  <si>
    <t>Munka-adót terh. jár.</t>
  </si>
  <si>
    <t>Személyi juttatások</t>
  </si>
  <si>
    <t>Kiadások mindösszesen:</t>
  </si>
  <si>
    <t>Jan</t>
  </si>
  <si>
    <t>Febr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</si>
  <si>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</si>
  <si>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</si>
  <si>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</si>
  <si>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</si>
  <si>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</si>
  <si>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</si>
  <si>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</si>
  <si>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</si>
  <si>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</si>
  <si>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</si>
  <si>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>Jánoshalmi tagóvodák</t>
  </si>
  <si>
    <t>Óvodatitkár</t>
  </si>
  <si>
    <t>Bölcsődei gondozónő</t>
  </si>
  <si>
    <t>Kéleshalmi tagintézmény</t>
  </si>
  <si>
    <t>Óvónő</t>
  </si>
  <si>
    <t>Óvodai dajka</t>
  </si>
  <si>
    <t>Diákélelmezési Konyha</t>
  </si>
  <si>
    <t>- Konyhavezető</t>
  </si>
  <si>
    <t>- Szakács</t>
  </si>
  <si>
    <t>- Konyhai kisegítő</t>
  </si>
  <si>
    <t>- Gépkocsi vezető</t>
  </si>
  <si>
    <t>- Takarítónő</t>
  </si>
  <si>
    <t>- Fűtő, karbantartó</t>
  </si>
  <si>
    <t>- Technikus</t>
  </si>
  <si>
    <t>- Tűzoltók (közalkalmazottak)</t>
  </si>
  <si>
    <t xml:space="preserve">Közfoglalkoztatás </t>
  </si>
  <si>
    <t>- Polgármester</t>
  </si>
  <si>
    <t>- Főállású alpolgármester</t>
  </si>
  <si>
    <t>Ügyeleti Szolgálat</t>
  </si>
  <si>
    <t>- Ápolók</t>
  </si>
  <si>
    <t>- Gépkocsivezető</t>
  </si>
  <si>
    <t>Védőnői Szolgálat</t>
  </si>
  <si>
    <t>- Védőnők</t>
  </si>
  <si>
    <t>Megnevezés</t>
  </si>
  <si>
    <t>Kiadások</t>
  </si>
  <si>
    <t>Dologi kiadás</t>
  </si>
  <si>
    <t>Összesen:</t>
  </si>
  <si>
    <t>Mindösszesen:</t>
  </si>
  <si>
    <t>Mindösszesen</t>
  </si>
  <si>
    <t>E Ft-ban</t>
  </si>
  <si>
    <t>Beruházások</t>
  </si>
  <si>
    <t>Bevé-        telek</t>
  </si>
  <si>
    <t>K i a d á s b ó l</t>
  </si>
  <si>
    <t>Kiadások összesen</t>
  </si>
  <si>
    <t>Felú-  jítás</t>
  </si>
  <si>
    <t>Céltartalék (felhalmozási)</t>
  </si>
  <si>
    <t>adatok E Ft-ban</t>
  </si>
  <si>
    <t>Polgármesteri Hivatal</t>
  </si>
  <si>
    <t>Felújítás</t>
  </si>
  <si>
    <t>Összeg</t>
  </si>
  <si>
    <t>–</t>
  </si>
  <si>
    <t>Tervezett tartalékok</t>
  </si>
  <si>
    <t>Veszélyes hulladék kezelése, ártalmatlanítása</t>
  </si>
  <si>
    <t>Üdülői szálláshely-szolgáltatás</t>
  </si>
  <si>
    <t>Zöldterület kezelés</t>
  </si>
  <si>
    <t>Kiemelt állami és önkormányzati rendezvények</t>
  </si>
  <si>
    <t>Közvilágítás</t>
  </si>
  <si>
    <t>Fejezeti és általános tartalékok elszámolása</t>
  </si>
  <si>
    <t>Háziorvosi alapellátás</t>
  </si>
  <si>
    <t>Háziorvosi ügyeleti ellátás</t>
  </si>
  <si>
    <t>Fogorvosi alapellátás</t>
  </si>
  <si>
    <t>Könyvtári szolgáltatások</t>
  </si>
  <si>
    <t>Céltartalék (működési)</t>
  </si>
  <si>
    <t>Vis maior tartalék (működési)</t>
  </si>
  <si>
    <t>Tartalékok mindösszesen (I.+II.)</t>
  </si>
  <si>
    <t>Működési tartalékok összesen (I.):</t>
  </si>
  <si>
    <t>Felhalmozási tartalékok összesen (II.):</t>
  </si>
  <si>
    <t>Helyi önkormányzat összesen:</t>
  </si>
  <si>
    <t>I</t>
  </si>
  <si>
    <t>J</t>
  </si>
  <si>
    <t>K</t>
  </si>
  <si>
    <t>L</t>
  </si>
  <si>
    <t>M</t>
  </si>
  <si>
    <t>N</t>
  </si>
  <si>
    <t>O</t>
  </si>
  <si>
    <t>P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</si>
  <si>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</si>
  <si>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</si>
  <si>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</si>
  <si>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</si>
  <si>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</si>
  <si>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</si>
  <si>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</si>
  <si>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</si>
  <si>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</si>
  <si>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</si>
  <si>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</si>
  <si>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</si>
  <si>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</si>
  <si>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</si>
  <si>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</si>
  <si>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</si>
  <si>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</si>
  <si>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</si>
  <si>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</si>
  <si>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</si>
  <si>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</si>
  <si>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</si>
  <si>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28</t>
  </si>
  <si>
    <t>29</t>
  </si>
  <si>
    <t>30</t>
  </si>
  <si>
    <t>32</t>
  </si>
  <si>
    <t>Időszak</t>
  </si>
  <si>
    <t>5. bírság-, pótlék- és díjbevétel</t>
  </si>
  <si>
    <t>1. helyi adóból származó bevétel</t>
  </si>
  <si>
    <t>R</t>
  </si>
  <si>
    <t>2. önkormányzati  vagyon és az önkormányzatot megillető vagyoni értékű jog értékesítéséből és hasznosításából származó bevétel</t>
  </si>
  <si>
    <t>4. tárgyi eszköz és az immateriális jószág, részvény, részesedés, vállalat értékesítéséből vagy privatizációból származó bevétel</t>
  </si>
  <si>
    <t>6. kezességvállalással kapcsolatos megtérülés</t>
  </si>
  <si>
    <t>Az önkormányzat saját bevételének típusa</t>
  </si>
  <si>
    <t>Helyi önkorm. összesen:</t>
  </si>
  <si>
    <t xml:space="preserve">Óvónő </t>
  </si>
  <si>
    <t xml:space="preserve">Óvodai dajka </t>
  </si>
  <si>
    <t xml:space="preserve">Technikai dolgozó </t>
  </si>
  <si>
    <t xml:space="preserve">- Köztisztviselők                      </t>
  </si>
  <si>
    <t>Polgárm. Hiv. összesen:</t>
  </si>
  <si>
    <t>Önk. Tűzoltóság</t>
  </si>
  <si>
    <t>HELYI ÖNKORMÁNYZAT ÉS INTÉZMÉNYEI ÖSSZESEN:</t>
  </si>
  <si>
    <t>Összesen</t>
  </si>
  <si>
    <t>3. osztalék, koncessziós díj és hozambevétel</t>
  </si>
  <si>
    <t>Felújítási alap befizetési kötelezettség (vegyes tulajdonú társasházak)</t>
  </si>
  <si>
    <t>Fejlesztési célú tartalék</t>
  </si>
  <si>
    <t>Vis maior tartalék</t>
  </si>
  <si>
    <t>A</t>
  </si>
  <si>
    <t>B</t>
  </si>
  <si>
    <t>C</t>
  </si>
  <si>
    <t>D</t>
  </si>
  <si>
    <t>E</t>
  </si>
  <si>
    <t>F</t>
  </si>
  <si>
    <t>Ssz.</t>
  </si>
  <si>
    <t>Vis maior tartalék képzése</t>
  </si>
  <si>
    <t>G</t>
  </si>
  <si>
    <t>H</t>
  </si>
  <si>
    <t>33</t>
  </si>
  <si>
    <t>Család- és nővédelmi egészségügyi gondozás</t>
  </si>
  <si>
    <t>Körny. véd. alap</t>
  </si>
  <si>
    <t>2011. év</t>
  </si>
  <si>
    <t>Bevételek</t>
  </si>
  <si>
    <t>Bevételek mindösszesen:</t>
  </si>
  <si>
    <t>-</t>
  </si>
  <si>
    <t>2012. év</t>
  </si>
  <si>
    <t>2013. év</t>
  </si>
  <si>
    <t>Helyi önkormányzat</t>
  </si>
  <si>
    <t>2014. év</t>
  </si>
  <si>
    <t>2015. év</t>
  </si>
  <si>
    <t>2016. év</t>
  </si>
  <si>
    <t>2017. év</t>
  </si>
  <si>
    <t>2018. év</t>
  </si>
  <si>
    <t>2019. év</t>
  </si>
  <si>
    <t>2020. év</t>
  </si>
  <si>
    <t>2021. év</t>
  </si>
  <si>
    <t>2022. év</t>
  </si>
  <si>
    <t>Jogcím</t>
  </si>
  <si>
    <t>száma</t>
  </si>
  <si>
    <t>megnevezése</t>
  </si>
  <si>
    <t>mutató</t>
  </si>
  <si>
    <t>fajlagos Ft</t>
  </si>
  <si>
    <t>összeg         Ft</t>
  </si>
  <si>
    <t>mutató    (8 hó)</t>
  </si>
  <si>
    <t>mutató   (4 hó)</t>
  </si>
  <si>
    <t>xxx</t>
  </si>
  <si>
    <t>I. Működési bevételek</t>
  </si>
  <si>
    <t>Gyermekjóléti szolgáltatás</t>
  </si>
  <si>
    <t>Családsegítés</t>
  </si>
  <si>
    <t>Szociális étkeztetés</t>
  </si>
  <si>
    <t>Házi segítségnyújtás</t>
  </si>
  <si>
    <t>II. Felhalmozási bevételek</t>
  </si>
  <si>
    <t>I. Működési kiadások</t>
  </si>
  <si>
    <t>1. Személyi juttatások</t>
  </si>
  <si>
    <t>26</t>
  </si>
  <si>
    <t>Általános tartalék</t>
  </si>
  <si>
    <t>Általános tartalék képzése</t>
  </si>
  <si>
    <t>A települési önkormányzatok kulturális feladatainak támogatása</t>
  </si>
  <si>
    <t>Helyi Önkormányzat</t>
  </si>
  <si>
    <t xml:space="preserve">fajlagos Ft </t>
  </si>
  <si>
    <t>Önkormányzati hivatal működésének támogatása</t>
  </si>
  <si>
    <t>A zöldterület-gazdálkodással kapcsolatos feladatok ellátásának támogatása</t>
  </si>
  <si>
    <t>Közvilágítás fenntartásának támogatása</t>
  </si>
  <si>
    <t>Köztemető fenntartással kapcsolatos feladatok támogatása</t>
  </si>
  <si>
    <t>Közutak fenntartásának támogatása</t>
  </si>
  <si>
    <t>II.</t>
  </si>
  <si>
    <t>I.</t>
  </si>
  <si>
    <t>II.1</t>
  </si>
  <si>
    <t>Óvodapedagógusok és az óvodapedagógusok munkáját közvetlenül segítők bértámogatása</t>
  </si>
  <si>
    <t>Óvodapedagógusok bértámogatása</t>
  </si>
  <si>
    <t>II.1 (1)</t>
  </si>
  <si>
    <t>II.1 (2)</t>
  </si>
  <si>
    <t>II.2</t>
  </si>
  <si>
    <t>Óvodaműködtetési támogatás</t>
  </si>
  <si>
    <t>III.</t>
  </si>
  <si>
    <t>III.1</t>
  </si>
  <si>
    <t>III.2</t>
  </si>
  <si>
    <t>III.3</t>
  </si>
  <si>
    <t>Egyes szociális és gyermekjóléti feladatok támogatása</t>
  </si>
  <si>
    <t>Gyermekjóléti szolgálat</t>
  </si>
  <si>
    <t xml:space="preserve">Helyi önkormányzatok működésének általános támogatása </t>
  </si>
  <si>
    <t>IV.</t>
  </si>
  <si>
    <t>összeg Ft</t>
  </si>
  <si>
    <t>2. melléklet jogcímei mindösszesen:</t>
  </si>
  <si>
    <t>- Fizikai alkalmazottak                              (1 gk. vezető, 1 takarítónő)</t>
  </si>
  <si>
    <t>- Hentes</t>
  </si>
  <si>
    <t>KIADÁSOK</t>
  </si>
  <si>
    <t>Feladatellátás jogszabályi alapja</t>
  </si>
  <si>
    <t>Kötelező feladatok kiadása</t>
  </si>
  <si>
    <t>Önként vállalt feladatok kiadása</t>
  </si>
  <si>
    <t>Állami (államigazgatási) feladatok kiadása</t>
  </si>
  <si>
    <t>Jánoshalma Város Önkormányzata</t>
  </si>
  <si>
    <t>Mötv. 13.§(1) 19.</t>
  </si>
  <si>
    <t>Mötv. 13.§(1) 19. 2.</t>
  </si>
  <si>
    <t>Mötv. 13.§(1) 2.</t>
  </si>
  <si>
    <t>Gyvt. 151.§ (2), (2a)</t>
  </si>
  <si>
    <t>Mötv. 13.§(1) 9.</t>
  </si>
  <si>
    <t>Mötv. 13.§(1) 13.</t>
  </si>
  <si>
    <t>Mötv. 13.§(1) 11.</t>
  </si>
  <si>
    <t>23</t>
  </si>
  <si>
    <t xml:space="preserve">Mötv. 13.§(1) 4.,  Eü tv. 152.§ (1) a, </t>
  </si>
  <si>
    <t>24</t>
  </si>
  <si>
    <t xml:space="preserve">Mötv. 13.§(1) 4.,  Eü tv. 152.§ (1) c, </t>
  </si>
  <si>
    <t>25</t>
  </si>
  <si>
    <t xml:space="preserve">Mötv. 13.§(1) 4., Eü. tv. 152.§(1) b, </t>
  </si>
  <si>
    <t xml:space="preserve">Mötv. 13.§(1) 4., Eü. tv. 152.§(1) d, </t>
  </si>
  <si>
    <t>27</t>
  </si>
  <si>
    <t>Mötv. 13.§(1) 8., Gyvt.40.§ (1), Gyvt. 94.§(2a)</t>
  </si>
  <si>
    <t>31</t>
  </si>
  <si>
    <t>Szoc. tv. 86.§(1) d,</t>
  </si>
  <si>
    <t>Szoc. tv. 86.§(1) b,</t>
  </si>
  <si>
    <t>Szoc. tv. 86.§(1) c,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</si>
  <si>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</si>
  <si>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</si>
  <si>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</si>
  <si>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</si>
  <si>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</si>
  <si>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</si>
  <si>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</si>
  <si>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</si>
  <si>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</si>
  <si>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Mötv. 13.§(1) 12.</t>
  </si>
  <si>
    <t>Mötv. 13.§(1) 7., Közműv. tv. 64.§(1)</t>
  </si>
  <si>
    <t>Mötv. 13.§(1) 7., Közműv. tv. 73.§(2)</t>
  </si>
  <si>
    <t>Mötv. 13.§(1) 15.</t>
  </si>
  <si>
    <t>Önkormányzat összesen:</t>
  </si>
  <si>
    <t>Szoc.tv. 25.§ (3)aa, ab</t>
  </si>
  <si>
    <t>Szoc.tv. 25.§ (3)ac</t>
  </si>
  <si>
    <t>Óvodáztatási támogatás</t>
  </si>
  <si>
    <t>Hdt. 9.§</t>
  </si>
  <si>
    <t>Polgármesteri Hivatal összesen:</t>
  </si>
  <si>
    <t>Óvodai intézményi étkeztetés</t>
  </si>
  <si>
    <t>Óvodai nevelés, ellátás Jh.</t>
  </si>
  <si>
    <t>Mötv. 13.§(1) 6.</t>
  </si>
  <si>
    <t>Óvodai nevelés, ellátás Kéleshalom</t>
  </si>
  <si>
    <t>Önkormányzat mindösszesen:</t>
  </si>
  <si>
    <t>Mötv.</t>
  </si>
  <si>
    <t>2011. évi CLXXXIX. tv. Magyarország helyi önkormányzatairól</t>
  </si>
  <si>
    <t xml:space="preserve">Szoc. tv. </t>
  </si>
  <si>
    <t>1993. évi III. törvény a szociális igazgatásról és szociális ellátásokról</t>
  </si>
  <si>
    <t>Ttv.</t>
  </si>
  <si>
    <t xml:space="preserve">1996. évi XXXI. törvény a tűz elleni védekezésről, a műszaki mentésről és tűzoltóságról </t>
  </si>
  <si>
    <t xml:space="preserve">Gyvt. </t>
  </si>
  <si>
    <t>1997. évi XXXI. törvény a gyermekek védelméről és a gyámügyi igazgatásról</t>
  </si>
  <si>
    <t xml:space="preserve">Közműv. tv. </t>
  </si>
  <si>
    <t>1997. évi CXL. törvény a muzeális intézményekről, a nyilvános könyvtári ellátásról és a közművelődésről</t>
  </si>
  <si>
    <t>Eü tv.</t>
  </si>
  <si>
    <t>1997. évi CLIV. törvény az egészségügyről</t>
  </si>
  <si>
    <t xml:space="preserve">Hdt. </t>
  </si>
  <si>
    <t xml:space="preserve">Hadigondozásról szóló 1994. évi XLV. törvény </t>
  </si>
  <si>
    <t>Központi költségvetési támogatás</t>
  </si>
  <si>
    <t>Átvett pénzeszközök</t>
  </si>
  <si>
    <t>Saját bevételek</t>
  </si>
  <si>
    <t>Bevételek összesen</t>
  </si>
  <si>
    <t>Helyi önkormányzatok működésének ált. támogatása</t>
  </si>
  <si>
    <t>Vizi-, szennyvízközművek bérleti díj bev.</t>
  </si>
  <si>
    <t>Ügyeleti ellátáshoz önkormányzatoktól átvett pénzeszk.</t>
  </si>
  <si>
    <t>Állati hullák ártalmatlanítás költségeiből továbbszámlázott bev.</t>
  </si>
  <si>
    <t>Családsegítés, gyermekjóléti szolgálat támogatása</t>
  </si>
  <si>
    <t>Ügyeleti ellátáshoz OEP-finanszírozás</t>
  </si>
  <si>
    <t>Étkeztetési, szállítási tevék. bevétele</t>
  </si>
  <si>
    <t>Nyilvános könyvtári ellátás és a közművelődési feladatok támogatása</t>
  </si>
  <si>
    <t>Család- és nővédelmi eü. gondozáshoz OEP-finanszírozás</t>
  </si>
  <si>
    <t>Lakbér bevételek</t>
  </si>
  <si>
    <t>Helyi adók, átengedett központi adók, talajterhelési díj, közigazgatási bírság bevétele</t>
  </si>
  <si>
    <t>Építményüzemeltetésből származó bevétel</t>
  </si>
  <si>
    <t>Köztemetés kiadásának megtérítése</t>
  </si>
  <si>
    <t>Állami feladatok kiadása</t>
  </si>
  <si>
    <t>Tűzoltóság BM támogatása</t>
  </si>
  <si>
    <t>Aktív korúak ellátásának állami támogatása</t>
  </si>
  <si>
    <t>Hirdetmények utáni igazg. szolg. díj</t>
  </si>
  <si>
    <t>Építéshatósági eljárási díj</t>
  </si>
  <si>
    <t>Lakásfenntartási támogatás állami támogatása</t>
  </si>
  <si>
    <t>Anyakönyvi szolg. díjbevétele</t>
  </si>
  <si>
    <t>Továbbszámlázott szolg. bevételei</t>
  </si>
  <si>
    <t>Óvodáztatási támogatás állami támogatása</t>
  </si>
  <si>
    <t>Kamatbevételek</t>
  </si>
  <si>
    <t>Hadigondozotti ellátás állami támogatása</t>
  </si>
  <si>
    <t>Étkeztetéssel kapcsolatos térítési díj bevétel</t>
  </si>
  <si>
    <t>Bérleti díj bevétel</t>
  </si>
  <si>
    <t>KÖZFOGLALKOZTATOTTAK LÉTSZÁMA ÖSSZESEN:</t>
  </si>
  <si>
    <t xml:space="preserve">A helyi önkormányzat és költségvetési szervei engedélyezett létszáma és a közfoglalkoztatottak létszáma </t>
  </si>
  <si>
    <t>B. Költségvetési bevételek (I.+...+IV.)</t>
  </si>
  <si>
    <t>A. Költségvetési kiadások (I.+...+IV.)</t>
  </si>
  <si>
    <t>B. Költségvetési bevételek és A. költségvetési kiadások összesítésének egyenlege (hiány/többlet):</t>
  </si>
  <si>
    <t>Gyermeklánc Óvoda és Egységes Óvoda-Bölcsőde</t>
  </si>
  <si>
    <t>Gyermeklánc Óvoda és Egységes Óvoda-Bölcsőde összesen:</t>
  </si>
  <si>
    <t>Jánoshalma Városi Önkormányzat 2015. évi költségvetésében tervezett központi költségvetési támogatások</t>
  </si>
  <si>
    <t>A 2014. évről áthúzódó bérkompenzáció támogatása</t>
  </si>
  <si>
    <t>I.1.a</t>
  </si>
  <si>
    <t>I.1.b</t>
  </si>
  <si>
    <t>I.1.ba</t>
  </si>
  <si>
    <t>I.1.bb</t>
  </si>
  <si>
    <t>I.1.bc</t>
  </si>
  <si>
    <t>I.1.bd</t>
  </si>
  <si>
    <t>I.1.c</t>
  </si>
  <si>
    <t>I.1.d</t>
  </si>
  <si>
    <t>I.6.</t>
  </si>
  <si>
    <t>Óvodapedagógusok pótlólagos bér támogatása a 2015/2016. nevelési évre</t>
  </si>
  <si>
    <t>II.4</t>
  </si>
  <si>
    <t>A köznevelési intézmények működtetéséhez kapcsolódó támogatás</t>
  </si>
  <si>
    <t>II.5</t>
  </si>
  <si>
    <t>Kiegészítő támogatás az óvodapedagógusok minősítéséből adódó többletkiadásokhoz</t>
  </si>
  <si>
    <t xml:space="preserve">II.5 (1) </t>
  </si>
  <si>
    <t>Pedagógus II. kategória</t>
  </si>
  <si>
    <t xml:space="preserve">II.5 (2) </t>
  </si>
  <si>
    <t>Mesterpedagógus kategória</t>
  </si>
  <si>
    <t>Pénzbeli szociális ellátások kiegészítése</t>
  </si>
  <si>
    <t>A települési önkorm.-k szociális feladatainak egyéb támogatása</t>
  </si>
  <si>
    <t xml:space="preserve">A finanszírozás szempontjából elismert dolgozók bértámogatása                </t>
  </si>
  <si>
    <t xml:space="preserve">III.5.a </t>
  </si>
  <si>
    <t>IV.1.d</t>
  </si>
  <si>
    <t>a Magyarország 2015. évi központi költségvetéséről szóló 2014. évi C. törvény 2. sz. mellékletének jogcímei szerint</t>
  </si>
  <si>
    <t>IV.1</t>
  </si>
  <si>
    <t>Könyvtári, közművelődési és múzeumi feladatok támogatása</t>
  </si>
  <si>
    <t>önk-i többségi tulajdonú nem pénzügyi vállalkozások</t>
  </si>
  <si>
    <t>állami többségi tulajdonú nem pénzügyi vállalkozások</t>
  </si>
  <si>
    <t>Jánoshalma Város Önkormányzat 2015. évi költségvetésének kiadási előirányzatai</t>
  </si>
  <si>
    <t>Jánoshalma Város Önkormányzat 2015. évi költségvetésének bevételi előirányzatai</t>
  </si>
  <si>
    <t>Jánoshalma Város Önkormányzat 2015. évi költségvetése működési és felhalmozási célú bontásban</t>
  </si>
  <si>
    <t>Jánoshalma Város Önkormányzatának és költségvetési szerveinek 2015. évi költségvetési kiadásai kötelező-, önként vállalt-, és állami (államigazgatási) feladatok szerinti bontásban</t>
  </si>
  <si>
    <t>Egységes Óvoda-Bölcsődei csoport</t>
  </si>
  <si>
    <t xml:space="preserve">Tárgyi eszköz beszerzések Diákélelmezési Konyha részére </t>
  </si>
  <si>
    <t xml:space="preserve">Céltartalék - viziközművek 2015. évi bérleti díj bevételéből (szerződés szerint viziközművek fejlesztésére fordítandó a szolgáltatóval történő egyeztetés alapján) </t>
  </si>
  <si>
    <t>2015. évi felhalmozási kiadások feladatonként, felújítási kiadások célonként</t>
  </si>
  <si>
    <t>Védőnők 2015. évi OEP-finanszírozásának maradványa</t>
  </si>
  <si>
    <t>Környezetvédelmi alap képzése a 2015. évre tervezett talajterhelési díj bevételből</t>
  </si>
  <si>
    <t>2015. költségvetésben tervezett, EU-forrásból finanszírozott  támogatással megvalósuló projektek kiadásai, a helyi önkormányzat ilyen projektekhez történő hozzájárulásai</t>
  </si>
  <si>
    <t xml:space="preserve">2015. évi költségvetésben tervezett bevételi előirányzatok (eFt)    </t>
  </si>
  <si>
    <t xml:space="preserve">2015. évi költségvetésben tervezett kiadási előirányzatok (eFt)    </t>
  </si>
  <si>
    <t>K1103</t>
  </si>
  <si>
    <t xml:space="preserve"> Céljuttatás, projektprémium</t>
  </si>
  <si>
    <t>közgyógyellátás</t>
  </si>
  <si>
    <t>Műk. c. visszatérítendő támogatások, kölcsönök nyújtása államháztartáson kívülre g, egyéb vállalkoz</t>
  </si>
  <si>
    <t>3.4. Tulajdonosi bevételek</t>
  </si>
  <si>
    <t>041231</t>
  </si>
  <si>
    <t>041232</t>
  </si>
  <si>
    <t>041233</t>
  </si>
  <si>
    <t>082030</t>
  </si>
  <si>
    <t>082042</t>
  </si>
  <si>
    <t>Konyha</t>
  </si>
  <si>
    <t>Más szerv részére végzett pü-i, gazd-i, üzemeltetési, egyéb szolg. - Építményüzemeltetés</t>
  </si>
  <si>
    <t>Rövid időtartamú közfoglalkoztatás</t>
  </si>
  <si>
    <t>Hosszabb időtartamú közfoglalkoztatás</t>
  </si>
  <si>
    <t>Közutak, hidak, alagutak üzemeltetése, fenntartása</t>
  </si>
  <si>
    <t>045170</t>
  </si>
  <si>
    <t>Parkoló, garázs üzemeltetése, fenntartása</t>
  </si>
  <si>
    <t>013320</t>
  </si>
  <si>
    <t>Város-, községgazdálkodási egyéb szolgáltatások</t>
  </si>
  <si>
    <t>Üdülői szálláshely-szolgáltatás és étkeztetés</t>
  </si>
  <si>
    <t>Könyvtári állomány gyarapítása, nyilvántartása</t>
  </si>
  <si>
    <t>Óvodai nevelés, ellátás működtetési feladatai</t>
  </si>
  <si>
    <t>Időskorúak, demens betegek tartós bentlakásos ellátása</t>
  </si>
  <si>
    <t>Egyéb szociális pénzbeli ellátások, támogatások</t>
  </si>
  <si>
    <t>Védőnők 2015.évi OEP tart.</t>
  </si>
  <si>
    <t>Eü Közp. kölcs. vfiz. -fejl. tartalék</t>
  </si>
  <si>
    <t>Köztemető-fenntartás és működtetés</t>
  </si>
  <si>
    <t>Művészeti tevékenységek - IPA Határon Átnyúló Projekt</t>
  </si>
  <si>
    <t xml:space="preserve">Egyéb szoc. természetbeni és pénzbeni ell. tám. </t>
  </si>
  <si>
    <t>44</t>
  </si>
  <si>
    <t>Nyitnikék Gyerekház</t>
  </si>
  <si>
    <t>Kieg. tám. óvodapedagógusok minősítéséből adódó többletkiadásokhoz</t>
  </si>
  <si>
    <t>Szociális feladatok egyéb támogatása</t>
  </si>
  <si>
    <t>Gyermekétk. - fin. szempontjából elismert dolgozók bértámogatása (ált. isk, gimn.)</t>
  </si>
  <si>
    <t>Kölcsön visszatérülés- Ivóvízmin. jav. Társulás</t>
  </si>
  <si>
    <t>Kölcsön visszatérülés- Viziközmű Társulat</t>
  </si>
  <si>
    <t>Kölcsön visszatérülés- Eü-i Központ</t>
  </si>
  <si>
    <t>Nyitnikék Gyerekház fejezeti támogatása</t>
  </si>
  <si>
    <t>Rövid időtartamú közfoglalkoztatás támogatása</t>
  </si>
  <si>
    <t>Munkaügyi Kp. tám. -2014. évről áthúzódó START-munkaprogramok</t>
  </si>
  <si>
    <t>Munkaügyi Kp. tám. -hosszabb időtartamú közfoglalkoztatás</t>
  </si>
  <si>
    <t xml:space="preserve">IPA Határon Átnyúló Projekt EU tám. felh. </t>
  </si>
  <si>
    <t>Ingatlan értékesítés áfa-ja</t>
  </si>
  <si>
    <t>Terményértékesítés (búza, kukorica stb.)</t>
  </si>
  <si>
    <t>Arany J. u. 13. sz. alatti ingatlanrész felújítása - bérleti díj beszámítást meghaladó kiadás</t>
  </si>
  <si>
    <t>Dózsa Gy. utcai parkoló kialakítása</t>
  </si>
  <si>
    <t>Tárgyi eszköz beszerzések (oxigénpalack) - Háziorvosi ügyeleti ellátás részére</t>
  </si>
  <si>
    <t>Közművelődési érdekeltségnövelő támogatás - pályázati önerő átadása</t>
  </si>
  <si>
    <t>Gyermeklánc Óvoda és Egységes Óvoda- Bölcsőde</t>
  </si>
  <si>
    <t>Gyermeklánc Óvoda és Egységes Óvoda- Bölcsőde összesen:</t>
  </si>
  <si>
    <t>Tárgyi eszköz beszerzések (bojler, keringető szivattyú , mozgásérzékelő lámpák )</t>
  </si>
  <si>
    <t>Gyerekház vezető</t>
  </si>
  <si>
    <t>pedagógus</t>
  </si>
  <si>
    <t>takarító</t>
  </si>
  <si>
    <t>Rehabilitációs közfoglalkoztatás</t>
  </si>
  <si>
    <t>településkarbantartó</t>
  </si>
  <si>
    <t>segédmunkás</t>
  </si>
  <si>
    <t>álláskereső közfoglalkoztatás</t>
  </si>
  <si>
    <t>Bér + járulék kiadások (elszámolható)</t>
  </si>
  <si>
    <t>Fizetendő ÁFA</t>
  </si>
  <si>
    <t>5.2. Műk. c. v.térítendő támogatások, kölcs. nyújt. állh-on kívül</t>
  </si>
  <si>
    <t>Telep. önk-ok szoc. és gyermekjóléti és gyermekétk. feladatainak tám.</t>
  </si>
  <si>
    <t>Műk. célú költségvetési tám. és kiegészítő tám.</t>
  </si>
  <si>
    <t>Elszámolásból származó bevételek</t>
  </si>
  <si>
    <t>Készletértékesítés ellenértéke</t>
  </si>
  <si>
    <t>önk-i vagyon üzemeltetéséből, koncesszióból származó bevétel</t>
  </si>
  <si>
    <t>önk-i többségi tulaljdonú vállalkozástól kapott osztalék</t>
  </si>
  <si>
    <t>áll-i többségi tulajdonú vállalkozástól kapott osztalék</t>
  </si>
  <si>
    <t>egyéb részesedések után kapott osztalék</t>
  </si>
  <si>
    <t xml:space="preserve">Kamatbevételek </t>
  </si>
  <si>
    <t>befektetési jegyek kamatbevételi</t>
  </si>
  <si>
    <t>fedezeti ügyletek kamatbevételei</t>
  </si>
  <si>
    <t>Biztosító által fizetett kártérítés</t>
  </si>
  <si>
    <t>B411</t>
  </si>
  <si>
    <t>Egyéb működési bevételek (pl. közbesz. ajánlati biztosíték, pályázati díjak, kötbér, késedelmi kamat, kerekítési különbözet stb.)</t>
  </si>
  <si>
    <t>B64</t>
  </si>
  <si>
    <t>Műk. c. visszatérítendő támogatások, kölcsönök vtérülése EU-tól</t>
  </si>
  <si>
    <t>Műk. c. visszatérítendő támogatások, kölcsönök vtérülése kormányoktól és más nemzetközi szervezetektől</t>
  </si>
  <si>
    <t>B65</t>
  </si>
  <si>
    <t>Felh. c. visszatérítendő támogatások, kölcsönök vtérülése EU-tól</t>
  </si>
  <si>
    <t>Felh. c. visszatérítendő támogatások, kölcsönök vtérülése kormányoktól és más nemzetközi szervezetektől</t>
  </si>
  <si>
    <t>B74</t>
  </si>
  <si>
    <t>B75</t>
  </si>
  <si>
    <t>Hosszú lejáratú hitelek, kölcsönök felvétele pü-i vállalkozástól</t>
  </si>
  <si>
    <t>Rövid lejáratú hitelek, kölcsönök felvétele pü-i vállalkozástól</t>
  </si>
  <si>
    <t>B8121</t>
  </si>
  <si>
    <t>Forgatási c. belföldi értékpapírok beváltása, értékesítése</t>
  </si>
  <si>
    <t>B8122</t>
  </si>
  <si>
    <t>Éven belüli lejáratú belföldi értékpapírok kibocsátása</t>
  </si>
  <si>
    <t>B8123</t>
  </si>
  <si>
    <t>Befektetési célú belföldi értékpapírok beváltása, értékesítése</t>
  </si>
  <si>
    <t>B8124</t>
  </si>
  <si>
    <t>Éven túli lejáratú belföldi értékpapírok kibocsátása</t>
  </si>
  <si>
    <t>Lekötött bankbetétek megszüntetése</t>
  </si>
  <si>
    <t>B819</t>
  </si>
  <si>
    <t>Tulajdonosi kölcsönök bevételei</t>
  </si>
  <si>
    <t>B8191</t>
  </si>
  <si>
    <t>Hosszú lejáratú tulajdonosi kölcsönök bevételei</t>
  </si>
  <si>
    <t>B8192</t>
  </si>
  <si>
    <t>Rövid lejáratú tulajdonosi kölcsönök bevételei</t>
  </si>
  <si>
    <t>B84</t>
  </si>
  <si>
    <t>Váltóbevételek</t>
  </si>
  <si>
    <t>utak használata ellenében beszedett használati díj, pótd. elektr.útd.</t>
  </si>
  <si>
    <t>szerződés megerősítésével, a szerződésszegéssel kapcsolatos véglegesen járó bevételek, a szerződésen kívüli károkozásért, személyiségi, dologi vagy más jog megsértéséért, jogalap nélküli gazdagodásért kapott összegek</t>
  </si>
  <si>
    <t>nonprofit gazdasági társaságok</t>
  </si>
  <si>
    <t>külföldi szervezetek, személyek</t>
  </si>
  <si>
    <t xml:space="preserve">k, </t>
  </si>
  <si>
    <t>Egyéb műk. c. támogatások EU-nak</t>
  </si>
  <si>
    <t>K513</t>
  </si>
  <si>
    <t>K89</t>
  </si>
  <si>
    <t>Egyéb felhalmozási c. támogatások EU-nak</t>
  </si>
  <si>
    <t xml:space="preserve">Start-munka program - Téli közfoglalkoztatás - 2014. évről áthúzódó </t>
  </si>
  <si>
    <t>3.1. Készletértékesítés ellenértéke</t>
  </si>
  <si>
    <t>Kölcsön visszatérülés- Közfoglalkoztatás Non-profit Kft</t>
  </si>
  <si>
    <t>Munkaügyi Kp. felh. c. tám. -2015. évben induló START-munkaprogramok</t>
  </si>
  <si>
    <t xml:space="preserve">Téli és egyéb értékteremtő közfoglalkoztatás </t>
  </si>
  <si>
    <t>START- munkaprogram - Téli közfoglalkoztatás - 2014. évről áthúzódó</t>
  </si>
  <si>
    <t xml:space="preserve">Főtérre 3 db új kamera beállítása, a rendszer sávszélesség növelése </t>
  </si>
  <si>
    <t>Ingatlan vásárlás</t>
  </si>
  <si>
    <t>Létszám-leépít. kapcs. fiz. köt. tart.</t>
  </si>
  <si>
    <t>2012. évi fejl. c. viziközmű elszámolásból Városgazda Kft-től</t>
  </si>
  <si>
    <t>47/2015.(II.26.) Kt. hat. Százszorszépföld Egyesülethez való csatlakozás - tagdíj</t>
  </si>
  <si>
    <t>Ellátottak juttatásai - kiegészítő támogatások (FHT, RSZS) rendezése</t>
  </si>
  <si>
    <t xml:space="preserve">Topolyai Kodály Z. MMK Cirkalom Néptáncegyüttesének utiköltsége (márc. 15-i rendezvény) </t>
  </si>
  <si>
    <t>2015-ben induló START - munkaprogram önerő visszavezetés</t>
  </si>
  <si>
    <t>Vízi- és szennyvízközművel kapcsolatos 2012. évi fejlesztési c. pénzeszköz elszámolásából Városgazda Kft. által visszautalt összeg</t>
  </si>
  <si>
    <t>Maradványból képzett tartalék</t>
  </si>
  <si>
    <t>Jánoshalma Városi Önkormányzat  2015. évi költségvetési kiadásai feladatonként</t>
  </si>
  <si>
    <t>Helyi önk. Előző évi elsz-ból sz. kiad.</t>
  </si>
  <si>
    <t>Maradványból képzett tart.</t>
  </si>
  <si>
    <t>Központi költségvetési befizetések</t>
  </si>
  <si>
    <t>Víztermelés, -kezelés, -ellátás</t>
  </si>
  <si>
    <t>Vállalkozási tevékenység - Növénytermesztés és kapcs. szolg.</t>
  </si>
  <si>
    <t>1.4. Elvonások és befizetések bevételei</t>
  </si>
  <si>
    <t>5.4. Helyi önk-k előző évi elszámolásából származó kiadások</t>
  </si>
  <si>
    <t>5.5. Egyéb elvonások, befizetések</t>
  </si>
  <si>
    <t>5.5. Tartalékok</t>
  </si>
  <si>
    <t>IV. Előző évek költségvetési maradványának (és váll. mar.) igénybevétele</t>
  </si>
  <si>
    <t>D. Finanszírozási bevételek</t>
  </si>
  <si>
    <t>V. Belföldi értékpapírok kiadásai</t>
  </si>
  <si>
    <t>VI. Hitel-, kölcsöntörlesztés államháztartáson kívülre</t>
  </si>
  <si>
    <t xml:space="preserve">VII. Államháztartáson belüli megelőlegezések </t>
  </si>
  <si>
    <t>VII. Államháztartáson belüli megelőlegezések visszafizetése</t>
  </si>
  <si>
    <t>Áht. 2011. évi CXCV. tv. 53.§</t>
  </si>
  <si>
    <t>Mötv. 13.§(1) 11. 21.</t>
  </si>
  <si>
    <t>45</t>
  </si>
  <si>
    <t>Vállalkozási tev. - Növénytermesztés és kapcs. szolg.</t>
  </si>
  <si>
    <t>46</t>
  </si>
  <si>
    <t>Jánoshalma Város Önkormányzatának  és költségvetési szerveinek 2015. évi  bevételei és  kiadásai kötelező-, önként vállalt-, és állami (államigazgatási) feladatok szerinti bontásban</t>
  </si>
  <si>
    <t>Nyári gyermekétkeztetés támogatása</t>
  </si>
  <si>
    <t>2014. december havi bérkompenzáció</t>
  </si>
  <si>
    <t>2015. évi bérkompenzáció</t>
  </si>
  <si>
    <t>2015. évi könyvtári érdekeltségnövelő támogatás</t>
  </si>
  <si>
    <t>Villamos energia díj visszatérítés</t>
  </si>
  <si>
    <t xml:space="preserve"> ÁFA visszatérülés</t>
  </si>
  <si>
    <t>2014. évi szabad maradvány elvonása</t>
  </si>
  <si>
    <t>Műk. c. m. igénybevétel</t>
  </si>
  <si>
    <t>Áfa visszatérítés</t>
  </si>
  <si>
    <r>
      <rPr>
        <vertAlign val="superscript"/>
        <sz val="9"/>
        <color indexed="12"/>
        <rFont val="Arial"/>
        <family val="2"/>
      </rPr>
      <t>23</t>
    </r>
    <r>
      <rPr>
        <sz val="9"/>
        <color indexed="12"/>
        <rFont val="Arial"/>
        <family val="2"/>
      </rPr>
      <t xml:space="preserve"> Módosította, a 10/2015. (VII.07.) önkormányzati rendelet 4.§, Hatályos: 2015. július 8.</t>
    </r>
  </si>
  <si>
    <t>Sportcsarnok napkollektoros rendszeréhez hőmennyiségmérő beszerzése</t>
  </si>
  <si>
    <t>Polgármesteri Hivatal elhelyezésének tervezési munkái</t>
  </si>
  <si>
    <t>Pénzügyi osztály Kölcsey u. 12. sz. alatti elhelyezésének kialakítása</t>
  </si>
  <si>
    <t>Víziközmű fejlesztés - Batthyány u. 15. sz. előtti tűzcsap korszerűsítés</t>
  </si>
  <si>
    <t>Ivókutak beszerelése, kiépítése, szúnyoghálós ajtó, gázbojler csere</t>
  </si>
  <si>
    <t>Kémények felújítása - Petőfi utcai óvoda</t>
  </si>
  <si>
    <t>73/2015. (IV.29) Kt. hat. Suzuki Vitara Allgrip Pr. 1,6 típusú terepjáró beszerz. - pály. önrész</t>
  </si>
  <si>
    <t>Védőnők 2014. évi OEP-finanszírozás maradványa</t>
  </si>
  <si>
    <t>Védőnők  OEP-finanszírozásának maradványa előző évekről</t>
  </si>
  <si>
    <t>Védőnők irodahelyiségének, tanácsadó helyiségének áramfogyasztása</t>
  </si>
  <si>
    <t>Környezetvédelmi alap (Előző évek maradványa)</t>
  </si>
  <si>
    <t>61/2015. (III.26) Kt. hat. Bács-Szakma Zrt. Önkormányzati tulajdonrész értékesítése</t>
  </si>
  <si>
    <t>100/2015. (V.28) Kt. hat. Belterületi utak, járdák felújítása - pályázati önerő</t>
  </si>
  <si>
    <t>101/2015. (V.28) Kt. hat Sportcsarnok küzdőtér parketta felújítás - pályázati önerő</t>
  </si>
  <si>
    <t>104/2015. (V.28) Kt. hat. Jánoshalmi Napok költségkeret</t>
  </si>
  <si>
    <t>Önkormányzati intézmények elvont 2014. évi szabad költségvetési maradványának tartalékba helyezése</t>
  </si>
  <si>
    <t>85/2015. (IV.29) Kt. hat. Gyermekétkeztetés feltételeit javító fejlesztések pályázati önerő</t>
  </si>
  <si>
    <t>103/2015. (V.28) Kt. hat. Polgármesteri Hivatal elhelyezése</t>
  </si>
  <si>
    <t>2014. évi állami támogatások elszámolása alapján visszafizetendő különbözet</t>
  </si>
  <si>
    <t>2013. évi állami támogatások elszámolásának felülvizsgálatakor megállapított visszafizetési kötelezettség</t>
  </si>
  <si>
    <t xml:space="preserve">Maradványt terhelő kötelezettségek </t>
  </si>
  <si>
    <t>Imre Z. Műv. Közp. - napelemes fejlesztés tervezés, kivitelezés</t>
  </si>
  <si>
    <t>Céltartalék - viziközművek  bérleti díj bevétel maradványa előző évekről</t>
  </si>
  <si>
    <t>Saját erő -  elszámolható</t>
  </si>
  <si>
    <t>Saját erő  - nem elszámolható</t>
  </si>
  <si>
    <t xml:space="preserve">Saját erő </t>
  </si>
  <si>
    <t>2015. évi bérkompenzáció (becsült összeg)</t>
  </si>
  <si>
    <t>IV.1.i</t>
  </si>
  <si>
    <t>A települési önkormányzatok könyvtári célú érdekeltségnövelő támogatása</t>
  </si>
  <si>
    <t>Helyi önkormányzatok működési célú költségvetési támogatásai</t>
  </si>
  <si>
    <t>I.3.</t>
  </si>
  <si>
    <t>Gyermekszegénység elleni program keretében nyári étkeztetés biztosítása</t>
  </si>
  <si>
    <t>Helyi önkormányzatok felhalmozási célú költségvetési támogatásai</t>
  </si>
  <si>
    <t xml:space="preserve">II.4. </t>
  </si>
  <si>
    <t>Önkormányzati feladatellátást szolgáló fejlesztések</t>
  </si>
  <si>
    <t xml:space="preserve">II.4.ad) </t>
  </si>
  <si>
    <t>Óvodai, iskolai és utánpótlás sport infrastruktúra-fejlesztés, felújítás</t>
  </si>
  <si>
    <t>3. melléklet jogcímei mindösszesen:</t>
  </si>
  <si>
    <r>
      <t>2. melléklet a 2/2015.(II.16.) önkormányzati rendelethez</t>
    </r>
    <r>
      <rPr>
        <sz val="10"/>
        <color indexed="12"/>
        <rFont val="Arial CE"/>
        <family val="0"/>
      </rPr>
      <t xml:space="preserve"> </t>
    </r>
    <r>
      <rPr>
        <vertAlign val="superscript"/>
        <sz val="10"/>
        <color indexed="12"/>
        <rFont val="Arial CE"/>
        <family val="0"/>
      </rPr>
      <t>13, 14, 15</t>
    </r>
  </si>
  <si>
    <r>
      <t xml:space="preserve">15 </t>
    </r>
    <r>
      <rPr>
        <sz val="10"/>
        <color indexed="12"/>
        <rFont val="Calibri"/>
        <family val="2"/>
      </rPr>
      <t>Módosította, a 12/2015(IX.21.) önkormányzati rendelet 4.§, Hatályos: 2015. szeptember 22.</t>
    </r>
  </si>
  <si>
    <t>K353</t>
  </si>
  <si>
    <t>Kamatkiadások</t>
  </si>
  <si>
    <t xml:space="preserve">kiegészítő gyermekvédelmi támogatás és a kieg. gyermekvédelmi tám. pótléka </t>
  </si>
  <si>
    <t xml:space="preserve">foglalkoztatást helyettesítő támogatás </t>
  </si>
  <si>
    <t xml:space="preserve">lakásfenntartási támogatás </t>
  </si>
  <si>
    <t xml:space="preserve">rendszeres szociális segély </t>
  </si>
  <si>
    <t>települési támogatás</t>
  </si>
  <si>
    <t>köztemetés</t>
  </si>
  <si>
    <t>Céltartalék - Környezetvédelmi Alap</t>
  </si>
  <si>
    <t>Céltartalék - Védőnők OEP finansz. maradványából</t>
  </si>
  <si>
    <t>Céltartalék - Létszámleép. kapcs. fiz. kötelezettségekre</t>
  </si>
  <si>
    <t>Fejlesztési c. tartalék - Eü-i Közp. tagi kölcsön visszafiz.</t>
  </si>
  <si>
    <r>
      <t xml:space="preserve">12 </t>
    </r>
    <r>
      <rPr>
        <sz val="10"/>
        <color indexed="12"/>
        <rFont val="Calibri"/>
        <family val="2"/>
      </rPr>
      <t>Módosította, a 12/2015(IX.21.) önkormányzati rendelet 4.§, Hatályos: 2015. szeptember 22.</t>
    </r>
  </si>
  <si>
    <r>
      <t xml:space="preserve">1. melléklet a 2/2015.(II.16.) önkormányzati rendelethez </t>
    </r>
    <r>
      <rPr>
        <vertAlign val="superscript"/>
        <sz val="10"/>
        <color indexed="30"/>
        <rFont val="Times New Roman CE"/>
        <family val="0"/>
      </rPr>
      <t>10</t>
    </r>
    <r>
      <rPr>
        <vertAlign val="superscript"/>
        <sz val="10"/>
        <color indexed="12"/>
        <rFont val="Times New Roman CE"/>
        <family val="0"/>
      </rPr>
      <t>,11, 12</t>
    </r>
    <r>
      <rPr>
        <sz val="10"/>
        <color indexed="12"/>
        <rFont val="Times New Roman CE"/>
        <family val="0"/>
      </rPr>
      <t xml:space="preserve"> </t>
    </r>
  </si>
  <si>
    <r>
      <t xml:space="preserve">18 </t>
    </r>
    <r>
      <rPr>
        <sz val="10"/>
        <color indexed="12"/>
        <rFont val="Calibri"/>
        <family val="2"/>
      </rPr>
      <t>Módosította, a 12/2015(IX.21.) önkormányzati rendelet 4.§, Hatályos: 2015. szeptember 22.</t>
    </r>
  </si>
  <si>
    <r>
      <t xml:space="preserve">3. melléklet a 2/2015.(II.16.) önkormányzati rendelethez </t>
    </r>
    <r>
      <rPr>
        <vertAlign val="superscript"/>
        <sz val="11"/>
        <color indexed="12"/>
        <rFont val="Times New Roman CE"/>
        <family val="0"/>
      </rPr>
      <t>16, 17, 18</t>
    </r>
  </si>
  <si>
    <t>5.6. Műk. c. v.térítendő támogatások, kölcs. nyújt. állh-on belülre</t>
  </si>
  <si>
    <t>3.9. Biztosító által fizetett kártérítés</t>
  </si>
  <si>
    <t>28/</t>
  </si>
  <si>
    <t>Műk. célú kölcsön nyújtás ÁH-on kív.</t>
  </si>
  <si>
    <t>Műk. célú kölcsön nyújtás ÁH-on bel.</t>
  </si>
  <si>
    <t>ÁROP-1.A.5-2013-2013-0111 projekt</t>
  </si>
  <si>
    <t>Nyári diákmunka program</t>
  </si>
  <si>
    <t>Köztemető - fenntartás és  -működtetés</t>
  </si>
  <si>
    <t>Önkormányzati vagyonnal való gazdálkodással kapcs. feladatok</t>
  </si>
  <si>
    <t>018020</t>
  </si>
  <si>
    <t>063020</t>
  </si>
  <si>
    <t>Zöldterület - kezelés</t>
  </si>
  <si>
    <t>23. Eü. ellátás</t>
  </si>
  <si>
    <t>Művészeti tevékenységek - IPA Határon Átnyúló Projekt FAB (Magyarország - Szerbia)</t>
  </si>
  <si>
    <t>Közművelődés - hagyományos közösségi kulturális értékek gondozása</t>
  </si>
  <si>
    <t>32. Pelikán Kft. feladatell. tám.</t>
  </si>
  <si>
    <t>900090</t>
  </si>
  <si>
    <r>
      <t>4. melléklet a 2/2015.(II.16.) önkormányzati rendelethez</t>
    </r>
    <r>
      <rPr>
        <vertAlign val="superscript"/>
        <sz val="11"/>
        <color indexed="12"/>
        <rFont val="Times New Roman CE"/>
        <family val="0"/>
      </rPr>
      <t>19, 20,21</t>
    </r>
  </si>
  <si>
    <r>
      <t xml:space="preserve">21 </t>
    </r>
    <r>
      <rPr>
        <sz val="10"/>
        <color indexed="12"/>
        <rFont val="Calibri"/>
        <family val="2"/>
      </rPr>
      <t>Módosította, a 12/2015(IX.21.) önkormányzati rendelet 4.§, Hatályos: 2015. szeptember 22.</t>
    </r>
  </si>
  <si>
    <r>
      <t xml:space="preserve">19  </t>
    </r>
    <r>
      <rPr>
        <sz val="10"/>
        <color indexed="12"/>
        <rFont val="Calibri"/>
        <family val="2"/>
      </rPr>
      <t xml:space="preserve">9/2015(V.05.) önkormányzati rendelet 4. §, Hatályos 2015. május 6. </t>
    </r>
  </si>
  <si>
    <r>
      <rPr>
        <vertAlign val="superscript"/>
        <sz val="10"/>
        <color indexed="12"/>
        <rFont val="Calibri"/>
        <family val="2"/>
      </rPr>
      <t>20</t>
    </r>
    <r>
      <rPr>
        <sz val="10"/>
        <color indexed="12"/>
        <rFont val="Calibri"/>
        <family val="2"/>
      </rPr>
      <t xml:space="preserve"> Módosította, a 10/2015. (VII.07.) önkormányzati rendelet 4.§, Hatályos: 2015. július 8.</t>
    </r>
  </si>
  <si>
    <r>
      <t>16</t>
    </r>
    <r>
      <rPr>
        <sz val="10"/>
        <color indexed="12"/>
        <rFont val="Calibri"/>
        <family val="2"/>
      </rPr>
      <t xml:space="preserve"> 9/2015(V.05.) önkormányzati rendelet 4. §, Hatályos 2015. május 6. </t>
    </r>
  </si>
  <si>
    <r>
      <rPr>
        <vertAlign val="superscript"/>
        <sz val="10"/>
        <color indexed="12"/>
        <rFont val="Calibri"/>
        <family val="2"/>
      </rPr>
      <t>17</t>
    </r>
    <r>
      <rPr>
        <sz val="10"/>
        <color indexed="12"/>
        <rFont val="Calibri"/>
        <family val="2"/>
      </rPr>
      <t xml:space="preserve"> Módosította, a 10/2015. (VII.07.) önkormányzati rendelet 4.§, Hatályos: 2015. július 8.</t>
    </r>
  </si>
  <si>
    <r>
      <t>13</t>
    </r>
    <r>
      <rPr>
        <sz val="10"/>
        <color indexed="12"/>
        <rFont val="Calibri"/>
        <family val="2"/>
      </rPr>
      <t xml:space="preserve"> 9/2015(V.05.) önkormányzati rendelet 4. §, Hatályos 2015. május 6. </t>
    </r>
  </si>
  <si>
    <r>
      <rPr>
        <vertAlign val="superscript"/>
        <sz val="10"/>
        <color indexed="12"/>
        <rFont val="Calibri"/>
        <family val="2"/>
      </rPr>
      <t>14</t>
    </r>
    <r>
      <rPr>
        <sz val="10"/>
        <color indexed="12"/>
        <rFont val="Calibri"/>
        <family val="2"/>
      </rPr>
      <t xml:space="preserve"> Módosította, a 10/2015. (VII.07.) önkormányzati rendelet 4.§, Hatályos: 2015. július 8.</t>
    </r>
  </si>
  <si>
    <r>
      <rPr>
        <vertAlign val="superscript"/>
        <sz val="10"/>
        <color indexed="12"/>
        <rFont val="Calibri"/>
        <family val="2"/>
      </rPr>
      <t>10</t>
    </r>
    <r>
      <rPr>
        <sz val="10"/>
        <color indexed="12"/>
        <rFont val="Calibri"/>
        <family val="2"/>
      </rPr>
      <t xml:space="preserve"> 9/2015(V.05.) önkormányzati rendelet 4. §, Hatályos 2015. május 6. </t>
    </r>
  </si>
  <si>
    <r>
      <rPr>
        <vertAlign val="superscript"/>
        <sz val="10"/>
        <color indexed="12"/>
        <rFont val="Calibri"/>
        <family val="2"/>
      </rPr>
      <t>11</t>
    </r>
    <r>
      <rPr>
        <sz val="10"/>
        <color indexed="12"/>
        <rFont val="Calibri"/>
        <family val="2"/>
      </rPr>
      <t xml:space="preserve"> Módosította, a 10/2015. (VII.07.) önkormányzati rendelet 4.§, Hatályos: 2015. július 8.</t>
    </r>
  </si>
  <si>
    <r>
      <t>5. melléklet a 2/2015.(II.16.) önkormányzati rendelethez</t>
    </r>
    <r>
      <rPr>
        <vertAlign val="superscript"/>
        <sz val="10"/>
        <color indexed="12"/>
        <rFont val="Times New Roman CE"/>
        <family val="0"/>
      </rPr>
      <t>22</t>
    </r>
    <r>
      <rPr>
        <vertAlign val="superscript"/>
        <sz val="10"/>
        <color indexed="12"/>
        <rFont val="Times New Roman CE"/>
        <family val="0"/>
      </rPr>
      <t>, 23, 24</t>
    </r>
  </si>
  <si>
    <r>
      <rPr>
        <vertAlign val="superscript"/>
        <sz val="10"/>
        <color indexed="12"/>
        <rFont val="Arial CE"/>
        <family val="0"/>
      </rPr>
      <t>22</t>
    </r>
    <r>
      <rPr>
        <sz val="10"/>
        <color indexed="12"/>
        <rFont val="Arial CE"/>
        <family val="0"/>
      </rPr>
      <t xml:space="preserve"> 9/2015(V.05.) önkormányzati rendelet 4. §, Hatályos 2015. május 6. </t>
    </r>
  </si>
  <si>
    <r>
      <t xml:space="preserve">24 </t>
    </r>
    <r>
      <rPr>
        <sz val="10"/>
        <color indexed="12"/>
        <rFont val="Calibri"/>
        <family val="2"/>
      </rPr>
      <t>Módosította, a 12/2015(IX.21.) önkormányzati rendelet 4.§, Hatályos: 2015. szeptember 22.</t>
    </r>
  </si>
  <si>
    <t>Start-munka program - Téli közfoglalkoztatás - 2014. évről áthúzódó</t>
  </si>
  <si>
    <t>Egyéb szoc. pénzbeli ellátások, támogatások (települési támogatás, köztemetés)</t>
  </si>
  <si>
    <t>Szoc. tv. 25.§ (3)b, 45.§(1), 48.§ (1)</t>
  </si>
  <si>
    <r>
      <rPr>
        <vertAlign val="superscript"/>
        <sz val="9"/>
        <color indexed="12"/>
        <rFont val="Arial"/>
        <family val="2"/>
      </rPr>
      <t>26</t>
    </r>
    <r>
      <rPr>
        <sz val="9"/>
        <color indexed="12"/>
        <rFont val="Arial"/>
        <family val="2"/>
      </rPr>
      <t xml:space="preserve"> Módosította, a 10/2015. (VII.07.) önkormányzati rendelet 4.§, Hatályos: 2015. július 8.</t>
    </r>
  </si>
  <si>
    <r>
      <rPr>
        <vertAlign val="superscript"/>
        <sz val="10"/>
        <color indexed="12"/>
        <rFont val="Arial CE"/>
        <family val="0"/>
      </rPr>
      <t>25</t>
    </r>
    <r>
      <rPr>
        <sz val="10"/>
        <color indexed="12"/>
        <rFont val="Arial CE"/>
        <family val="0"/>
      </rPr>
      <t xml:space="preserve"> 9/2015(V.05.) önkormányzati rendelet 4. §, Hatályos 2015. május 6.</t>
    </r>
  </si>
  <si>
    <r>
      <t xml:space="preserve">27 </t>
    </r>
    <r>
      <rPr>
        <sz val="10"/>
        <color indexed="12"/>
        <rFont val="Calibri"/>
        <family val="2"/>
      </rPr>
      <t>Módosította, a 12/2015(IX.21.) önkormányzati rendelet 4.§, Hatályos: 2015. szeptember 22.</t>
    </r>
  </si>
  <si>
    <t>Készletértékesítés bevétele</t>
  </si>
  <si>
    <t>Átmeneti ivóvízellátás működtetési támogatása</t>
  </si>
  <si>
    <t>4.sz. háziorvosi körzet, iskola eü. OEP- finanszírozás</t>
  </si>
  <si>
    <t>Továbbszámlázott közüzemi díjak és vagyonbiztosítási díjak bevételei</t>
  </si>
  <si>
    <t>Munkaügyi Kp. műk. c. tám. - Nyári diákmunka program</t>
  </si>
  <si>
    <t>Kölcsön visszatérülés - Jánoshalmi Kistérségi Társulás</t>
  </si>
  <si>
    <t>Település rendezési terv módosítás támogatása</t>
  </si>
  <si>
    <t>Kártérítés - egyéb működési bevétel</t>
  </si>
  <si>
    <t>Folyószámla hitel felvétel</t>
  </si>
  <si>
    <t>Ingatlan, termőföld értékesítése</t>
  </si>
  <si>
    <t>Felhalm.  célú maradvány igénybevétele</t>
  </si>
  <si>
    <t>Jh-i Napok támogatása- magánszemély</t>
  </si>
  <si>
    <t>OTP Bank Nyrt. -reklámszolgáltatás díja</t>
  </si>
  <si>
    <t>Képzőművészeri Alkotótábor tám.-JH-ért Alapítvány</t>
  </si>
  <si>
    <t>Jh-i Napok -tárgyi eszk. bérbeadás bev.</t>
  </si>
  <si>
    <t>Szoc. Otthon- hagyatéki térítés  bevétele</t>
  </si>
  <si>
    <t>Napenergia h. ipari területen pr. EU Önerő Alap</t>
  </si>
  <si>
    <t>Ipari terület "Napenergia hasznosítása.." projekt EU támogatása</t>
  </si>
  <si>
    <t>Jánoshalmi Polgármesteri Hivatal</t>
  </si>
  <si>
    <t>Műk. célú maradvány igénybevétele</t>
  </si>
  <si>
    <r>
      <t>6. melléklet a 2/2015.(II.16.) önkormányzati rendelethez</t>
    </r>
    <r>
      <rPr>
        <vertAlign val="superscript"/>
        <sz val="10"/>
        <color indexed="12"/>
        <rFont val="Times New Roman CE"/>
        <family val="0"/>
      </rPr>
      <t>25</t>
    </r>
    <r>
      <rPr>
        <vertAlign val="superscript"/>
        <sz val="10"/>
        <color indexed="12"/>
        <rFont val="Arial"/>
        <family val="2"/>
      </rPr>
      <t>,26, 27</t>
    </r>
  </si>
  <si>
    <r>
      <rPr>
        <vertAlign val="superscript"/>
        <sz val="10"/>
        <color indexed="12"/>
        <rFont val="Arial CE"/>
        <family val="0"/>
      </rPr>
      <t>28</t>
    </r>
    <r>
      <rPr>
        <sz val="10"/>
        <color indexed="12"/>
        <rFont val="Arial CE"/>
        <family val="0"/>
      </rPr>
      <t xml:space="preserve"> 9/2015(V.05.) önkormányzati rendelet 4. §, Hatályos 2015. május 6.</t>
    </r>
  </si>
  <si>
    <r>
      <t xml:space="preserve">29 </t>
    </r>
    <r>
      <rPr>
        <sz val="10"/>
        <color indexed="12"/>
        <rFont val="Calibri"/>
        <family val="2"/>
      </rPr>
      <t>Módosította, a 12/2015(IX.21.) önkormányzati rendelet 4.§, Hatályos: 2015. szeptember 22.</t>
    </r>
  </si>
  <si>
    <r>
      <t>7. melléklet a 2/2015. (II.16.) önkormányzati rendelethez</t>
    </r>
    <r>
      <rPr>
        <vertAlign val="superscript"/>
        <sz val="11"/>
        <color indexed="12"/>
        <rFont val="Times New Roman CE"/>
        <family val="0"/>
      </rPr>
      <t>28, 29</t>
    </r>
  </si>
  <si>
    <t>Nyitnikék Gyerekház - MT hatálya alá tartozó dolgozók</t>
  </si>
  <si>
    <t>- Nyári diákmunka program</t>
  </si>
  <si>
    <r>
      <rPr>
        <vertAlign val="superscript"/>
        <sz val="10"/>
        <color indexed="12"/>
        <rFont val="Calibri"/>
        <family val="2"/>
      </rPr>
      <t>30</t>
    </r>
    <r>
      <rPr>
        <sz val="10"/>
        <color indexed="12"/>
        <rFont val="Calibri"/>
        <family val="2"/>
      </rPr>
      <t xml:space="preserve"> 9/2015(V.05.) önkormányzati rendelet 4. §, Hatályos 2015. május 6.</t>
    </r>
  </si>
  <si>
    <r>
      <rPr>
        <vertAlign val="superscript"/>
        <sz val="10"/>
        <color indexed="12"/>
        <rFont val="Calibri"/>
        <family val="2"/>
      </rPr>
      <t>31</t>
    </r>
    <r>
      <rPr>
        <sz val="10"/>
        <color indexed="12"/>
        <rFont val="Calibri"/>
        <family val="2"/>
      </rPr>
      <t xml:space="preserve"> Módosította, a 10/2015. (VII.07.) önkormányzati rendelet 4.§, Hatályos: 2015. július 8.</t>
    </r>
  </si>
  <si>
    <t>Radnóti utcai óvodaépületben fűtésrendszer átalakítása - kazánház kialakítása</t>
  </si>
  <si>
    <t>KEOP-4.10.0/C/12-2013-0048 "Napenergia hasznosítása villamos energia előállítására a Jánoshalmi ipari területen" projekt beruházási kiadásai</t>
  </si>
  <si>
    <t>KEOP-1.2.0/2F/09-2010-0029 "Jánoshalma város szennyvíz-csatornázása és szennyvíztisztítása" projekt beruházási kiadásai</t>
  </si>
  <si>
    <t>Informatikai és egyéb tárgyi eszköz beszerzések (2 db laptop, ruhafogas, csecsemőmérleg 2 db, légzésfigyelő) - Család- és nővédelmi egészségügyi gondozás részére</t>
  </si>
  <si>
    <t>Suzuki Vitara Allgrip Prémium 1,6 benzin típusú terepjáró személygépjármű beszerzése - pályázati önerő</t>
  </si>
  <si>
    <t>Gyermekétkeztetés feltételeit javító fejlesztések a Diákélelmezési Konyhán - pályázati önerő</t>
  </si>
  <si>
    <t>KEOP-4.10.0/A/12-2013-0726 "Imre Zoltán Művelődési Központ villamos energia megtakarítását eredményező napelemes fejlesztés" projekt beruházási kiadásai</t>
  </si>
  <si>
    <t>Mentőállomás kerítés építés</t>
  </si>
  <si>
    <t>Jánoshalmi Közfoglalkoztatási Nonprofit Kft. megalapítása - törzstőke jegyzése</t>
  </si>
  <si>
    <t>Téglagyár utcai zárt csapadékvíz rendszer felújítása</t>
  </si>
  <si>
    <t>Belterületi utak, járdák felújítása - pályázati önerő</t>
  </si>
  <si>
    <t xml:space="preserve">Sportcsarnok küzdőtér parketta felújítás </t>
  </si>
  <si>
    <t>IPA Határon Átnyúló Projekt FAB (Magyarország- Szerbia) - Szerbiai pályázati partnereknek továbbutalandó felhalmozási célú támogatás</t>
  </si>
  <si>
    <t>Fejlesztési célú támogatásértékű kiadások</t>
  </si>
  <si>
    <t>Fejlesztési célú céltartalék - Jh.-i Kistérségi Egészségügyi Központ Kft tagi kölcsön visszafizetéséből</t>
  </si>
  <si>
    <t xml:space="preserve">Céltartalék - viziközművek 2015. évi  bérleti díj bevételéből és az előző évek bérleti díj maradványából (szerződés szerint viziközművek fejlesztésére fordítandó a szolgáltatóval történő egyeztetés alapján) </t>
  </si>
  <si>
    <r>
      <t xml:space="preserve">8. melléklet a 2/2015.(II.16.) önkormányzati rendelethez </t>
    </r>
    <r>
      <rPr>
        <vertAlign val="superscript"/>
        <sz val="11"/>
        <color indexed="12"/>
        <rFont val="Times New Roman CE"/>
        <family val="0"/>
      </rPr>
      <t>30,</t>
    </r>
    <r>
      <rPr>
        <vertAlign val="superscript"/>
        <sz val="11"/>
        <color indexed="12"/>
        <rFont val="Times New Roman CE"/>
        <family val="0"/>
      </rPr>
      <t xml:space="preserve"> 31, 32</t>
    </r>
  </si>
  <si>
    <r>
      <t xml:space="preserve">32 </t>
    </r>
    <r>
      <rPr>
        <sz val="10"/>
        <color indexed="12"/>
        <rFont val="Calibri"/>
        <family val="2"/>
      </rPr>
      <t>Módosította, a 12/2015(IX.21.) önkormányzati rendelet 4.§, Hatályos: 2015. szeptember 22.</t>
    </r>
  </si>
  <si>
    <t>Létszámleépítésekhez kapcsolódó fizetési kötelezettségek tartalék képzése</t>
  </si>
  <si>
    <t>Köztemetés kiadásai</t>
  </si>
  <si>
    <t>EPER program rendszerkövetési szolgáltatás díja</t>
  </si>
  <si>
    <t>46/2015.(II.26.) Kt. hat. 2015. évi hosszabb időtartamú közf. - önerő</t>
  </si>
  <si>
    <t>72/2015. (IV.29) Kt. hat.Sportcsarnok napkollektoros rendszerhez hőmennyiségmérő beszerz.</t>
  </si>
  <si>
    <t>Gyermeklánc Óvoda és Egységes Óvoda-Bölcsőde fejlesztési igénye</t>
  </si>
  <si>
    <t>Villamos energia díj túlfizetésének visszatérítése</t>
  </si>
  <si>
    <t>Folyószámla hitel járulékos költségei</t>
  </si>
  <si>
    <t>Európa Bajnokságon való részvétel támogatása</t>
  </si>
  <si>
    <t>Nyári diákmunka program - foglalkozás egészségügyi vizsgálat</t>
  </si>
  <si>
    <t>Hatályos településrendezési terv módosítása</t>
  </si>
  <si>
    <t>Bontott anyag értékesítés bevétele (nettó)</t>
  </si>
  <si>
    <t>Maradványból képzett tartalék képzése</t>
  </si>
  <si>
    <t>2014. évi állami támogatások elszámolásának kamat terhe</t>
  </si>
  <si>
    <t>Ingatlan értékesítés miatti befizetendő Áfa</t>
  </si>
  <si>
    <t>2014. december havi Áfa befizetési kötelezettség</t>
  </si>
  <si>
    <t xml:space="preserve">Céltartalék - Eü-i Központ kölcsön visszafizetés </t>
  </si>
  <si>
    <r>
      <rPr>
        <vertAlign val="superscript"/>
        <sz val="9"/>
        <color indexed="12"/>
        <rFont val="Arial"/>
        <family val="2"/>
      </rPr>
      <t>33</t>
    </r>
    <r>
      <rPr>
        <sz val="9"/>
        <color indexed="12"/>
        <rFont val="Arial"/>
        <family val="2"/>
      </rPr>
      <t xml:space="preserve"> 9/2015(V.05.) önkormányzati rendelet 4. §, Hatályos 2015. május 6.</t>
    </r>
  </si>
  <si>
    <r>
      <rPr>
        <vertAlign val="superscript"/>
        <sz val="9"/>
        <color indexed="12"/>
        <rFont val="Arial"/>
        <family val="2"/>
      </rPr>
      <t>34</t>
    </r>
    <r>
      <rPr>
        <sz val="9"/>
        <color indexed="12"/>
        <rFont val="Arial"/>
        <family val="2"/>
      </rPr>
      <t xml:space="preserve"> Módosította, a 10/2015. (VII.07.) önkormányzati rendelet 4.§, Hatályos: 2015. július 8.</t>
    </r>
  </si>
  <si>
    <r>
      <t xml:space="preserve">35 </t>
    </r>
    <r>
      <rPr>
        <sz val="10"/>
        <color indexed="12"/>
        <rFont val="Calibri"/>
        <family val="2"/>
      </rPr>
      <t>Módosította, a 12/2015(IX.21.) önkormányzati rendelet 4.§, Hatályos: 2015. szeptember 22.</t>
    </r>
  </si>
  <si>
    <r>
      <t>9. melléklet a 2/2015.(II.16.) önkormányzati rendelethez</t>
    </r>
    <r>
      <rPr>
        <sz val="11"/>
        <color indexed="12"/>
        <rFont val="Times New Roman CE"/>
        <family val="0"/>
      </rPr>
      <t xml:space="preserve"> </t>
    </r>
    <r>
      <rPr>
        <vertAlign val="superscript"/>
        <sz val="11"/>
        <color indexed="12"/>
        <rFont val="Times New Roman CE"/>
        <family val="0"/>
      </rPr>
      <t>33, 34, 35</t>
    </r>
  </si>
  <si>
    <r>
      <rPr>
        <vertAlign val="superscript"/>
        <sz val="9"/>
        <color indexed="12"/>
        <rFont val="Arial"/>
        <family val="2"/>
      </rPr>
      <t>36</t>
    </r>
    <r>
      <rPr>
        <sz val="9"/>
        <color indexed="12"/>
        <rFont val="Arial"/>
        <family val="2"/>
      </rPr>
      <t xml:space="preserve"> 9/2015(V.05.) önkormányzati rendelet 4. §, Hatályos 2015. május 6.</t>
    </r>
  </si>
  <si>
    <r>
      <rPr>
        <vertAlign val="superscript"/>
        <sz val="9"/>
        <color indexed="12"/>
        <rFont val="Arial"/>
        <family val="2"/>
      </rPr>
      <t>37</t>
    </r>
    <r>
      <rPr>
        <sz val="9"/>
        <color indexed="12"/>
        <rFont val="Arial"/>
        <family val="2"/>
      </rPr>
      <t xml:space="preserve"> Módosította, a 10/2015. (VII.07.) önkormányzati rendelet 4.§, Hatályos: 2015. július 8.</t>
    </r>
  </si>
  <si>
    <r>
      <t>10. melléklet a 2/2015. (II.16.) önkormányzati rendelethez</t>
    </r>
    <r>
      <rPr>
        <sz val="10"/>
        <rFont val="Times New Roman"/>
        <family val="1"/>
      </rPr>
      <t xml:space="preserve"> </t>
    </r>
    <r>
      <rPr>
        <vertAlign val="superscript"/>
        <sz val="10"/>
        <color indexed="12"/>
        <rFont val="Times New Roman"/>
        <family val="1"/>
      </rPr>
      <t>36</t>
    </r>
    <r>
      <rPr>
        <vertAlign val="superscript"/>
        <sz val="10"/>
        <color indexed="30"/>
        <rFont val="Arial"/>
        <family val="2"/>
      </rPr>
      <t>, 37</t>
    </r>
  </si>
  <si>
    <r>
      <t xml:space="preserve">11. melléklet a 2/2015. (II.16.) önkormányzati rendelethez </t>
    </r>
    <r>
      <rPr>
        <vertAlign val="superscript"/>
        <sz val="11"/>
        <color indexed="12"/>
        <rFont val="Times New Roman CE"/>
        <family val="0"/>
      </rPr>
      <t>3</t>
    </r>
    <r>
      <rPr>
        <vertAlign val="superscript"/>
        <sz val="11"/>
        <color indexed="30"/>
        <rFont val="Arial"/>
        <family val="2"/>
      </rPr>
      <t>8, 39</t>
    </r>
  </si>
  <si>
    <r>
      <t xml:space="preserve">39 </t>
    </r>
    <r>
      <rPr>
        <sz val="10"/>
        <color indexed="12"/>
        <rFont val="Calibri"/>
        <family val="2"/>
      </rPr>
      <t>Módosította, a 12/2015(IX.21.) önkormányzati rendelet 4.§, Hatályos: 2015. szeptember 22.</t>
    </r>
  </si>
  <si>
    <r>
      <rPr>
        <vertAlign val="superscript"/>
        <sz val="10"/>
        <color indexed="12"/>
        <rFont val="Calibri"/>
        <family val="2"/>
      </rPr>
      <t>38</t>
    </r>
    <r>
      <rPr>
        <sz val="10"/>
        <color indexed="12"/>
        <rFont val="Calibri"/>
        <family val="2"/>
      </rPr>
      <t xml:space="preserve"> Módosította, a 10/2015. (VII.07.) önkormányzati rendelet 4.§, Hatályos: 2015. július 8.</t>
    </r>
  </si>
  <si>
    <t>Napenergia hasznosítása villamos energia előállítására a Jh-i ipari területen (KEOP-4.10.0/C/12-2013-0048)</t>
  </si>
  <si>
    <t>I.9.</t>
  </si>
  <si>
    <t>Átmeneti ivóvízellátás biztosításával kapcsolatos költségek finanszírozásának támogatása</t>
  </si>
  <si>
    <r>
      <t xml:space="preserve">12. melléklet  a 2/2015. (II.16.) önkormányzati rendelethez </t>
    </r>
    <r>
      <rPr>
        <vertAlign val="superscript"/>
        <sz val="11"/>
        <color indexed="12"/>
        <rFont val="Times New Roman CE"/>
        <family val="0"/>
      </rPr>
      <t>40</t>
    </r>
    <r>
      <rPr>
        <vertAlign val="superscript"/>
        <sz val="11"/>
        <color indexed="30"/>
        <rFont val="Arial"/>
        <family val="2"/>
      </rPr>
      <t>, 41, 42</t>
    </r>
  </si>
  <si>
    <r>
      <t xml:space="preserve">42 </t>
    </r>
    <r>
      <rPr>
        <sz val="10"/>
        <color indexed="12"/>
        <rFont val="Calibri"/>
        <family val="2"/>
      </rPr>
      <t>Módosította, a 12/2015(IX.21.) önkormányzati rendelet 4.§, Hatályos: 2015. szeptember 22.</t>
    </r>
  </si>
  <si>
    <r>
      <rPr>
        <vertAlign val="superscript"/>
        <sz val="10"/>
        <color indexed="12"/>
        <rFont val="Calibri"/>
        <family val="2"/>
      </rPr>
      <t>40</t>
    </r>
    <r>
      <rPr>
        <sz val="10"/>
        <color indexed="12"/>
        <rFont val="Calibri"/>
        <family val="2"/>
      </rPr>
      <t xml:space="preserve"> 9/2015(V.05.) önkormányzati rendelet 4. §, Hatályos 2015. május 6.</t>
    </r>
  </si>
  <si>
    <r>
      <rPr>
        <vertAlign val="superscript"/>
        <sz val="10"/>
        <color indexed="12"/>
        <rFont val="Calibri"/>
        <family val="2"/>
      </rPr>
      <t>41</t>
    </r>
    <r>
      <rPr>
        <sz val="10"/>
        <color indexed="12"/>
        <rFont val="Calibri"/>
        <family val="2"/>
      </rPr>
      <t xml:space="preserve"> Módosította, a 10/2015. (VII.07.) önkormányzati rendelet 4.§, Hatályos: 2015. július 8.</t>
    </r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</si>
</sst>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0.0"/>
    <numFmt numFmtId="166" formatCode="#,##0.0\ &quot;Ft&quot;"/>
    <numFmt numFmtId="167" formatCode="#,##0.0\ _F_t"/>
    <numFmt numFmtId="168" formatCode="#,##0\ _F_t"/>
    <numFmt numFmtId="169" formatCode="#,##0.0"/>
    <numFmt numFmtId="170" formatCode="yyyy/\ mmmm\ d\."/>
    <numFmt numFmtId="171" formatCode="mmm/yyyy"/>
    <numFmt numFmtId="172" formatCode="[$-40E]yyyy\.\ mmmm\ d\."/>
    <numFmt numFmtId="173" formatCode="&quot;H-&quot;0000"/>
    <numFmt numFmtId="174" formatCode="0.0000"/>
    <numFmt numFmtId="175" formatCode="#,##0.0000"/>
    <numFmt numFmtId="176" formatCode="#,##0.00000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#,##0.00\ [$CHF]"/>
    <numFmt numFmtId="181" formatCode="#,##0.00\ &quot;Ft&quot;"/>
    <numFmt numFmtId="182" formatCode="#,##0_ ;\-#,##0\ "/>
    <numFmt numFmtId="183" formatCode="_-* #,##0.000\ _F_t_-;\-* #,##0.000\ _F_t_-;_-* &quot;-&quot;??\ _F_t_-;_-@_-"/>
    <numFmt numFmtId="184" formatCode="_-* #,##0.0\ _F_t_-;\-* #,##0.0\ _F_t_-;_-* &quot;-&quot;??\ _F_t_-;_-@_-"/>
    <numFmt numFmtId="185" formatCode="_-* #,##0\ _F_t_-;\-* #,##0\ _F_t_-;_-* &quot;-&quot;??\ _F_t_-;_-@_-"/>
    <numFmt numFmtId="186" formatCode="[$€-2]\ #\ ##,000_);[Red]\([$€-2]\ #\ ##,000\)"/>
    <numFmt numFmtId="187" formatCode="#,##0\ [$CHF]"/>
    <numFmt numFmtId="188" formatCode="0.0000000%"/>
    <numFmt numFmtId="189" formatCode="0.000000%"/>
    <numFmt numFmtId="190" formatCode="[$¥€-2]\ #\ ##,000_);[Red]\([$€-2]\ #\ ##,000\)"/>
  </numFmts>
  <fonts count="141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b/>
      <sz val="13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i/>
      <sz val="11"/>
      <name val="Times New Roman CE"/>
      <family val="1"/>
    </font>
    <font>
      <u val="single"/>
      <sz val="11"/>
      <color indexed="12"/>
      <name val="Arial CE"/>
      <family val="0"/>
    </font>
    <font>
      <u val="single"/>
      <sz val="11"/>
      <color indexed="36"/>
      <name val="Arial CE"/>
      <family val="0"/>
    </font>
    <font>
      <b/>
      <sz val="12"/>
      <name val="Arial CE"/>
      <family val="2"/>
    </font>
    <font>
      <sz val="9"/>
      <name val="Times New Roman CE"/>
      <family val="1"/>
    </font>
    <font>
      <b/>
      <sz val="9"/>
      <name val="Times New Roman CE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color indexed="10"/>
      <name val="Times New Roman CE"/>
      <family val="1"/>
    </font>
    <font>
      <b/>
      <sz val="11"/>
      <color indexed="60"/>
      <name val="Times New Roman"/>
      <family val="1"/>
    </font>
    <font>
      <b/>
      <i/>
      <sz val="11"/>
      <color indexed="60"/>
      <name val="Times New Roman"/>
      <family val="1"/>
    </font>
    <font>
      <b/>
      <sz val="12"/>
      <color indexed="60"/>
      <name val="Times New Roman"/>
      <family val="1"/>
    </font>
    <font>
      <sz val="11"/>
      <color indexed="60"/>
      <name val="Times New Roman"/>
      <family val="1"/>
    </font>
    <font>
      <b/>
      <sz val="10"/>
      <color indexed="56"/>
      <name val="Times New Roman"/>
      <family val="1"/>
    </font>
    <font>
      <b/>
      <i/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b/>
      <sz val="10"/>
      <color indexed="60"/>
      <name val="Times New Roman"/>
      <family val="1"/>
    </font>
    <font>
      <b/>
      <sz val="9"/>
      <name val="Arial"/>
      <family val="2"/>
    </font>
    <font>
      <sz val="9"/>
      <color indexed="10"/>
      <name val="Arial CE"/>
      <family val="2"/>
    </font>
    <font>
      <b/>
      <sz val="9"/>
      <color indexed="10"/>
      <name val="Arial CE"/>
      <family val="2"/>
    </font>
    <font>
      <b/>
      <sz val="10"/>
      <color indexed="10"/>
      <name val="Arial CE"/>
      <family val="0"/>
    </font>
    <font>
      <b/>
      <i/>
      <sz val="9"/>
      <name val="Arial CE"/>
      <family val="0"/>
    </font>
    <font>
      <sz val="8"/>
      <color indexed="10"/>
      <name val="Arial CE"/>
      <family val="2"/>
    </font>
    <font>
      <i/>
      <sz val="9"/>
      <name val="Arial CE"/>
      <family val="2"/>
    </font>
    <font>
      <i/>
      <sz val="8"/>
      <name val="Arial CE"/>
      <family val="2"/>
    </font>
    <font>
      <b/>
      <i/>
      <sz val="10"/>
      <name val="Arial CE"/>
      <family val="0"/>
    </font>
    <font>
      <b/>
      <i/>
      <sz val="12"/>
      <name val="Arial CE"/>
      <family val="0"/>
    </font>
    <font>
      <b/>
      <sz val="13"/>
      <name val="Arial CE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7"/>
      <name val="Arial CE"/>
      <family val="2"/>
    </font>
    <font>
      <b/>
      <sz val="14"/>
      <name val="Times New Roman"/>
      <family val="1"/>
    </font>
    <font>
      <b/>
      <sz val="14"/>
      <name val="Times New Roman CE"/>
      <family val="0"/>
    </font>
    <font>
      <i/>
      <sz val="7"/>
      <name val="Arial CE"/>
      <family val="0"/>
    </font>
    <font>
      <b/>
      <i/>
      <sz val="8"/>
      <name val="Arial CE"/>
      <family val="0"/>
    </font>
    <font>
      <i/>
      <sz val="10"/>
      <name val="Arial CE"/>
      <family val="0"/>
    </font>
    <font>
      <b/>
      <sz val="7"/>
      <name val="Arial CE"/>
      <family val="0"/>
    </font>
    <font>
      <b/>
      <sz val="12"/>
      <name val="Times New Roman CE"/>
      <family val="0"/>
    </font>
    <font>
      <sz val="12"/>
      <name val="Arial"/>
      <family val="2"/>
    </font>
    <font>
      <sz val="9"/>
      <name val="Arial"/>
      <family val="2"/>
    </font>
    <font>
      <b/>
      <sz val="10"/>
      <color indexed="12"/>
      <name val="Arial CE"/>
      <family val="0"/>
    </font>
    <font>
      <sz val="10"/>
      <color indexed="12"/>
      <name val="Arial CE"/>
      <family val="0"/>
    </font>
    <font>
      <b/>
      <sz val="10"/>
      <color indexed="30"/>
      <name val="Arial CE"/>
      <family val="0"/>
    </font>
    <font>
      <sz val="10"/>
      <color indexed="30"/>
      <name val="Arial CE"/>
      <family val="0"/>
    </font>
    <font>
      <sz val="8"/>
      <color indexed="30"/>
      <name val="Arial CE"/>
      <family val="0"/>
    </font>
    <font>
      <i/>
      <sz val="10"/>
      <color indexed="62"/>
      <name val="Arial"/>
      <family val="2"/>
    </font>
    <font>
      <sz val="10"/>
      <color indexed="62"/>
      <name val="Arial"/>
      <family val="2"/>
    </font>
    <font>
      <sz val="11"/>
      <name val="Arial CE"/>
      <family val="0"/>
    </font>
    <font>
      <sz val="11"/>
      <name val="Arial"/>
      <family val="2"/>
    </font>
    <font>
      <vertAlign val="superscript"/>
      <sz val="10"/>
      <color indexed="12"/>
      <name val="Arial CE"/>
      <family val="0"/>
    </font>
    <font>
      <vertAlign val="superscript"/>
      <sz val="11"/>
      <color indexed="12"/>
      <name val="Times New Roman CE"/>
      <family val="0"/>
    </font>
    <font>
      <sz val="11"/>
      <color indexed="12"/>
      <name val="Times New Roman CE"/>
      <family val="0"/>
    </font>
    <font>
      <vertAlign val="superscript"/>
      <sz val="10"/>
      <color indexed="12"/>
      <name val="Times New Roman CE"/>
      <family val="0"/>
    </font>
    <font>
      <sz val="10"/>
      <color indexed="12"/>
      <name val="Times New Roman CE"/>
      <family val="0"/>
    </font>
    <font>
      <vertAlign val="superscript"/>
      <sz val="10"/>
      <color indexed="12"/>
      <name val="Arial"/>
      <family val="2"/>
    </font>
    <font>
      <sz val="9"/>
      <color indexed="12"/>
      <name val="Arial"/>
      <family val="2"/>
    </font>
    <font>
      <vertAlign val="superscript"/>
      <sz val="9"/>
      <color indexed="12"/>
      <name val="Arial"/>
      <family val="2"/>
    </font>
    <font>
      <b/>
      <sz val="13"/>
      <name val="Times New Roman"/>
      <family val="1"/>
    </font>
    <font>
      <vertAlign val="superscript"/>
      <sz val="11"/>
      <color indexed="30"/>
      <name val="Arial"/>
      <family val="2"/>
    </font>
    <font>
      <vertAlign val="superscript"/>
      <sz val="10"/>
      <color indexed="30"/>
      <name val="Times New Roman CE"/>
      <family val="0"/>
    </font>
    <font>
      <sz val="10"/>
      <color indexed="12"/>
      <name val="Calibri"/>
      <family val="2"/>
    </font>
    <font>
      <vertAlign val="superscript"/>
      <sz val="10"/>
      <color indexed="12"/>
      <name val="Calibri"/>
      <family val="2"/>
    </font>
    <font>
      <b/>
      <sz val="11"/>
      <name val="Arial"/>
      <family val="2"/>
    </font>
    <font>
      <b/>
      <i/>
      <sz val="11"/>
      <name val="Arial"/>
      <family val="2"/>
    </font>
    <font>
      <vertAlign val="superscript"/>
      <sz val="10"/>
      <color indexed="12"/>
      <name val="Times New Roman"/>
      <family val="1"/>
    </font>
    <font>
      <vertAlign val="superscript"/>
      <sz val="10"/>
      <color indexed="30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Arial"/>
      <family val="2"/>
    </font>
    <font>
      <sz val="11"/>
      <color indexed="10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Arial"/>
      <family val="2"/>
    </font>
    <font>
      <sz val="10"/>
      <color rgb="FF0000FF"/>
      <name val="Arial CE"/>
      <family val="0"/>
    </font>
    <font>
      <sz val="11"/>
      <color rgb="FFFF0000"/>
      <name val="Times New Roman"/>
      <family val="1"/>
    </font>
    <font>
      <vertAlign val="superscript"/>
      <sz val="10"/>
      <color rgb="FF0000CC"/>
      <name val="Calibri"/>
      <family val="2"/>
    </font>
    <font>
      <sz val="10"/>
      <color rgb="FF0000CC"/>
      <name val="Calibri"/>
      <family val="2"/>
    </font>
    <font>
      <sz val="10"/>
      <color rgb="FF0000CC"/>
      <name val="Arial CE"/>
      <family val="0"/>
    </font>
    <font>
      <sz val="10"/>
      <color rgb="FF0000FF"/>
      <name val="Calibri"/>
      <family val="2"/>
    </font>
    <font>
      <vertAlign val="superscript"/>
      <sz val="10"/>
      <color rgb="FF0000F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ck"/>
      <bottom style="thick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 style="medium"/>
      <right style="thin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medium"/>
      <top style="thick"/>
      <bottom style="thin"/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medium"/>
      <bottom style="thick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thin"/>
      <right style="thick"/>
      <top style="medium"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n"/>
      <top style="medium"/>
      <bottom style="medium"/>
    </border>
    <border>
      <left/>
      <right style="thick"/>
      <top style="medium"/>
      <bottom style="medium"/>
    </border>
    <border>
      <left style="medium"/>
      <right style="thick"/>
      <top style="medium"/>
      <bottom style="thick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 style="medium"/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6" fillId="2" borderId="0" applyNumberFormat="0" applyBorder="0" applyAlignment="0" applyProtection="0"/>
    <xf numFmtId="0" fontId="116" fillId="3" borderId="0" applyNumberFormat="0" applyBorder="0" applyAlignment="0" applyProtection="0"/>
    <xf numFmtId="0" fontId="117" fillId="4" borderId="0" applyNumberFormat="0" applyBorder="0" applyAlignment="0" applyProtection="0"/>
    <xf numFmtId="0" fontId="117" fillId="5" borderId="0" applyNumberFormat="0" applyBorder="0" applyAlignment="0" applyProtection="0"/>
    <xf numFmtId="0" fontId="117" fillId="6" borderId="0" applyNumberFormat="0" applyBorder="0" applyAlignment="0" applyProtection="0"/>
    <xf numFmtId="0" fontId="117" fillId="7" borderId="0" applyNumberFormat="0" applyBorder="0" applyAlignment="0" applyProtection="0"/>
    <xf numFmtId="0" fontId="117" fillId="8" borderId="0" applyNumberFormat="0" applyBorder="0" applyAlignment="0" applyProtection="0"/>
    <xf numFmtId="0" fontId="117" fillId="9" borderId="0" applyNumberFormat="0" applyBorder="0" applyAlignment="0" applyProtection="0"/>
    <xf numFmtId="0" fontId="116" fillId="10" borderId="0" applyNumberFormat="0" applyBorder="0" applyAlignment="0" applyProtection="0"/>
    <xf numFmtId="0" fontId="116" fillId="11" borderId="0" applyNumberFormat="0" applyBorder="0" applyAlignment="0" applyProtection="0"/>
    <xf numFmtId="0" fontId="117" fillId="12" borderId="0" applyNumberFormat="0" applyBorder="0" applyAlignment="0" applyProtection="0"/>
    <xf numFmtId="0" fontId="117" fillId="13" borderId="0" applyNumberFormat="0" applyBorder="0" applyAlignment="0" applyProtection="0"/>
    <xf numFmtId="0" fontId="117" fillId="14" borderId="0" applyNumberFormat="0" applyBorder="0" applyAlignment="0" applyProtection="0"/>
    <xf numFmtId="0" fontId="117" fillId="15" borderId="0" applyNumberFormat="0" applyBorder="0" applyAlignment="0" applyProtection="0"/>
    <xf numFmtId="0" fontId="117" fillId="16" borderId="0" applyNumberFormat="0" applyBorder="0" applyAlignment="0" applyProtection="0"/>
    <xf numFmtId="0" fontId="117" fillId="17" borderId="0" applyNumberFormat="0" applyBorder="0" applyAlignment="0" applyProtection="0"/>
    <xf numFmtId="0" fontId="116" fillId="18" borderId="0" applyNumberFormat="0" applyBorder="0" applyAlignment="0" applyProtection="0"/>
    <xf numFmtId="0" fontId="116" fillId="19" borderId="0" applyNumberFormat="0" applyBorder="0" applyAlignment="0" applyProtection="0"/>
    <xf numFmtId="0" fontId="116" fillId="20" borderId="0" applyNumberFormat="0" applyBorder="0" applyAlignment="0" applyProtection="0"/>
    <xf numFmtId="0" fontId="116" fillId="21" borderId="0" applyNumberFormat="0" applyBorder="0" applyAlignment="0" applyProtection="0"/>
    <xf numFmtId="0" fontId="116" fillId="14" borderId="0" applyNumberFormat="0" applyBorder="0" applyAlignment="0" applyProtection="0"/>
    <xf numFmtId="0" fontId="116" fillId="22" borderId="0" applyNumberFormat="0" applyBorder="0" applyAlignment="0" applyProtection="0"/>
    <xf numFmtId="0" fontId="116" fillId="23" borderId="0" applyNumberFormat="0" applyBorder="0" applyAlignment="0" applyProtection="0"/>
    <xf numFmtId="0" fontId="116" fillId="24" borderId="0" applyNumberFormat="0" applyBorder="0" applyAlignment="0" applyProtection="0"/>
    <xf numFmtId="0" fontId="118" fillId="25" borderId="1" applyNumberFormat="0" applyAlignment="0" applyProtection="0"/>
    <xf numFmtId="0" fontId="119" fillId="0" borderId="0" applyNumberFormat="0" applyFill="0" applyBorder="0" applyAlignment="0" applyProtection="0"/>
    <xf numFmtId="0" fontId="120" fillId="0" borderId="2" applyNumberFormat="0" applyFill="0" applyAlignment="0" applyProtection="0"/>
    <xf numFmtId="0" fontId="121" fillId="0" borderId="3" applyNumberFormat="0" applyFill="0" applyAlignment="0" applyProtection="0"/>
    <xf numFmtId="0" fontId="122" fillId="0" borderId="4" applyNumberFormat="0" applyFill="0" applyAlignment="0" applyProtection="0"/>
    <xf numFmtId="0" fontId="122" fillId="0" borderId="0" applyNumberFormat="0" applyFill="0" applyBorder="0" applyAlignment="0" applyProtection="0"/>
    <xf numFmtId="0" fontId="123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5" fillId="0" borderId="6" applyNumberFormat="0" applyFill="0" applyAlignment="0" applyProtection="0"/>
    <xf numFmtId="0" fontId="0" fillId="27" borderId="7" applyNumberFormat="0" applyFont="0" applyAlignment="0" applyProtection="0"/>
    <xf numFmtId="0" fontId="126" fillId="28" borderId="0" applyNumberFormat="0" applyBorder="0" applyAlignment="0" applyProtection="0"/>
    <xf numFmtId="0" fontId="127" fillId="29" borderId="8" applyNumberFormat="0" applyAlignment="0" applyProtection="0"/>
    <xf numFmtId="0" fontId="15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2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0" fillId="30" borderId="0" applyNumberFormat="0" applyBorder="0" applyAlignment="0" applyProtection="0"/>
    <xf numFmtId="0" fontId="131" fillId="31" borderId="0" applyNumberFormat="0" applyBorder="0" applyAlignment="0" applyProtection="0"/>
    <xf numFmtId="0" fontId="132" fillId="29" borderId="1" applyNumberFormat="0" applyAlignment="0" applyProtection="0"/>
    <xf numFmtId="9" fontId="0" fillId="0" borderId="0" applyFont="0" applyFill="0" applyBorder="0" applyAlignment="0" applyProtection="0"/>
  </cellStyleXfs>
  <cellXfs count="1269">
    <xf numFmtId="0" fontId="0" fillId="0" borderId="0" xfId="0" applyAlignment="1">
      <alignment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3" fontId="11" fillId="0" borderId="12" xfId="0" applyNumberFormat="1" applyFont="1" applyFill="1" applyBorder="1" applyAlignment="1">
      <alignment vertical="center"/>
    </xf>
    <xf numFmtId="3" fontId="13" fillId="0" borderId="11" xfId="0" applyNumberFormat="1" applyFont="1" applyFill="1" applyBorder="1" applyAlignment="1">
      <alignment horizontal="left" vertical="center"/>
    </xf>
    <xf numFmtId="3" fontId="11" fillId="0" borderId="13" xfId="0" applyNumberFormat="1" applyFont="1" applyFill="1" applyBorder="1" applyAlignment="1">
      <alignment horizontal="right" vertical="center"/>
    </xf>
    <xf numFmtId="3" fontId="12" fillId="0" borderId="14" xfId="0" applyNumberFormat="1" applyFont="1" applyFill="1" applyBorder="1" applyAlignment="1">
      <alignment vertical="center"/>
    </xf>
    <xf numFmtId="3" fontId="13" fillId="0" borderId="15" xfId="0" applyNumberFormat="1" applyFont="1" applyFill="1" applyBorder="1" applyAlignment="1">
      <alignment horizontal="left" vertical="center"/>
    </xf>
    <xf numFmtId="3" fontId="12" fillId="0" borderId="16" xfId="0" applyNumberFormat="1" applyFont="1" applyFill="1" applyBorder="1" applyAlignment="1">
      <alignment vertical="center"/>
    </xf>
    <xf numFmtId="3" fontId="13" fillId="0" borderId="15" xfId="0" applyNumberFormat="1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19" xfId="0" applyFont="1" applyFill="1" applyBorder="1" applyAlignment="1">
      <alignment horizontal="left" vertical="center"/>
    </xf>
    <xf numFmtId="0" fontId="13" fillId="0" borderId="20" xfId="0" applyFont="1" applyFill="1" applyBorder="1" applyAlignment="1">
      <alignment horizontal="right" vertical="center"/>
    </xf>
    <xf numFmtId="0" fontId="12" fillId="0" borderId="21" xfId="0" applyFont="1" applyFill="1" applyBorder="1" applyAlignment="1">
      <alignment vertical="center"/>
    </xf>
    <xf numFmtId="0" fontId="13" fillId="0" borderId="22" xfId="0" applyFont="1" applyFill="1" applyBorder="1" applyAlignment="1">
      <alignment horizontal="left" vertical="center"/>
    </xf>
    <xf numFmtId="0" fontId="12" fillId="0" borderId="2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3" fontId="3" fillId="0" borderId="20" xfId="0" applyNumberFormat="1" applyFont="1" applyFill="1" applyBorder="1" applyAlignment="1">
      <alignment vertical="center"/>
    </xf>
    <xf numFmtId="3" fontId="3" fillId="0" borderId="24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16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3" fontId="3" fillId="0" borderId="25" xfId="0" applyNumberFormat="1" applyFont="1" applyFill="1" applyBorder="1" applyAlignment="1">
      <alignment vertical="center"/>
    </xf>
    <xf numFmtId="3" fontId="3" fillId="0" borderId="26" xfId="0" applyNumberFormat="1" applyFont="1" applyFill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16" fillId="0" borderId="0" xfId="61" applyFont="1">
      <alignment/>
      <protection/>
    </xf>
    <xf numFmtId="0" fontId="16" fillId="0" borderId="0" xfId="61" applyFont="1" applyAlignment="1">
      <alignment horizontal="center"/>
      <protection/>
    </xf>
    <xf numFmtId="0" fontId="1" fillId="0" borderId="17" xfId="61" applyFont="1" applyBorder="1" applyAlignment="1">
      <alignment horizontal="center" vertical="center"/>
      <protection/>
    </xf>
    <xf numFmtId="0" fontId="1" fillId="0" borderId="27" xfId="61" applyFont="1" applyBorder="1" applyAlignment="1">
      <alignment horizontal="center" vertical="center" wrapText="1"/>
      <protection/>
    </xf>
    <xf numFmtId="0" fontId="1" fillId="0" borderId="20" xfId="61" applyFont="1" applyBorder="1" applyAlignment="1">
      <alignment horizontal="center" vertical="center" wrapText="1"/>
      <protection/>
    </xf>
    <xf numFmtId="0" fontId="1" fillId="0" borderId="24" xfId="61" applyFont="1" applyBorder="1" applyAlignment="1">
      <alignment horizontal="center" vertical="center" wrapText="1"/>
      <protection/>
    </xf>
    <xf numFmtId="0" fontId="1" fillId="0" borderId="13" xfId="61" applyFont="1" applyBorder="1" applyAlignment="1">
      <alignment horizontal="center" vertical="center" wrapText="1"/>
      <protection/>
    </xf>
    <xf numFmtId="0" fontId="1" fillId="0" borderId="0" xfId="61" applyFont="1" applyAlignment="1">
      <alignment horizontal="center" vertical="center"/>
      <protection/>
    </xf>
    <xf numFmtId="49" fontId="19" fillId="0" borderId="24" xfId="61" applyNumberFormat="1" applyBorder="1" applyAlignment="1">
      <alignment vertical="center"/>
      <protection/>
    </xf>
    <xf numFmtId="3" fontId="19" fillId="0" borderId="27" xfId="61" applyNumberFormat="1" applyBorder="1">
      <alignment/>
      <protection/>
    </xf>
    <xf numFmtId="3" fontId="19" fillId="0" borderId="24" xfId="61" applyNumberFormat="1" applyBorder="1">
      <alignment/>
      <protection/>
    </xf>
    <xf numFmtId="3" fontId="19" fillId="0" borderId="13" xfId="61" applyNumberFormat="1" applyBorder="1">
      <alignment/>
      <protection/>
    </xf>
    <xf numFmtId="3" fontId="19" fillId="0" borderId="20" xfId="61" applyNumberFormat="1" applyBorder="1">
      <alignment/>
      <protection/>
    </xf>
    <xf numFmtId="3" fontId="19" fillId="0" borderId="0" xfId="61" applyNumberFormat="1">
      <alignment/>
      <protection/>
    </xf>
    <xf numFmtId="0" fontId="19" fillId="0" borderId="0" xfId="61">
      <alignment/>
      <protection/>
    </xf>
    <xf numFmtId="3" fontId="19" fillId="0" borderId="24" xfId="61" applyNumberFormat="1" applyFill="1" applyBorder="1">
      <alignment/>
      <protection/>
    </xf>
    <xf numFmtId="2" fontId="19" fillId="0" borderId="20" xfId="61" applyNumberFormat="1" applyBorder="1">
      <alignment/>
      <protection/>
    </xf>
    <xf numFmtId="2" fontId="19" fillId="0" borderId="27" xfId="61" applyNumberFormat="1" applyBorder="1">
      <alignment/>
      <protection/>
    </xf>
    <xf numFmtId="3" fontId="19" fillId="0" borderId="20" xfId="61" applyNumberFormat="1" applyFill="1" applyBorder="1">
      <alignment/>
      <protection/>
    </xf>
    <xf numFmtId="4" fontId="19" fillId="0" borderId="27" xfId="61" applyNumberFormat="1" applyFill="1" applyBorder="1">
      <alignment/>
      <protection/>
    </xf>
    <xf numFmtId="0" fontId="2" fillId="0" borderId="0" xfId="61" applyFont="1">
      <alignment/>
      <protection/>
    </xf>
    <xf numFmtId="49" fontId="19" fillId="0" borderId="0" xfId="61" applyNumberFormat="1">
      <alignment/>
      <protection/>
    </xf>
    <xf numFmtId="0" fontId="34" fillId="0" borderId="0" xfId="0" applyFont="1" applyFill="1" applyAlignment="1">
      <alignment vertical="center"/>
    </xf>
    <xf numFmtId="0" fontId="22" fillId="0" borderId="0" xfId="57" applyFont="1">
      <alignment/>
      <protection/>
    </xf>
    <xf numFmtId="0" fontId="21" fillId="0" borderId="0" xfId="57" applyFont="1" applyAlignment="1">
      <alignment vertical="center"/>
      <protection/>
    </xf>
    <xf numFmtId="0" fontId="23" fillId="0" borderId="24" xfId="57" applyFont="1" applyBorder="1" applyAlignment="1">
      <alignment horizontal="center" vertical="center" wrapText="1"/>
      <protection/>
    </xf>
    <xf numFmtId="0" fontId="25" fillId="0" borderId="24" xfId="57" applyFont="1" applyBorder="1" applyAlignment="1">
      <alignment horizontal="center" vertical="center" wrapText="1"/>
      <protection/>
    </xf>
    <xf numFmtId="0" fontId="25" fillId="0" borderId="0" xfId="57" applyFont="1" applyAlignment="1">
      <alignment horizontal="center" vertical="center" wrapText="1"/>
      <protection/>
    </xf>
    <xf numFmtId="0" fontId="25" fillId="0" borderId="0" xfId="57" applyFont="1">
      <alignment/>
      <protection/>
    </xf>
    <xf numFmtId="0" fontId="24" fillId="0" borderId="24" xfId="57" applyFont="1" applyBorder="1">
      <alignment/>
      <protection/>
    </xf>
    <xf numFmtId="0" fontId="24" fillId="0" borderId="0" xfId="57" applyFont="1">
      <alignment/>
      <protection/>
    </xf>
    <xf numFmtId="0" fontId="28" fillId="0" borderId="0" xfId="57" applyFont="1">
      <alignment/>
      <protection/>
    </xf>
    <xf numFmtId="0" fontId="29" fillId="0" borderId="0" xfId="57" applyFont="1">
      <alignment/>
      <protection/>
    </xf>
    <xf numFmtId="0" fontId="28" fillId="0" borderId="24" xfId="57" applyFont="1" applyBorder="1">
      <alignment/>
      <protection/>
    </xf>
    <xf numFmtId="0" fontId="30" fillId="0" borderId="0" xfId="57" applyFont="1">
      <alignment/>
      <protection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24" xfId="0" applyFont="1" applyBorder="1" applyAlignment="1">
      <alignment vertical="center"/>
    </xf>
    <xf numFmtId="0" fontId="28" fillId="0" borderId="24" xfId="57" applyFont="1" applyBorder="1" applyAlignment="1">
      <alignment horizontal="left" vertical="center" indent="2"/>
      <protection/>
    </xf>
    <xf numFmtId="16" fontId="28" fillId="0" borderId="24" xfId="57" applyNumberFormat="1" applyFont="1" applyBorder="1" applyAlignment="1">
      <alignment horizontal="left" vertical="center" indent="2"/>
      <protection/>
    </xf>
    <xf numFmtId="0" fontId="28" fillId="0" borderId="24" xfId="57" applyFont="1" applyBorder="1" applyAlignment="1">
      <alignment horizontal="left" indent="2"/>
      <protection/>
    </xf>
    <xf numFmtId="3" fontId="25" fillId="0" borderId="24" xfId="48" applyNumberFormat="1" applyFont="1" applyBorder="1" applyAlignment="1">
      <alignment horizontal="right"/>
    </xf>
    <xf numFmtId="3" fontId="24" fillId="0" borderId="24" xfId="48" applyNumberFormat="1" applyFont="1" applyBorder="1" applyAlignment="1">
      <alignment horizontal="right"/>
    </xf>
    <xf numFmtId="3" fontId="28" fillId="0" borderId="24" xfId="48" applyNumberFormat="1" applyFont="1" applyBorder="1" applyAlignment="1">
      <alignment horizontal="right"/>
    </xf>
    <xf numFmtId="0" fontId="35" fillId="0" borderId="24" xfId="57" applyFont="1" applyBorder="1" applyAlignment="1">
      <alignment horizontal="left" vertical="center" wrapText="1"/>
      <protection/>
    </xf>
    <xf numFmtId="0" fontId="35" fillId="0" borderId="0" xfId="57" applyFont="1" applyAlignment="1">
      <alignment horizontal="center" vertical="center" wrapText="1"/>
      <protection/>
    </xf>
    <xf numFmtId="3" fontId="35" fillId="0" borderId="24" xfId="48" applyNumberFormat="1" applyFont="1" applyBorder="1" applyAlignment="1">
      <alignment horizontal="right"/>
    </xf>
    <xf numFmtId="0" fontId="35" fillId="0" borderId="24" xfId="57" applyFont="1" applyBorder="1">
      <alignment/>
      <protection/>
    </xf>
    <xf numFmtId="0" fontId="36" fillId="0" borderId="0" xfId="57" applyFont="1">
      <alignment/>
      <protection/>
    </xf>
    <xf numFmtId="0" fontId="37" fillId="0" borderId="24" xfId="57" applyFont="1" applyBorder="1" applyAlignment="1">
      <alignment horizontal="right"/>
      <protection/>
    </xf>
    <xf numFmtId="0" fontId="38" fillId="0" borderId="0" xfId="57" applyFont="1">
      <alignment/>
      <protection/>
    </xf>
    <xf numFmtId="0" fontId="39" fillId="0" borderId="24" xfId="57" applyFont="1" applyBorder="1" applyAlignment="1">
      <alignment vertical="center"/>
      <protection/>
    </xf>
    <xf numFmtId="3" fontId="39" fillId="0" borderId="24" xfId="48" applyNumberFormat="1" applyFont="1" applyBorder="1" applyAlignment="1">
      <alignment horizontal="right"/>
    </xf>
    <xf numFmtId="0" fontId="39" fillId="0" borderId="24" xfId="57" applyFont="1" applyBorder="1">
      <alignment/>
      <protection/>
    </xf>
    <xf numFmtId="0" fontId="39" fillId="0" borderId="0" xfId="57" applyFont="1">
      <alignment/>
      <protection/>
    </xf>
    <xf numFmtId="0" fontId="39" fillId="0" borderId="24" xfId="57" applyFont="1" applyBorder="1" applyAlignment="1">
      <alignment vertical="center" wrapText="1"/>
      <protection/>
    </xf>
    <xf numFmtId="0" fontId="39" fillId="0" borderId="24" xfId="57" applyFont="1" applyBorder="1" applyAlignment="1">
      <alignment horizontal="left" vertical="center"/>
      <protection/>
    </xf>
    <xf numFmtId="0" fontId="40" fillId="0" borderId="0" xfId="57" applyFont="1">
      <alignment/>
      <protection/>
    </xf>
    <xf numFmtId="0" fontId="39" fillId="0" borderId="24" xfId="57" applyFont="1" applyBorder="1" applyAlignment="1">
      <alignment horizontal="left" vertical="center" wrapText="1"/>
      <protection/>
    </xf>
    <xf numFmtId="0" fontId="41" fillId="0" borderId="0" xfId="57" applyFont="1">
      <alignment/>
      <protection/>
    </xf>
    <xf numFmtId="0" fontId="25" fillId="0" borderId="24" xfId="57" applyFont="1" applyBorder="1" applyAlignment="1">
      <alignment horizontal="left" vertical="center" indent="1"/>
      <protection/>
    </xf>
    <xf numFmtId="0" fontId="25" fillId="0" borderId="24" xfId="57" applyFont="1" applyBorder="1" applyAlignment="1">
      <alignment horizontal="left" indent="1"/>
      <protection/>
    </xf>
    <xf numFmtId="3" fontId="42" fillId="0" borderId="24" xfId="57" applyNumberFormat="1" applyFont="1" applyBorder="1" applyAlignment="1">
      <alignment horizontal="right" vertical="center"/>
      <protection/>
    </xf>
    <xf numFmtId="0" fontId="35" fillId="0" borderId="24" xfId="57" applyFont="1" applyBorder="1" applyAlignment="1">
      <alignment vertical="top"/>
      <protection/>
    </xf>
    <xf numFmtId="3" fontId="42" fillId="0" borderId="24" xfId="48" applyNumberFormat="1" applyFont="1" applyBorder="1" applyAlignment="1">
      <alignment horizontal="right"/>
    </xf>
    <xf numFmtId="0" fontId="25" fillId="0" borderId="24" xfId="57" applyFont="1" applyBorder="1" applyAlignment="1">
      <alignment horizontal="left" vertical="top" indent="1"/>
      <protection/>
    </xf>
    <xf numFmtId="0" fontId="27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19" fillId="0" borderId="0" xfId="0" applyFont="1" applyAlignment="1">
      <alignment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/>
    </xf>
    <xf numFmtId="0" fontId="18" fillId="0" borderId="24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vertical="center"/>
    </xf>
    <xf numFmtId="0" fontId="22" fillId="0" borderId="24" xfId="0" applyFont="1" applyBorder="1" applyAlignment="1">
      <alignment vertical="center" wrapTex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2" fillId="0" borderId="24" xfId="0" applyFont="1" applyBorder="1" applyAlignment="1">
      <alignment horizontal="right" vertical="center"/>
    </xf>
    <xf numFmtId="3" fontId="22" fillId="0" borderId="24" xfId="0" applyNumberFormat="1" applyFont="1" applyBorder="1" applyAlignment="1">
      <alignment vertical="center"/>
    </xf>
    <xf numFmtId="3" fontId="23" fillId="0" borderId="24" xfId="0" applyNumberFormat="1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6" fillId="0" borderId="17" xfId="0" applyFont="1" applyBorder="1" applyAlignment="1">
      <alignment horizontal="center" vertical="center"/>
    </xf>
    <xf numFmtId="0" fontId="23" fillId="0" borderId="2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26" fillId="0" borderId="24" xfId="57" applyFont="1" applyBorder="1" applyAlignment="1">
      <alignment horizontal="center" vertical="center" wrapText="1"/>
      <protection/>
    </xf>
    <xf numFmtId="0" fontId="26" fillId="0" borderId="0" xfId="57" applyFont="1" applyAlignment="1">
      <alignment horizontal="center" vertical="center" wrapText="1"/>
      <protection/>
    </xf>
    <xf numFmtId="0" fontId="26" fillId="0" borderId="0" xfId="57" applyFont="1" applyAlignment="1">
      <alignment horizontal="center"/>
      <protection/>
    </xf>
    <xf numFmtId="0" fontId="26" fillId="0" borderId="24" xfId="57" applyFont="1" applyBorder="1" applyAlignment="1">
      <alignment horizontal="center"/>
      <protection/>
    </xf>
    <xf numFmtId="0" fontId="12" fillId="0" borderId="28" xfId="0" applyFont="1" applyFill="1" applyBorder="1" applyAlignment="1">
      <alignment horizontal="left" vertical="center"/>
    </xf>
    <xf numFmtId="3" fontId="11" fillId="0" borderId="13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3" fontId="13" fillId="0" borderId="13" xfId="0" applyNumberFormat="1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3" fontId="44" fillId="0" borderId="28" xfId="0" applyNumberFormat="1" applyFont="1" applyFill="1" applyBorder="1" applyAlignment="1">
      <alignment vertical="center"/>
    </xf>
    <xf numFmtId="3" fontId="44" fillId="0" borderId="11" xfId="0" applyNumberFormat="1" applyFont="1" applyFill="1" applyBorder="1" applyAlignment="1">
      <alignment vertical="center"/>
    </xf>
    <xf numFmtId="3" fontId="44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3" fillId="0" borderId="29" xfId="0" applyFont="1" applyFill="1" applyBorder="1" applyAlignment="1">
      <alignment vertical="center"/>
    </xf>
    <xf numFmtId="0" fontId="12" fillId="0" borderId="30" xfId="0" applyFont="1" applyFill="1" applyBorder="1" applyAlignment="1">
      <alignment vertical="center"/>
    </xf>
    <xf numFmtId="0" fontId="18" fillId="0" borderId="27" xfId="0" applyFont="1" applyFill="1" applyBorder="1" applyAlignment="1">
      <alignment horizontal="center" vertical="center"/>
    </xf>
    <xf numFmtId="0" fontId="4" fillId="0" borderId="17" xfId="61" applyFont="1" applyBorder="1" applyAlignment="1">
      <alignment horizontal="center" vertical="center"/>
      <protection/>
    </xf>
    <xf numFmtId="0" fontId="4" fillId="0" borderId="27" xfId="61" applyFont="1" applyBorder="1" applyAlignment="1">
      <alignment horizontal="center" vertical="center" wrapText="1"/>
      <protection/>
    </xf>
    <xf numFmtId="0" fontId="4" fillId="0" borderId="24" xfId="61" applyFont="1" applyBorder="1" applyAlignment="1">
      <alignment horizontal="center" vertical="center" wrapText="1"/>
      <protection/>
    </xf>
    <xf numFmtId="0" fontId="4" fillId="0" borderId="13" xfId="61" applyFont="1" applyBorder="1" applyAlignment="1">
      <alignment horizontal="center" vertical="center" wrapText="1"/>
      <protection/>
    </xf>
    <xf numFmtId="0" fontId="4" fillId="0" borderId="20" xfId="61" applyFont="1" applyBorder="1" applyAlignment="1">
      <alignment horizontal="center" vertical="center" wrapText="1"/>
      <protection/>
    </xf>
    <xf numFmtId="0" fontId="4" fillId="0" borderId="0" xfId="61" applyFont="1" applyAlignment="1">
      <alignment horizontal="center" vertical="center"/>
      <protection/>
    </xf>
    <xf numFmtId="0" fontId="24" fillId="0" borderId="0" xfId="0" applyFont="1" applyAlignment="1">
      <alignment/>
    </xf>
    <xf numFmtId="0" fontId="20" fillId="0" borderId="0" xfId="62" applyFont="1" applyAlignment="1">
      <alignment vertical="center"/>
      <protection/>
    </xf>
    <xf numFmtId="0" fontId="21" fillId="0" borderId="0" xfId="62" applyFont="1" applyAlignment="1">
      <alignment horizontal="center" vertical="center" wrapText="1"/>
      <protection/>
    </xf>
    <xf numFmtId="0" fontId="24" fillId="0" borderId="0" xfId="62" applyFont="1" applyAlignment="1">
      <alignment vertical="center" wrapText="1"/>
      <protection/>
    </xf>
    <xf numFmtId="0" fontId="25" fillId="0" borderId="24" xfId="62" applyFont="1" applyBorder="1" applyAlignment="1">
      <alignment horizontal="center" vertical="center" wrapText="1"/>
      <protection/>
    </xf>
    <xf numFmtId="3" fontId="21" fillId="0" borderId="13" xfId="62" applyNumberFormat="1" applyFont="1" applyBorder="1" applyAlignment="1">
      <alignment horizontal="right" vertical="center" wrapText="1"/>
      <protection/>
    </xf>
    <xf numFmtId="3" fontId="20" fillId="0" borderId="24" xfId="62" applyNumberFormat="1" applyFont="1" applyBorder="1" applyAlignment="1">
      <alignment horizontal="right" vertical="center"/>
      <protection/>
    </xf>
    <xf numFmtId="0" fontId="26" fillId="0" borderId="27" xfId="62" applyFont="1" applyBorder="1" applyAlignment="1">
      <alignment horizontal="center" vertical="center"/>
      <protection/>
    </xf>
    <xf numFmtId="3" fontId="20" fillId="0" borderId="24" xfId="62" applyNumberFormat="1" applyFont="1" applyBorder="1" applyAlignment="1">
      <alignment horizontal="right" vertical="center" wrapText="1"/>
      <protection/>
    </xf>
    <xf numFmtId="0" fontId="26" fillId="0" borderId="0" xfId="62" applyFont="1" applyAlignment="1">
      <alignment horizontal="center" vertical="center"/>
      <protection/>
    </xf>
    <xf numFmtId="3" fontId="26" fillId="0" borderId="24" xfId="62" applyNumberFormat="1" applyFont="1" applyBorder="1" applyAlignment="1">
      <alignment horizontal="center" vertical="center" wrapText="1"/>
      <protection/>
    </xf>
    <xf numFmtId="0" fontId="26" fillId="0" borderId="24" xfId="62" applyFont="1" applyBorder="1" applyAlignment="1">
      <alignment horizontal="center" vertical="center"/>
      <protection/>
    </xf>
    <xf numFmtId="0" fontId="21" fillId="0" borderId="24" xfId="62" applyFont="1" applyBorder="1" applyAlignment="1">
      <alignment horizontal="center" vertical="center"/>
      <protection/>
    </xf>
    <xf numFmtId="3" fontId="26" fillId="0" borderId="13" xfId="62" applyNumberFormat="1" applyFont="1" applyBorder="1" applyAlignment="1">
      <alignment horizontal="center" vertical="center" wrapText="1"/>
      <protection/>
    </xf>
    <xf numFmtId="0" fontId="4" fillId="0" borderId="26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left" vertical="center" wrapText="1"/>
    </xf>
    <xf numFmtId="3" fontId="44" fillId="0" borderId="19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1" fillId="0" borderId="31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/>
    </xf>
    <xf numFmtId="3" fontId="46" fillId="0" borderId="32" xfId="0" applyNumberFormat="1" applyFont="1" applyFill="1" applyBorder="1" applyAlignment="1">
      <alignment vertical="center"/>
    </xf>
    <xf numFmtId="3" fontId="1" fillId="0" borderId="23" xfId="0" applyNumberFormat="1" applyFont="1" applyFill="1" applyBorder="1" applyAlignment="1">
      <alignment vertical="center"/>
    </xf>
    <xf numFmtId="3" fontId="1" fillId="0" borderId="32" xfId="0" applyNumberFormat="1" applyFont="1" applyFill="1" applyBorder="1" applyAlignment="1">
      <alignment vertical="center"/>
    </xf>
    <xf numFmtId="0" fontId="27" fillId="0" borderId="24" xfId="0" applyFont="1" applyBorder="1" applyAlignment="1">
      <alignment horizontal="center"/>
    </xf>
    <xf numFmtId="0" fontId="27" fillId="32" borderId="24" xfId="0" applyFont="1" applyFill="1" applyBorder="1" applyAlignment="1">
      <alignment/>
    </xf>
    <xf numFmtId="0" fontId="32" fillId="0" borderId="24" xfId="0" applyFont="1" applyBorder="1" applyAlignment="1">
      <alignment/>
    </xf>
    <xf numFmtId="0" fontId="27" fillId="0" borderId="24" xfId="0" applyFont="1" applyFill="1" applyBorder="1" applyAlignment="1">
      <alignment/>
    </xf>
    <xf numFmtId="0" fontId="27" fillId="0" borderId="0" xfId="0" applyFont="1" applyFill="1" applyAlignment="1">
      <alignment/>
    </xf>
    <xf numFmtId="0" fontId="27" fillId="7" borderId="24" xfId="0" applyFont="1" applyFill="1" applyBorder="1" applyAlignment="1">
      <alignment/>
    </xf>
    <xf numFmtId="3" fontId="3" fillId="0" borderId="24" xfId="0" applyNumberFormat="1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left" vertical="center"/>
    </xf>
    <xf numFmtId="49" fontId="27" fillId="0" borderId="24" xfId="61" applyNumberFormat="1" applyFont="1" applyBorder="1" applyAlignment="1">
      <alignment vertical="center"/>
      <protection/>
    </xf>
    <xf numFmtId="0" fontId="27" fillId="0" borderId="24" xfId="61" applyFont="1" applyBorder="1">
      <alignment/>
      <protection/>
    </xf>
    <xf numFmtId="0" fontId="27" fillId="0" borderId="17" xfId="61" applyFont="1" applyBorder="1" applyAlignment="1">
      <alignment wrapText="1"/>
      <protection/>
    </xf>
    <xf numFmtId="3" fontId="27" fillId="0" borderId="27" xfId="61" applyNumberFormat="1" applyFont="1" applyBorder="1">
      <alignment/>
      <protection/>
    </xf>
    <xf numFmtId="3" fontId="27" fillId="0" borderId="24" xfId="61" applyNumberFormat="1" applyFont="1" applyBorder="1">
      <alignment/>
      <protection/>
    </xf>
    <xf numFmtId="3" fontId="27" fillId="0" borderId="13" xfId="61" applyNumberFormat="1" applyFont="1" applyBorder="1">
      <alignment/>
      <protection/>
    </xf>
    <xf numFmtId="3" fontId="27" fillId="0" borderId="20" xfId="61" applyNumberFormat="1" applyFont="1" applyBorder="1">
      <alignment/>
      <protection/>
    </xf>
    <xf numFmtId="3" fontId="27" fillId="0" borderId="0" xfId="61" applyNumberFormat="1" applyFont="1">
      <alignment/>
      <protection/>
    </xf>
    <xf numFmtId="0" fontId="27" fillId="0" borderId="0" xfId="61" applyFont="1">
      <alignment/>
      <protection/>
    </xf>
    <xf numFmtId="0" fontId="27" fillId="0" borderId="17" xfId="61" applyFont="1" applyBorder="1">
      <alignment/>
      <protection/>
    </xf>
    <xf numFmtId="3" fontId="27" fillId="0" borderId="24" xfId="61" applyNumberFormat="1" applyFont="1" applyFill="1" applyBorder="1">
      <alignment/>
      <protection/>
    </xf>
    <xf numFmtId="3" fontId="27" fillId="0" borderId="0" xfId="61" applyNumberFormat="1" applyFont="1" applyAlignment="1">
      <alignment vertical="center"/>
      <protection/>
    </xf>
    <xf numFmtId="0" fontId="27" fillId="0" borderId="0" xfId="61" applyFont="1" applyAlignment="1">
      <alignment vertical="center"/>
      <protection/>
    </xf>
    <xf numFmtId="49" fontId="27" fillId="0" borderId="24" xfId="61" applyNumberFormat="1" applyFont="1" applyBorder="1" applyAlignment="1">
      <alignment horizontal="center" vertical="center"/>
      <protection/>
    </xf>
    <xf numFmtId="3" fontId="19" fillId="0" borderId="0" xfId="61" applyNumberFormat="1" applyFont="1">
      <alignment/>
      <protection/>
    </xf>
    <xf numFmtId="3" fontId="27" fillId="0" borderId="27" xfId="61" applyNumberFormat="1" applyFont="1" applyFill="1" applyBorder="1">
      <alignment/>
      <protection/>
    </xf>
    <xf numFmtId="49" fontId="27" fillId="33" borderId="24" xfId="61" applyNumberFormat="1" applyFont="1" applyFill="1" applyBorder="1" applyAlignment="1">
      <alignment horizontal="center" vertical="center"/>
      <protection/>
    </xf>
    <xf numFmtId="0" fontId="27" fillId="33" borderId="24" xfId="61" applyFont="1" applyFill="1" applyBorder="1" applyAlignment="1">
      <alignment vertical="center"/>
      <protection/>
    </xf>
    <xf numFmtId="0" fontId="27" fillId="33" borderId="17" xfId="61" applyFont="1" applyFill="1" applyBorder="1" applyAlignment="1">
      <alignment vertical="center" wrapText="1"/>
      <protection/>
    </xf>
    <xf numFmtId="3" fontId="27" fillId="33" borderId="27" xfId="61" applyNumberFormat="1" applyFont="1" applyFill="1" applyBorder="1" applyAlignment="1">
      <alignment vertical="center"/>
      <protection/>
    </xf>
    <xf numFmtId="3" fontId="27" fillId="33" borderId="24" xfId="61" applyNumberFormat="1" applyFont="1" applyFill="1" applyBorder="1" applyAlignment="1">
      <alignment vertical="center"/>
      <protection/>
    </xf>
    <xf numFmtId="3" fontId="27" fillId="33" borderId="13" xfId="61" applyNumberFormat="1" applyFont="1" applyFill="1" applyBorder="1" applyAlignment="1">
      <alignment vertical="center"/>
      <protection/>
    </xf>
    <xf numFmtId="3" fontId="27" fillId="33" borderId="20" xfId="61" applyNumberFormat="1" applyFont="1" applyFill="1" applyBorder="1" applyAlignment="1">
      <alignment vertical="center"/>
      <protection/>
    </xf>
    <xf numFmtId="0" fontId="19" fillId="33" borderId="24" xfId="61" applyFill="1" applyBorder="1">
      <alignment/>
      <protection/>
    </xf>
    <xf numFmtId="3" fontId="19" fillId="33" borderId="27" xfId="61" applyNumberFormat="1" applyFill="1" applyBorder="1">
      <alignment/>
      <protection/>
    </xf>
    <xf numFmtId="3" fontId="19" fillId="33" borderId="24" xfId="61" applyNumberFormat="1" applyFill="1" applyBorder="1">
      <alignment/>
      <protection/>
    </xf>
    <xf numFmtId="3" fontId="27" fillId="33" borderId="13" xfId="61" applyNumberFormat="1" applyFont="1" applyFill="1" applyBorder="1">
      <alignment/>
      <protection/>
    </xf>
    <xf numFmtId="3" fontId="19" fillId="33" borderId="20" xfId="61" applyNumberFormat="1" applyFill="1" applyBorder="1">
      <alignment/>
      <protection/>
    </xf>
    <xf numFmtId="3" fontId="27" fillId="33" borderId="20" xfId="61" applyNumberFormat="1" applyFont="1" applyFill="1" applyBorder="1">
      <alignment/>
      <protection/>
    </xf>
    <xf numFmtId="0" fontId="27" fillId="33" borderId="24" xfId="61" applyFont="1" applyFill="1" applyBorder="1">
      <alignment/>
      <protection/>
    </xf>
    <xf numFmtId="3" fontId="27" fillId="33" borderId="27" xfId="61" applyNumberFormat="1" applyFont="1" applyFill="1" applyBorder="1">
      <alignment/>
      <protection/>
    </xf>
    <xf numFmtId="3" fontId="27" fillId="33" borderId="24" xfId="61" applyNumberFormat="1" applyFont="1" applyFill="1" applyBorder="1">
      <alignment/>
      <protection/>
    </xf>
    <xf numFmtId="4" fontId="27" fillId="33" borderId="27" xfId="61" applyNumberFormat="1" applyFont="1" applyFill="1" applyBorder="1">
      <alignment/>
      <protection/>
    </xf>
    <xf numFmtId="4" fontId="27" fillId="33" borderId="20" xfId="61" applyNumberFormat="1" applyFont="1" applyFill="1" applyBorder="1">
      <alignment/>
      <protection/>
    </xf>
    <xf numFmtId="49" fontId="5" fillId="0" borderId="0" xfId="60" applyNumberFormat="1" applyFont="1" applyFill="1" applyAlignment="1">
      <alignment horizontal="center" vertical="center"/>
      <protection/>
    </xf>
    <xf numFmtId="0" fontId="5" fillId="0" borderId="0" xfId="60" applyFont="1" applyFill="1" applyAlignment="1">
      <alignment vertical="center"/>
      <protection/>
    </xf>
    <xf numFmtId="0" fontId="44" fillId="0" borderId="0" xfId="60" applyFont="1" applyFill="1" applyAlignment="1">
      <alignment vertical="center"/>
      <protection/>
    </xf>
    <xf numFmtId="0" fontId="7" fillId="0" borderId="0" xfId="60" applyFont="1" applyFill="1" applyAlignment="1">
      <alignment horizontal="left" vertical="center"/>
      <protection/>
    </xf>
    <xf numFmtId="0" fontId="0" fillId="0" borderId="0" xfId="60" applyAlignment="1">
      <alignment horizontal="left"/>
      <protection/>
    </xf>
    <xf numFmtId="0" fontId="0" fillId="0" borderId="0" xfId="60" applyFill="1" applyAlignment="1">
      <alignment vertical="center"/>
      <protection/>
    </xf>
    <xf numFmtId="0" fontId="1" fillId="0" borderId="0" xfId="60" applyFont="1" applyFill="1" applyAlignment="1">
      <alignment vertical="center"/>
      <protection/>
    </xf>
    <xf numFmtId="0" fontId="1" fillId="0" borderId="0" xfId="60" applyFont="1" applyFill="1" applyAlignment="1">
      <alignment horizontal="left" vertical="center"/>
      <protection/>
    </xf>
    <xf numFmtId="0" fontId="3" fillId="0" borderId="33" xfId="60" applyFont="1" applyFill="1" applyBorder="1" applyAlignment="1">
      <alignment horizontal="center" vertical="center"/>
      <protection/>
    </xf>
    <xf numFmtId="49" fontId="5" fillId="0" borderId="27" xfId="60" applyNumberFormat="1" applyFont="1" applyFill="1" applyBorder="1" applyAlignment="1">
      <alignment horizontal="center" vertical="center"/>
      <protection/>
    </xf>
    <xf numFmtId="3" fontId="3" fillId="0" borderId="28" xfId="60" applyNumberFormat="1" applyFont="1" applyFill="1" applyBorder="1" applyAlignment="1">
      <alignment vertical="center" wrapText="1"/>
      <protection/>
    </xf>
    <xf numFmtId="3" fontId="5" fillId="0" borderId="20" xfId="60" applyNumberFormat="1" applyFont="1" applyFill="1" applyBorder="1" applyAlignment="1">
      <alignment vertical="center"/>
      <protection/>
    </xf>
    <xf numFmtId="3" fontId="5" fillId="0" borderId="24" xfId="60" applyNumberFormat="1" applyFont="1" applyFill="1" applyBorder="1" applyAlignment="1">
      <alignment vertical="center"/>
      <protection/>
    </xf>
    <xf numFmtId="0" fontId="4" fillId="0" borderId="24" xfId="60" applyFont="1" applyFill="1" applyBorder="1" applyAlignment="1">
      <alignment vertical="center" wrapText="1"/>
      <protection/>
    </xf>
    <xf numFmtId="3" fontId="3" fillId="0" borderId="11" xfId="60" applyNumberFormat="1" applyFont="1" applyFill="1" applyBorder="1" applyAlignment="1">
      <alignment vertical="center"/>
      <protection/>
    </xf>
    <xf numFmtId="3" fontId="49" fillId="0" borderId="20" xfId="60" applyNumberFormat="1" applyFont="1" applyFill="1" applyBorder="1" applyAlignment="1">
      <alignment vertical="center"/>
      <protection/>
    </xf>
    <xf numFmtId="0" fontId="4" fillId="0" borderId="34" xfId="60" applyFont="1" applyFill="1" applyBorder="1" applyAlignment="1">
      <alignment vertical="center" wrapText="1"/>
      <protection/>
    </xf>
    <xf numFmtId="3" fontId="3" fillId="0" borderId="11" xfId="60" applyNumberFormat="1" applyFont="1" applyFill="1" applyBorder="1" applyAlignment="1">
      <alignment vertical="center" wrapText="1"/>
      <protection/>
    </xf>
    <xf numFmtId="3" fontId="23" fillId="0" borderId="24" xfId="57" applyNumberFormat="1" applyFont="1" applyBorder="1" applyAlignment="1">
      <alignment vertical="center"/>
      <protection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0" fontId="32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27" fillId="32" borderId="24" xfId="0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4" fillId="0" borderId="0" xfId="0" applyFont="1" applyAlignment="1">
      <alignment horizontal="center"/>
    </xf>
    <xf numFmtId="0" fontId="25" fillId="0" borderId="3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/>
    </xf>
    <xf numFmtId="0" fontId="24" fillId="0" borderId="47" xfId="0" applyFont="1" applyBorder="1" applyAlignment="1">
      <alignment horizontal="center"/>
    </xf>
    <xf numFmtId="0" fontId="0" fillId="0" borderId="48" xfId="0" applyBorder="1" applyAlignment="1">
      <alignment/>
    </xf>
    <xf numFmtId="0" fontId="24" fillId="0" borderId="49" xfId="0" applyFont="1" applyBorder="1" applyAlignment="1">
      <alignment horizontal="center"/>
    </xf>
    <xf numFmtId="0" fontId="0" fillId="0" borderId="50" xfId="0" applyBorder="1" applyAlignment="1">
      <alignment/>
    </xf>
    <xf numFmtId="3" fontId="0" fillId="6" borderId="51" xfId="0" applyNumberFormat="1" applyFill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6" borderId="54" xfId="0" applyNumberFormat="1" applyFill="1" applyBorder="1" applyAlignment="1">
      <alignment/>
    </xf>
    <xf numFmtId="0" fontId="0" fillId="0" borderId="55" xfId="0" applyBorder="1" applyAlignment="1">
      <alignment/>
    </xf>
    <xf numFmtId="3" fontId="0" fillId="6" borderId="27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6" borderId="49" xfId="0" applyNumberFormat="1" applyFill="1" applyBorder="1" applyAlignment="1">
      <alignment/>
    </xf>
    <xf numFmtId="0" fontId="27" fillId="0" borderId="56" xfId="0" applyFont="1" applyBorder="1" applyAlignment="1">
      <alignment/>
    </xf>
    <xf numFmtId="3" fontId="27" fillId="6" borderId="57" xfId="0" applyNumberFormat="1" applyFont="1" applyFill="1" applyBorder="1" applyAlignment="1">
      <alignment/>
    </xf>
    <xf numFmtId="3" fontId="27" fillId="34" borderId="58" xfId="0" applyNumberFormat="1" applyFont="1" applyFill="1" applyBorder="1" applyAlignment="1">
      <alignment/>
    </xf>
    <xf numFmtId="3" fontId="27" fillId="34" borderId="59" xfId="0" applyNumberFormat="1" applyFont="1" applyFill="1" applyBorder="1" applyAlignment="1">
      <alignment/>
    </xf>
    <xf numFmtId="3" fontId="27" fillId="6" borderId="60" xfId="0" applyNumberFormat="1" applyFont="1" applyFill="1" applyBorder="1" applyAlignment="1">
      <alignment/>
    </xf>
    <xf numFmtId="3" fontId="27" fillId="6" borderId="56" xfId="0" applyNumberFormat="1" applyFont="1" applyFill="1" applyBorder="1" applyAlignment="1">
      <alignment/>
    </xf>
    <xf numFmtId="0" fontId="24" fillId="0" borderId="61" xfId="0" applyFont="1" applyBorder="1" applyAlignment="1">
      <alignment horizontal="center"/>
    </xf>
    <xf numFmtId="0" fontId="0" fillId="0" borderId="62" xfId="0" applyBorder="1" applyAlignment="1">
      <alignment horizontal="left"/>
    </xf>
    <xf numFmtId="0" fontId="0" fillId="0" borderId="26" xfId="0" applyBorder="1" applyAlignment="1">
      <alignment horizontal="center"/>
    </xf>
    <xf numFmtId="3" fontId="0" fillId="6" borderId="47" xfId="0" applyNumberFormat="1" applyFill="1" applyBorder="1" applyAlignment="1">
      <alignment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center"/>
    </xf>
    <xf numFmtId="3" fontId="0" fillId="6" borderId="39" xfId="0" applyNumberFormat="1" applyFill="1" applyBorder="1" applyAlignment="1">
      <alignment/>
    </xf>
    <xf numFmtId="3" fontId="0" fillId="6" borderId="31" xfId="0" applyNumberFormat="1" applyFill="1" applyBorder="1" applyAlignment="1">
      <alignment/>
    </xf>
    <xf numFmtId="0" fontId="0" fillId="0" borderId="34" xfId="0" applyBorder="1" applyAlignment="1">
      <alignment horizontal="center"/>
    </xf>
    <xf numFmtId="3" fontId="0" fillId="6" borderId="61" xfId="0" applyNumberFormat="1" applyFill="1" applyBorder="1" applyAlignment="1">
      <alignment/>
    </xf>
    <xf numFmtId="0" fontId="24" fillId="0" borderId="44" xfId="0" applyFont="1" applyBorder="1" applyAlignment="1">
      <alignment horizontal="center" vertical="center"/>
    </xf>
    <xf numFmtId="0" fontId="27" fillId="0" borderId="65" xfId="0" applyFont="1" applyBorder="1" applyAlignment="1">
      <alignment/>
    </xf>
    <xf numFmtId="3" fontId="27" fillId="6" borderId="65" xfId="0" applyNumberFormat="1" applyFont="1" applyFill="1" applyBorder="1" applyAlignment="1">
      <alignment/>
    </xf>
    <xf numFmtId="3" fontId="27" fillId="34" borderId="66" xfId="0" applyNumberFormat="1" applyFont="1" applyFill="1" applyBorder="1" applyAlignment="1">
      <alignment/>
    </xf>
    <xf numFmtId="3" fontId="27" fillId="6" borderId="67" xfId="0" applyNumberFormat="1" applyFont="1" applyFill="1" applyBorder="1" applyAlignment="1">
      <alignment/>
    </xf>
    <xf numFmtId="3" fontId="27" fillId="6" borderId="68" xfId="0" applyNumberFormat="1" applyFont="1" applyFill="1" applyBorder="1" applyAlignment="1">
      <alignment/>
    </xf>
    <xf numFmtId="0" fontId="24" fillId="0" borderId="39" xfId="0" applyFont="1" applyBorder="1" applyAlignment="1">
      <alignment horizontal="center" vertical="center"/>
    </xf>
    <xf numFmtId="0" fontId="24" fillId="0" borderId="69" xfId="0" applyFont="1" applyBorder="1" applyAlignment="1">
      <alignment horizontal="center"/>
    </xf>
    <xf numFmtId="0" fontId="0" fillId="0" borderId="70" xfId="0" applyBorder="1" applyAlignment="1">
      <alignment/>
    </xf>
    <xf numFmtId="0" fontId="24" fillId="0" borderId="49" xfId="0" applyFont="1" applyBorder="1" applyAlignment="1">
      <alignment horizontal="center" vertical="center"/>
    </xf>
    <xf numFmtId="3" fontId="27" fillId="6" borderId="71" xfId="0" applyNumberFormat="1" applyFont="1" applyFill="1" applyBorder="1" applyAlignment="1">
      <alignment/>
    </xf>
    <xf numFmtId="3" fontId="0" fillId="0" borderId="29" xfId="0" applyNumberFormat="1" applyBorder="1" applyAlignment="1">
      <alignment/>
    </xf>
    <xf numFmtId="3" fontId="0" fillId="6" borderId="71" xfId="0" applyNumberFormat="1" applyFill="1" applyBorder="1" applyAlignment="1">
      <alignment/>
    </xf>
    <xf numFmtId="0" fontId="0" fillId="0" borderId="51" xfId="0" applyBorder="1" applyAlignment="1">
      <alignment horizontal="left"/>
    </xf>
    <xf numFmtId="0" fontId="0" fillId="0" borderId="5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2" xfId="0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0" fontId="24" fillId="0" borderId="44" xfId="0" applyFont="1" applyBorder="1" applyAlignment="1">
      <alignment horizontal="center"/>
    </xf>
    <xf numFmtId="0" fontId="27" fillId="0" borderId="68" xfId="0" applyFont="1" applyBorder="1" applyAlignment="1">
      <alignment/>
    </xf>
    <xf numFmtId="0" fontId="24" fillId="0" borderId="39" xfId="0" applyFont="1" applyBorder="1" applyAlignment="1">
      <alignment horizontal="center"/>
    </xf>
    <xf numFmtId="0" fontId="27" fillId="0" borderId="40" xfId="0" applyFont="1" applyBorder="1" applyAlignment="1">
      <alignment/>
    </xf>
    <xf numFmtId="3" fontId="27" fillId="34" borderId="0" xfId="0" applyNumberFormat="1" applyFont="1" applyFill="1" applyBorder="1" applyAlignment="1">
      <alignment/>
    </xf>
    <xf numFmtId="0" fontId="0" fillId="0" borderId="73" xfId="0" applyBorder="1" applyAlignment="1">
      <alignment/>
    </xf>
    <xf numFmtId="0" fontId="5" fillId="0" borderId="24" xfId="0" applyFont="1" applyBorder="1" applyAlignment="1">
      <alignment/>
    </xf>
    <xf numFmtId="3" fontId="5" fillId="0" borderId="24" xfId="0" applyNumberFormat="1" applyFont="1" applyBorder="1" applyAlignment="1">
      <alignment/>
    </xf>
    <xf numFmtId="0" fontId="58" fillId="0" borderId="24" xfId="0" applyFont="1" applyBorder="1" applyAlignment="1">
      <alignment/>
    </xf>
    <xf numFmtId="3" fontId="58" fillId="0" borderId="24" xfId="0" applyNumberFormat="1" applyFont="1" applyBorder="1" applyAlignment="1">
      <alignment/>
    </xf>
    <xf numFmtId="3" fontId="61" fillId="0" borderId="24" xfId="0" applyNumberFormat="1" applyFont="1" applyBorder="1" applyAlignment="1">
      <alignment/>
    </xf>
    <xf numFmtId="0" fontId="3" fillId="0" borderId="24" xfId="0" applyFont="1" applyBorder="1" applyAlignment="1">
      <alignment/>
    </xf>
    <xf numFmtId="3" fontId="3" fillId="0" borderId="24" xfId="0" applyNumberFormat="1" applyFont="1" applyBorder="1" applyAlignment="1">
      <alignment/>
    </xf>
    <xf numFmtId="0" fontId="50" fillId="0" borderId="24" xfId="0" applyFont="1" applyBorder="1" applyAlignment="1">
      <alignment horizontal="left"/>
    </xf>
    <xf numFmtId="0" fontId="50" fillId="0" borderId="24" xfId="0" applyFont="1" applyBorder="1" applyAlignment="1">
      <alignment/>
    </xf>
    <xf numFmtId="3" fontId="50" fillId="0" borderId="24" xfId="0" applyNumberFormat="1" applyFont="1" applyBorder="1" applyAlignment="1">
      <alignment/>
    </xf>
    <xf numFmtId="0" fontId="0" fillId="0" borderId="24" xfId="0" applyBorder="1" applyAlignment="1">
      <alignment/>
    </xf>
    <xf numFmtId="3" fontId="62" fillId="0" borderId="24" xfId="0" applyNumberFormat="1" applyFont="1" applyBorder="1" applyAlignment="1">
      <alignment/>
    </xf>
    <xf numFmtId="0" fontId="50" fillId="0" borderId="24" xfId="0" applyFont="1" applyFill="1" applyBorder="1" applyAlignment="1">
      <alignment/>
    </xf>
    <xf numFmtId="0" fontId="50" fillId="0" borderId="24" xfId="0" applyFont="1" applyFill="1" applyBorder="1" applyAlignment="1">
      <alignment horizontal="left"/>
    </xf>
    <xf numFmtId="0" fontId="63" fillId="0" borderId="24" xfId="0" applyFont="1" applyBorder="1" applyAlignment="1">
      <alignment/>
    </xf>
    <xf numFmtId="0" fontId="50" fillId="0" borderId="24" xfId="0" applyFont="1" applyBorder="1" applyAlignment="1">
      <alignment horizontal="left" wrapText="1"/>
    </xf>
    <xf numFmtId="0" fontId="69" fillId="0" borderId="0" xfId="0" applyFont="1" applyAlignment="1">
      <alignment/>
    </xf>
    <xf numFmtId="3" fontId="16" fillId="0" borderId="24" xfId="0" applyNumberFormat="1" applyFont="1" applyBorder="1" applyAlignment="1">
      <alignment/>
    </xf>
    <xf numFmtId="3" fontId="6" fillId="0" borderId="24" xfId="0" applyNumberFormat="1" applyFont="1" applyBorder="1" applyAlignment="1">
      <alignment/>
    </xf>
    <xf numFmtId="3" fontId="64" fillId="0" borderId="24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0" fontId="70" fillId="0" borderId="24" xfId="0" applyFont="1" applyBorder="1" applyAlignment="1">
      <alignment/>
    </xf>
    <xf numFmtId="3" fontId="70" fillId="0" borderId="24" xfId="0" applyNumberFormat="1" applyFont="1" applyBorder="1" applyAlignment="1">
      <alignment/>
    </xf>
    <xf numFmtId="0" fontId="71" fillId="0" borderId="0" xfId="0" applyFont="1" applyAlignment="1">
      <alignment/>
    </xf>
    <xf numFmtId="0" fontId="72" fillId="0" borderId="24" xfId="0" applyFont="1" applyBorder="1" applyAlignment="1">
      <alignment/>
    </xf>
    <xf numFmtId="3" fontId="44" fillId="0" borderId="24" xfId="0" applyNumberFormat="1" applyFont="1" applyFill="1" applyBorder="1" applyAlignment="1">
      <alignment vertical="center"/>
    </xf>
    <xf numFmtId="3" fontId="44" fillId="0" borderId="24" xfId="0" applyNumberFormat="1" applyFont="1" applyFill="1" applyBorder="1" applyAlignment="1">
      <alignment horizontal="right" vertical="center" wrapText="1"/>
    </xf>
    <xf numFmtId="49" fontId="5" fillId="0" borderId="27" xfId="60" applyNumberFormat="1" applyFont="1" applyFill="1" applyBorder="1" applyAlignment="1">
      <alignment horizontal="center" vertical="center"/>
      <protection/>
    </xf>
    <xf numFmtId="3" fontId="3" fillId="0" borderId="51" xfId="60" applyNumberFormat="1" applyFont="1" applyFill="1" applyBorder="1" applyAlignment="1">
      <alignment vertical="center" wrapText="1"/>
      <protection/>
    </xf>
    <xf numFmtId="3" fontId="3" fillId="0" borderId="53" xfId="60" applyNumberFormat="1" applyFont="1" applyFill="1" applyBorder="1" applyAlignment="1">
      <alignment vertical="center" wrapText="1"/>
      <protection/>
    </xf>
    <xf numFmtId="3" fontId="3" fillId="0" borderId="10" xfId="60" applyNumberFormat="1" applyFont="1" applyFill="1" applyBorder="1" applyAlignment="1">
      <alignment vertical="center" wrapText="1"/>
      <protection/>
    </xf>
    <xf numFmtId="3" fontId="3" fillId="0" borderId="27" xfId="60" applyNumberFormat="1" applyFont="1" applyFill="1" applyBorder="1" applyAlignment="1">
      <alignment vertical="center" wrapText="1"/>
      <protection/>
    </xf>
    <xf numFmtId="3" fontId="3" fillId="0" borderId="24" xfId="60" applyNumberFormat="1" applyFont="1" applyFill="1" applyBorder="1" applyAlignment="1">
      <alignment vertical="center" wrapText="1"/>
      <protection/>
    </xf>
    <xf numFmtId="3" fontId="3" fillId="0" borderId="13" xfId="60" applyNumberFormat="1" applyFont="1" applyFill="1" applyBorder="1" applyAlignment="1">
      <alignment vertical="center" wrapText="1"/>
      <protection/>
    </xf>
    <xf numFmtId="3" fontId="3" fillId="0" borderId="27" xfId="60" applyNumberFormat="1" applyFont="1" applyFill="1" applyBorder="1" applyAlignment="1">
      <alignment vertical="center"/>
      <protection/>
    </xf>
    <xf numFmtId="3" fontId="3" fillId="0" borderId="24" xfId="60" applyNumberFormat="1" applyFont="1" applyFill="1" applyBorder="1" applyAlignment="1">
      <alignment vertical="center"/>
      <protection/>
    </xf>
    <xf numFmtId="3" fontId="58" fillId="0" borderId="27" xfId="60" applyNumberFormat="1" applyFont="1" applyFill="1" applyBorder="1" applyAlignment="1">
      <alignment vertical="center"/>
      <protection/>
    </xf>
    <xf numFmtId="3" fontId="58" fillId="0" borderId="24" xfId="60" applyNumberFormat="1" applyFont="1" applyFill="1" applyBorder="1" applyAlignment="1">
      <alignment vertical="center"/>
      <protection/>
    </xf>
    <xf numFmtId="3" fontId="48" fillId="0" borderId="24" xfId="60" applyNumberFormat="1" applyFont="1" applyFill="1" applyBorder="1" applyAlignment="1">
      <alignment vertical="center"/>
      <protection/>
    </xf>
    <xf numFmtId="3" fontId="50" fillId="0" borderId="24" xfId="60" applyNumberFormat="1" applyFont="1" applyFill="1" applyBorder="1" applyAlignment="1">
      <alignment vertical="center" wrapText="1"/>
      <protection/>
    </xf>
    <xf numFmtId="3" fontId="3" fillId="0" borderId="20" xfId="60" applyNumberFormat="1" applyFont="1" applyFill="1" applyBorder="1" applyAlignment="1">
      <alignment vertical="center" wrapText="1"/>
      <protection/>
    </xf>
    <xf numFmtId="3" fontId="3" fillId="0" borderId="20" xfId="60" applyNumberFormat="1" applyFont="1" applyFill="1" applyBorder="1" applyAlignment="1">
      <alignment vertical="center"/>
      <protection/>
    </xf>
    <xf numFmtId="3" fontId="58" fillId="0" borderId="20" xfId="60" applyNumberFormat="1" applyFont="1" applyFill="1" applyBorder="1" applyAlignment="1">
      <alignment vertical="center"/>
      <protection/>
    </xf>
    <xf numFmtId="3" fontId="48" fillId="0" borderId="20" xfId="60" applyNumberFormat="1" applyFont="1" applyFill="1" applyBorder="1" applyAlignment="1">
      <alignment vertical="center"/>
      <protection/>
    </xf>
    <xf numFmtId="3" fontId="50" fillId="0" borderId="20" xfId="60" applyNumberFormat="1" applyFont="1" applyFill="1" applyBorder="1" applyAlignment="1">
      <alignment vertical="center" wrapText="1"/>
      <protection/>
    </xf>
    <xf numFmtId="3" fontId="3" fillId="0" borderId="32" xfId="60" applyNumberFormat="1" applyFont="1" applyFill="1" applyBorder="1" applyAlignment="1">
      <alignment vertical="center" wrapText="1"/>
      <protection/>
    </xf>
    <xf numFmtId="3" fontId="3" fillId="0" borderId="74" xfId="60" applyNumberFormat="1" applyFont="1" applyFill="1" applyBorder="1" applyAlignment="1">
      <alignment vertical="center" wrapText="1"/>
      <protection/>
    </xf>
    <xf numFmtId="3" fontId="3" fillId="0" borderId="27" xfId="60" applyNumberFormat="1" applyFont="1" applyFill="1" applyBorder="1" applyAlignment="1">
      <alignment vertical="center" wrapText="1"/>
      <protection/>
    </xf>
    <xf numFmtId="3" fontId="3" fillId="0" borderId="24" xfId="60" applyNumberFormat="1" applyFont="1" applyFill="1" applyBorder="1" applyAlignment="1">
      <alignment vertical="center" wrapText="1"/>
      <protection/>
    </xf>
    <xf numFmtId="3" fontId="51" fillId="0" borderId="75" xfId="60" applyNumberFormat="1" applyFont="1" applyFill="1" applyBorder="1" applyAlignment="1">
      <alignment vertical="center"/>
      <protection/>
    </xf>
    <xf numFmtId="3" fontId="3" fillId="0" borderId="12" xfId="60" applyNumberFormat="1" applyFont="1" applyFill="1" applyBorder="1" applyAlignment="1">
      <alignment vertical="center" wrapText="1"/>
      <protection/>
    </xf>
    <xf numFmtId="0" fontId="4" fillId="0" borderId="32" xfId="60" applyFont="1" applyFill="1" applyBorder="1" applyAlignment="1">
      <alignment horizontal="center" vertical="center" wrapText="1"/>
      <protection/>
    </xf>
    <xf numFmtId="49" fontId="5" fillId="0" borderId="63" xfId="60" applyNumberFormat="1" applyFont="1" applyFill="1" applyBorder="1" applyAlignment="1">
      <alignment horizontal="center" vertical="center"/>
      <protection/>
    </xf>
    <xf numFmtId="3" fontId="3" fillId="0" borderId="63" xfId="60" applyNumberFormat="1" applyFont="1" applyFill="1" applyBorder="1" applyAlignment="1">
      <alignment vertical="center" wrapText="1"/>
      <protection/>
    </xf>
    <xf numFmtId="3" fontId="3" fillId="0" borderId="34" xfId="60" applyNumberFormat="1" applyFont="1" applyFill="1" applyBorder="1" applyAlignment="1">
      <alignment vertical="center" wrapText="1"/>
      <protection/>
    </xf>
    <xf numFmtId="3" fontId="3" fillId="0" borderId="76" xfId="60" applyNumberFormat="1" applyFont="1" applyFill="1" applyBorder="1" applyAlignment="1">
      <alignment vertical="center" wrapText="1"/>
      <protection/>
    </xf>
    <xf numFmtId="3" fontId="51" fillId="0" borderId="60" xfId="60" applyNumberFormat="1" applyFont="1" applyFill="1" applyBorder="1" applyAlignment="1">
      <alignment vertical="center"/>
      <protection/>
    </xf>
    <xf numFmtId="3" fontId="3" fillId="0" borderId="51" xfId="60" applyNumberFormat="1" applyFont="1" applyFill="1" applyBorder="1" applyAlignment="1">
      <alignment vertical="center"/>
      <protection/>
    </xf>
    <xf numFmtId="3" fontId="3" fillId="0" borderId="53" xfId="60" applyNumberFormat="1" applyFont="1" applyFill="1" applyBorder="1" applyAlignment="1">
      <alignment vertical="center"/>
      <protection/>
    </xf>
    <xf numFmtId="3" fontId="52" fillId="0" borderId="75" xfId="60" applyNumberFormat="1" applyFont="1" applyFill="1" applyBorder="1" applyAlignment="1">
      <alignment vertical="center"/>
      <protection/>
    </xf>
    <xf numFmtId="3" fontId="51" fillId="0" borderId="57" xfId="60" applyNumberFormat="1" applyFont="1" applyFill="1" applyBorder="1" applyAlignment="1">
      <alignment horizontal="right" vertical="center"/>
      <protection/>
    </xf>
    <xf numFmtId="0" fontId="0" fillId="0" borderId="0" xfId="0" applyAlignment="1">
      <alignment horizontal="right"/>
    </xf>
    <xf numFmtId="0" fontId="27" fillId="0" borderId="77" xfId="59" applyFont="1" applyBorder="1" applyAlignment="1">
      <alignment horizontal="center"/>
      <protection/>
    </xf>
    <xf numFmtId="0" fontId="27" fillId="0" borderId="33" xfId="59" applyFont="1" applyBorder="1">
      <alignment/>
      <protection/>
    </xf>
    <xf numFmtId="0" fontId="1" fillId="0" borderId="78" xfId="60" applyFont="1" applyFill="1" applyBorder="1" applyAlignment="1">
      <alignment horizontal="center" vertical="center" wrapText="1"/>
      <protection/>
    </xf>
    <xf numFmtId="0" fontId="27" fillId="0" borderId="79" xfId="59" applyFont="1" applyBorder="1" applyAlignment="1">
      <alignment horizontal="center"/>
      <protection/>
    </xf>
    <xf numFmtId="0" fontId="27" fillId="0" borderId="21" xfId="59" applyFont="1" applyBorder="1">
      <alignment/>
      <protection/>
    </xf>
    <xf numFmtId="0" fontId="1" fillId="0" borderId="33" xfId="60" applyFont="1" applyFill="1" applyBorder="1" applyAlignment="1">
      <alignment horizontal="center" vertical="center" wrapText="1"/>
      <protection/>
    </xf>
    <xf numFmtId="0" fontId="27" fillId="0" borderId="80" xfId="59" applyFont="1" applyBorder="1" applyAlignment="1">
      <alignment horizontal="center"/>
      <protection/>
    </xf>
    <xf numFmtId="0" fontId="27" fillId="0" borderId="58" xfId="59" applyFont="1" applyBorder="1">
      <alignment/>
      <protection/>
    </xf>
    <xf numFmtId="0" fontId="1" fillId="0" borderId="81" xfId="60" applyFont="1" applyFill="1" applyBorder="1" applyAlignment="1">
      <alignment horizontal="center" vertical="center" wrapText="1"/>
      <protection/>
    </xf>
    <xf numFmtId="0" fontId="32" fillId="0" borderId="82" xfId="59" applyFont="1" applyBorder="1">
      <alignment/>
      <protection/>
    </xf>
    <xf numFmtId="0" fontId="32" fillId="0" borderId="0" xfId="59" applyFont="1" applyBorder="1">
      <alignment/>
      <protection/>
    </xf>
    <xf numFmtId="0" fontId="32" fillId="0" borderId="83" xfId="59" applyFont="1" applyBorder="1">
      <alignment/>
      <protection/>
    </xf>
    <xf numFmtId="0" fontId="32" fillId="0" borderId="84" xfId="59" applyFont="1" applyBorder="1">
      <alignment/>
      <protection/>
    </xf>
    <xf numFmtId="0" fontId="32" fillId="0" borderId="85" xfId="59" applyFont="1" applyBorder="1">
      <alignment/>
      <protection/>
    </xf>
    <xf numFmtId="3" fontId="32" fillId="0" borderId="36" xfId="59" applyNumberFormat="1" applyFont="1" applyBorder="1">
      <alignment/>
      <protection/>
    </xf>
    <xf numFmtId="0" fontId="32" fillId="0" borderId="40" xfId="59" applyFont="1" applyBorder="1" applyAlignment="1">
      <alignment horizontal="left"/>
      <protection/>
    </xf>
    <xf numFmtId="0" fontId="32" fillId="0" borderId="0" xfId="59" applyFont="1" applyBorder="1" applyAlignment="1">
      <alignment horizontal="left"/>
      <protection/>
    </xf>
    <xf numFmtId="3" fontId="32" fillId="0" borderId="0" xfId="59" applyNumberFormat="1" applyFont="1" applyBorder="1">
      <alignment/>
      <protection/>
    </xf>
    <xf numFmtId="3" fontId="31" fillId="0" borderId="86" xfId="59" applyNumberFormat="1" applyFont="1" applyBorder="1" applyAlignment="1">
      <alignment horizontal="right" vertical="center"/>
      <protection/>
    </xf>
    <xf numFmtId="3" fontId="31" fillId="0" borderId="64" xfId="59" applyNumberFormat="1" applyFont="1" applyBorder="1" applyAlignment="1">
      <alignment horizontal="right" vertical="center"/>
      <protection/>
    </xf>
    <xf numFmtId="3" fontId="31" fillId="0" borderId="0" xfId="59" applyNumberFormat="1" applyFont="1" applyBorder="1" applyAlignment="1">
      <alignment horizontal="right" vertical="center"/>
      <protection/>
    </xf>
    <xf numFmtId="0" fontId="16" fillId="0" borderId="86" xfId="60" applyFont="1" applyFill="1" applyBorder="1" applyAlignment="1">
      <alignment horizontal="center" vertical="center" wrapText="1"/>
      <protection/>
    </xf>
    <xf numFmtId="0" fontId="16" fillId="0" borderId="64" xfId="60" applyFont="1" applyFill="1" applyBorder="1" applyAlignment="1">
      <alignment horizontal="center" vertical="center" wrapText="1"/>
      <protection/>
    </xf>
    <xf numFmtId="0" fontId="16" fillId="0" borderId="87" xfId="60" applyFont="1" applyFill="1" applyBorder="1" applyAlignment="1">
      <alignment horizontal="center" vertical="center" wrapText="1"/>
      <protection/>
    </xf>
    <xf numFmtId="3" fontId="31" fillId="0" borderId="82" xfId="59" applyNumberFormat="1" applyFont="1" applyBorder="1" applyAlignment="1">
      <alignment horizontal="right" vertical="center"/>
      <protection/>
    </xf>
    <xf numFmtId="3" fontId="32" fillId="0" borderId="88" xfId="59" applyNumberFormat="1" applyFont="1" applyBorder="1">
      <alignment/>
      <protection/>
    </xf>
    <xf numFmtId="0" fontId="32" fillId="0" borderId="64" xfId="59" applyFont="1" applyBorder="1">
      <alignment/>
      <protection/>
    </xf>
    <xf numFmtId="0" fontId="54" fillId="0" borderId="85" xfId="59" applyFont="1" applyBorder="1" applyAlignment="1">
      <alignment horizontal="right" vertical="center"/>
      <protection/>
    </xf>
    <xf numFmtId="0" fontId="55" fillId="0" borderId="82" xfId="59" applyFont="1" applyBorder="1" applyAlignment="1">
      <alignment horizontal="right"/>
      <protection/>
    </xf>
    <xf numFmtId="0" fontId="55" fillId="0" borderId="0" xfId="59" applyFont="1" applyBorder="1" applyAlignment="1">
      <alignment horizontal="right"/>
      <protection/>
    </xf>
    <xf numFmtId="0" fontId="55" fillId="0" borderId="84" xfId="59" applyFont="1" applyBorder="1" applyAlignment="1">
      <alignment horizontal="right"/>
      <protection/>
    </xf>
    <xf numFmtId="3" fontId="27" fillId="0" borderId="84" xfId="59" applyNumberFormat="1" applyFont="1" applyBorder="1" applyAlignment="1">
      <alignment horizontal="right"/>
      <protection/>
    </xf>
    <xf numFmtId="3" fontId="27" fillId="0" borderId="0" xfId="59" applyNumberFormat="1" applyFont="1" applyBorder="1">
      <alignment/>
      <protection/>
    </xf>
    <xf numFmtId="3" fontId="27" fillId="0" borderId="85" xfId="59" applyNumberFormat="1" applyFont="1" applyBorder="1">
      <alignment/>
      <protection/>
    </xf>
    <xf numFmtId="3" fontId="54" fillId="0" borderId="82" xfId="59" applyNumberFormat="1" applyFont="1" applyBorder="1" applyAlignment="1">
      <alignment horizontal="right" vertical="center"/>
      <protection/>
    </xf>
    <xf numFmtId="3" fontId="54" fillId="0" borderId="64" xfId="59" applyNumberFormat="1" applyFont="1" applyBorder="1" applyAlignment="1">
      <alignment horizontal="right" vertical="center"/>
      <protection/>
    </xf>
    <xf numFmtId="3" fontId="32" fillId="0" borderId="82" xfId="59" applyNumberFormat="1" applyFont="1" applyBorder="1">
      <alignment/>
      <protection/>
    </xf>
    <xf numFmtId="3" fontId="32" fillId="0" borderId="64" xfId="59" applyNumberFormat="1" applyFont="1" applyBorder="1">
      <alignment/>
      <protection/>
    </xf>
    <xf numFmtId="3" fontId="54" fillId="0" borderId="85" xfId="59" applyNumberFormat="1" applyFont="1" applyBorder="1" applyAlignment="1">
      <alignment horizontal="right" vertical="center"/>
      <protection/>
    </xf>
    <xf numFmtId="0" fontId="32" fillId="0" borderId="82" xfId="59" applyFont="1" applyBorder="1" applyAlignment="1">
      <alignment horizontal="right"/>
      <protection/>
    </xf>
    <xf numFmtId="0" fontId="32" fillId="0" borderId="0" xfId="59" applyFont="1" applyBorder="1" applyAlignment="1">
      <alignment horizontal="right"/>
      <protection/>
    </xf>
    <xf numFmtId="0" fontId="32" fillId="0" borderId="84" xfId="59" applyFont="1" applyBorder="1" applyAlignment="1">
      <alignment horizontal="right"/>
      <protection/>
    </xf>
    <xf numFmtId="0" fontId="32" fillId="0" borderId="82" xfId="59" applyFont="1" applyBorder="1" applyAlignment="1">
      <alignment horizontal="left"/>
      <protection/>
    </xf>
    <xf numFmtId="0" fontId="54" fillId="0" borderId="85" xfId="59" applyFont="1" applyBorder="1">
      <alignment/>
      <protection/>
    </xf>
    <xf numFmtId="3" fontId="54" fillId="0" borderId="82" xfId="59" applyNumberFormat="1" applyFont="1" applyBorder="1">
      <alignment/>
      <protection/>
    </xf>
    <xf numFmtId="3" fontId="54" fillId="0" borderId="64" xfId="59" applyNumberFormat="1" applyFont="1" applyBorder="1">
      <alignment/>
      <protection/>
    </xf>
    <xf numFmtId="3" fontId="54" fillId="0" borderId="88" xfId="59" applyNumberFormat="1" applyFont="1" applyBorder="1">
      <alignment/>
      <protection/>
    </xf>
    <xf numFmtId="3" fontId="54" fillId="0" borderId="85" xfId="59" applyNumberFormat="1" applyFont="1" applyBorder="1">
      <alignment/>
      <protection/>
    </xf>
    <xf numFmtId="0" fontId="19" fillId="0" borderId="82" xfId="59" applyBorder="1" applyAlignment="1">
      <alignment horizontal="right"/>
      <protection/>
    </xf>
    <xf numFmtId="0" fontId="19" fillId="0" borderId="0" xfId="59" applyBorder="1" applyAlignment="1">
      <alignment horizontal="right"/>
      <protection/>
    </xf>
    <xf numFmtId="0" fontId="19" fillId="0" borderId="84" xfId="59" applyBorder="1" applyAlignment="1">
      <alignment horizontal="right"/>
      <protection/>
    </xf>
    <xf numFmtId="0" fontId="19" fillId="0" borderId="0" xfId="59" applyBorder="1">
      <alignment/>
      <protection/>
    </xf>
    <xf numFmtId="0" fontId="19" fillId="0" borderId="85" xfId="59" applyBorder="1">
      <alignment/>
      <protection/>
    </xf>
    <xf numFmtId="3" fontId="32" fillId="0" borderId="0" xfId="59" applyNumberFormat="1" applyFont="1" applyFill="1" applyBorder="1">
      <alignment/>
      <protection/>
    </xf>
    <xf numFmtId="3" fontId="32" fillId="0" borderId="48" xfId="59" applyNumberFormat="1" applyFont="1" applyFill="1" applyBorder="1">
      <alignment/>
      <protection/>
    </xf>
    <xf numFmtId="3" fontId="32" fillId="0" borderId="89" xfId="59" applyNumberFormat="1" applyFont="1" applyBorder="1">
      <alignment/>
      <protection/>
    </xf>
    <xf numFmtId="3" fontId="32" fillId="0" borderId="89" xfId="59" applyNumberFormat="1" applyFont="1" applyFill="1" applyBorder="1">
      <alignment/>
      <protection/>
    </xf>
    <xf numFmtId="0" fontId="19" fillId="0" borderId="82" xfId="59" applyBorder="1">
      <alignment/>
      <protection/>
    </xf>
    <xf numFmtId="0" fontId="32" fillId="0" borderId="0" xfId="59" applyFont="1" applyBorder="1" applyAlignment="1">
      <alignment horizontal="center"/>
      <protection/>
    </xf>
    <xf numFmtId="0" fontId="55" fillId="0" borderId="90" xfId="59" applyFont="1" applyBorder="1" applyAlignment="1">
      <alignment horizontal="right"/>
      <protection/>
    </xf>
    <xf numFmtId="3" fontId="27" fillId="0" borderId="91" xfId="59" applyNumberFormat="1" applyFont="1" applyBorder="1" applyAlignment="1">
      <alignment horizontal="right"/>
      <protection/>
    </xf>
    <xf numFmtId="3" fontId="27" fillId="0" borderId="38" xfId="59" applyNumberFormat="1" applyFont="1" applyBorder="1">
      <alignment/>
      <protection/>
    </xf>
    <xf numFmtId="3" fontId="27" fillId="0" borderId="92" xfId="59" applyNumberFormat="1" applyFont="1" applyBorder="1">
      <alignment/>
      <protection/>
    </xf>
    <xf numFmtId="3" fontId="31" fillId="0" borderId="46" xfId="59" applyNumberFormat="1" applyFont="1" applyBorder="1">
      <alignment/>
      <protection/>
    </xf>
    <xf numFmtId="3" fontId="55" fillId="0" borderId="38" xfId="59" applyNumberFormat="1" applyFont="1" applyFill="1" applyBorder="1">
      <alignment/>
      <protection/>
    </xf>
    <xf numFmtId="3" fontId="31" fillId="0" borderId="90" xfId="59" applyNumberFormat="1" applyFont="1" applyBorder="1">
      <alignment/>
      <protection/>
    </xf>
    <xf numFmtId="3" fontId="54" fillId="0" borderId="93" xfId="59" applyNumberFormat="1" applyFont="1" applyBorder="1">
      <alignment/>
      <protection/>
    </xf>
    <xf numFmtId="3" fontId="54" fillId="0" borderId="91" xfId="59" applyNumberFormat="1" applyFont="1" applyBorder="1">
      <alignment/>
      <protection/>
    </xf>
    <xf numFmtId="3" fontId="54" fillId="0" borderId="94" xfId="59" applyNumberFormat="1" applyFont="1" applyBorder="1">
      <alignment/>
      <protection/>
    </xf>
    <xf numFmtId="3" fontId="54" fillId="0" borderId="92" xfId="59" applyNumberFormat="1" applyFont="1" applyBorder="1" applyAlignment="1">
      <alignment horizontal="right" vertical="center"/>
      <protection/>
    </xf>
    <xf numFmtId="0" fontId="19" fillId="0" borderId="40" xfId="59" applyBorder="1">
      <alignment/>
      <protection/>
    </xf>
    <xf numFmtId="0" fontId="19" fillId="0" borderId="84" xfId="59" applyBorder="1">
      <alignment/>
      <protection/>
    </xf>
    <xf numFmtId="0" fontId="19" fillId="0" borderId="64" xfId="59" applyBorder="1">
      <alignment/>
      <protection/>
    </xf>
    <xf numFmtId="3" fontId="32" fillId="0" borderId="48" xfId="59" applyNumberFormat="1" applyFont="1" applyBorder="1">
      <alignment/>
      <protection/>
    </xf>
    <xf numFmtId="0" fontId="19" fillId="0" borderId="95" xfId="59" applyBorder="1">
      <alignment/>
      <protection/>
    </xf>
    <xf numFmtId="0" fontId="19" fillId="0" borderId="96" xfId="59" applyBorder="1">
      <alignment/>
      <protection/>
    </xf>
    <xf numFmtId="0" fontId="19" fillId="0" borderId="97" xfId="59" applyBorder="1">
      <alignment/>
      <protection/>
    </xf>
    <xf numFmtId="3" fontId="54" fillId="0" borderId="98" xfId="59" applyNumberFormat="1" applyFont="1" applyBorder="1" applyAlignment="1">
      <alignment horizontal="right"/>
      <protection/>
    </xf>
    <xf numFmtId="3" fontId="54" fillId="0" borderId="64" xfId="59" applyNumberFormat="1" applyFont="1" applyBorder="1" applyAlignment="1">
      <alignment horizontal="right"/>
      <protection/>
    </xf>
    <xf numFmtId="3" fontId="27" fillId="0" borderId="64" xfId="59" applyNumberFormat="1" applyFont="1" applyBorder="1" applyAlignment="1">
      <alignment horizontal="right"/>
      <protection/>
    </xf>
    <xf numFmtId="3" fontId="54" fillId="0" borderId="82" xfId="59" applyNumberFormat="1" applyFont="1" applyBorder="1" applyAlignment="1">
      <alignment horizontal="right"/>
      <protection/>
    </xf>
    <xf numFmtId="0" fontId="55" fillId="0" borderId="99" xfId="59" applyFont="1" applyBorder="1" applyAlignment="1">
      <alignment horizontal="right"/>
      <protection/>
    </xf>
    <xf numFmtId="0" fontId="55" fillId="0" borderId="33" xfId="59" applyFont="1" applyBorder="1" applyAlignment="1">
      <alignment horizontal="right"/>
      <protection/>
    </xf>
    <xf numFmtId="0" fontId="55" fillId="0" borderId="75" xfId="59" applyFont="1" applyBorder="1" applyAlignment="1">
      <alignment horizontal="right"/>
      <protection/>
    </xf>
    <xf numFmtId="3" fontId="27" fillId="0" borderId="77" xfId="59" applyNumberFormat="1" applyFont="1" applyBorder="1" applyAlignment="1">
      <alignment horizontal="right"/>
      <protection/>
    </xf>
    <xf numFmtId="3" fontId="27" fillId="0" borderId="33" xfId="59" applyNumberFormat="1" applyFont="1" applyBorder="1">
      <alignment/>
      <protection/>
    </xf>
    <xf numFmtId="3" fontId="27" fillId="0" borderId="78" xfId="59" applyNumberFormat="1" applyFont="1" applyBorder="1">
      <alignment/>
      <protection/>
    </xf>
    <xf numFmtId="3" fontId="54" fillId="0" borderId="78" xfId="59" applyNumberFormat="1" applyFont="1" applyBorder="1" applyAlignment="1">
      <alignment horizontal="right" vertical="center"/>
      <protection/>
    </xf>
    <xf numFmtId="3" fontId="27" fillId="35" borderId="100" xfId="59" applyNumberFormat="1" applyFont="1" applyFill="1" applyBorder="1" applyAlignment="1">
      <alignment horizontal="right"/>
      <protection/>
    </xf>
    <xf numFmtId="3" fontId="27" fillId="35" borderId="37" xfId="59" applyNumberFormat="1" applyFont="1" applyFill="1" applyBorder="1">
      <alignment/>
      <protection/>
    </xf>
    <xf numFmtId="3" fontId="27" fillId="35" borderId="101" xfId="59" applyNumberFormat="1" applyFont="1" applyFill="1" applyBorder="1">
      <alignment/>
      <protection/>
    </xf>
    <xf numFmtId="0" fontId="19" fillId="35" borderId="37" xfId="59" applyFill="1" applyBorder="1">
      <alignment/>
      <protection/>
    </xf>
    <xf numFmtId="3" fontId="27" fillId="35" borderId="68" xfId="59" applyNumberFormat="1" applyFont="1" applyFill="1" applyBorder="1" applyAlignment="1">
      <alignment horizontal="right"/>
      <protection/>
    </xf>
    <xf numFmtId="0" fontId="19" fillId="35" borderId="102" xfId="59" applyFill="1" applyBorder="1">
      <alignment/>
      <protection/>
    </xf>
    <xf numFmtId="3" fontId="31" fillId="35" borderId="103" xfId="59" applyNumberFormat="1" applyFont="1" applyFill="1" applyBorder="1" applyAlignment="1">
      <alignment horizontal="right"/>
      <protection/>
    </xf>
    <xf numFmtId="0" fontId="19" fillId="35" borderId="65" xfId="59" applyFill="1" applyBorder="1">
      <alignment/>
      <protection/>
    </xf>
    <xf numFmtId="3" fontId="31" fillId="35" borderId="102" xfId="59" applyNumberFormat="1" applyFont="1" applyFill="1" applyBorder="1" applyAlignment="1">
      <alignment horizontal="right"/>
      <protection/>
    </xf>
    <xf numFmtId="3" fontId="54" fillId="35" borderId="104" xfId="59" applyNumberFormat="1" applyFont="1" applyFill="1" applyBorder="1" applyAlignment="1">
      <alignment horizontal="right"/>
      <protection/>
    </xf>
    <xf numFmtId="3" fontId="54" fillId="35" borderId="66" xfId="59" applyNumberFormat="1" applyFont="1" applyFill="1" applyBorder="1" applyAlignment="1">
      <alignment horizontal="right"/>
      <protection/>
    </xf>
    <xf numFmtId="3" fontId="54" fillId="35" borderId="105" xfId="59" applyNumberFormat="1" applyFont="1" applyFill="1" applyBorder="1">
      <alignment/>
      <protection/>
    </xf>
    <xf numFmtId="3" fontId="54" fillId="35" borderId="104" xfId="59" applyNumberFormat="1" applyFont="1" applyFill="1" applyBorder="1">
      <alignment/>
      <protection/>
    </xf>
    <xf numFmtId="3" fontId="54" fillId="35" borderId="66" xfId="59" applyNumberFormat="1" applyFont="1" applyFill="1" applyBorder="1">
      <alignment/>
      <protection/>
    </xf>
    <xf numFmtId="0" fontId="31" fillId="0" borderId="0" xfId="59" applyFont="1" applyBorder="1" applyAlignment="1">
      <alignment horizontal="right" vertical="center"/>
      <protection/>
    </xf>
    <xf numFmtId="0" fontId="31" fillId="0" borderId="106" xfId="59" applyFont="1" applyBorder="1" applyAlignment="1">
      <alignment horizontal="right" vertical="center"/>
      <protection/>
    </xf>
    <xf numFmtId="0" fontId="32" fillId="0" borderId="88" xfId="59" applyFont="1" applyBorder="1">
      <alignment/>
      <protection/>
    </xf>
    <xf numFmtId="0" fontId="19" fillId="0" borderId="64" xfId="59" applyBorder="1" applyAlignment="1">
      <alignment horizontal="right"/>
      <protection/>
    </xf>
    <xf numFmtId="3" fontId="54" fillId="0" borderId="0" xfId="59" applyNumberFormat="1" applyFont="1" applyBorder="1" applyAlignment="1">
      <alignment horizontal="right" vertical="center"/>
      <protection/>
    </xf>
    <xf numFmtId="0" fontId="19" fillId="0" borderId="80" xfId="59" applyBorder="1">
      <alignment/>
      <protection/>
    </xf>
    <xf numFmtId="3" fontId="27" fillId="0" borderId="58" xfId="59" applyNumberFormat="1" applyFont="1" applyBorder="1" applyAlignment="1">
      <alignment horizontal="right"/>
      <protection/>
    </xf>
    <xf numFmtId="3" fontId="27" fillId="0" borderId="107" xfId="59" applyNumberFormat="1" applyFont="1" applyBorder="1">
      <alignment/>
      <protection/>
    </xf>
    <xf numFmtId="3" fontId="27" fillId="0" borderId="81" xfId="59" applyNumberFormat="1" applyFont="1" applyBorder="1">
      <alignment/>
      <protection/>
    </xf>
    <xf numFmtId="3" fontId="32" fillId="34" borderId="108" xfId="59" applyNumberFormat="1" applyFont="1" applyFill="1" applyBorder="1" applyAlignment="1">
      <alignment/>
      <protection/>
    </xf>
    <xf numFmtId="3" fontId="31" fillId="0" borderId="56" xfId="59" applyNumberFormat="1" applyFont="1" applyBorder="1" applyAlignment="1">
      <alignment horizontal="right"/>
      <protection/>
    </xf>
    <xf numFmtId="0" fontId="19" fillId="0" borderId="57" xfId="59" applyBorder="1">
      <alignment/>
      <protection/>
    </xf>
    <xf numFmtId="0" fontId="19" fillId="0" borderId="107" xfId="59" applyBorder="1">
      <alignment/>
      <protection/>
    </xf>
    <xf numFmtId="3" fontId="19" fillId="0" borderId="108" xfId="59" applyNumberFormat="1" applyBorder="1">
      <alignment/>
      <protection/>
    </xf>
    <xf numFmtId="0" fontId="19" fillId="0" borderId="108" xfId="59" applyBorder="1">
      <alignment/>
      <protection/>
    </xf>
    <xf numFmtId="3" fontId="31" fillId="0" borderId="109" xfId="59" applyNumberFormat="1" applyFont="1" applyBorder="1" applyAlignment="1">
      <alignment horizontal="right"/>
      <protection/>
    </xf>
    <xf numFmtId="3" fontId="54" fillId="0" borderId="80" xfId="59" applyNumberFormat="1" applyFont="1" applyBorder="1">
      <alignment/>
      <protection/>
    </xf>
    <xf numFmtId="3" fontId="54" fillId="0" borderId="58" xfId="59" applyNumberFormat="1" applyFont="1" applyBorder="1">
      <alignment/>
      <protection/>
    </xf>
    <xf numFmtId="3" fontId="54" fillId="0" borderId="81" xfId="59" applyNumberFormat="1" applyFont="1" applyBorder="1" applyAlignment="1">
      <alignment horizontal="right" vertical="center"/>
      <protection/>
    </xf>
    <xf numFmtId="0" fontId="32" fillId="34" borderId="0" xfId="59" applyFont="1" applyFill="1" applyBorder="1" applyAlignment="1">
      <alignment/>
      <protection/>
    </xf>
    <xf numFmtId="3" fontId="31" fillId="0" borderId="39" xfId="59" applyNumberFormat="1" applyFont="1" applyBorder="1" applyAlignment="1">
      <alignment horizontal="right"/>
      <protection/>
    </xf>
    <xf numFmtId="3" fontId="19" fillId="0" borderId="0" xfId="59" applyNumberFormat="1" applyBorder="1">
      <alignment/>
      <protection/>
    </xf>
    <xf numFmtId="3" fontId="31" fillId="0" borderId="110" xfId="59" applyNumberFormat="1" applyFont="1" applyBorder="1" applyAlignment="1">
      <alignment horizontal="right"/>
      <protection/>
    </xf>
    <xf numFmtId="3" fontId="54" fillId="0" borderId="0" xfId="59" applyNumberFormat="1" applyFont="1" applyBorder="1" applyAlignment="1">
      <alignment horizontal="right"/>
      <protection/>
    </xf>
    <xf numFmtId="0" fontId="32" fillId="35" borderId="111" xfId="59" applyFont="1" applyFill="1" applyBorder="1" applyAlignment="1">
      <alignment horizontal="left"/>
      <protection/>
    </xf>
    <xf numFmtId="3" fontId="31" fillId="35" borderId="112" xfId="59" applyNumberFormat="1" applyFont="1" applyFill="1" applyBorder="1" applyAlignment="1">
      <alignment horizontal="right"/>
      <protection/>
    </xf>
    <xf numFmtId="3" fontId="54" fillId="35" borderId="37" xfId="59" applyNumberFormat="1" applyFont="1" applyFill="1" applyBorder="1" applyAlignment="1">
      <alignment horizontal="right"/>
      <protection/>
    </xf>
    <xf numFmtId="3" fontId="54" fillId="35" borderId="100" xfId="59" applyNumberFormat="1" applyFont="1" applyFill="1" applyBorder="1" applyAlignment="1">
      <alignment horizontal="right"/>
      <protection/>
    </xf>
    <xf numFmtId="3" fontId="54" fillId="35" borderId="113" xfId="59" applyNumberFormat="1" applyFont="1" applyFill="1" applyBorder="1">
      <alignment/>
      <protection/>
    </xf>
    <xf numFmtId="3" fontId="54" fillId="35" borderId="111" xfId="59" applyNumberFormat="1" applyFont="1" applyFill="1" applyBorder="1">
      <alignment/>
      <protection/>
    </xf>
    <xf numFmtId="3" fontId="54" fillId="35" borderId="100" xfId="59" applyNumberFormat="1" applyFont="1" applyFill="1" applyBorder="1">
      <alignment/>
      <protection/>
    </xf>
    <xf numFmtId="3" fontId="54" fillId="35" borderId="101" xfId="59" applyNumberFormat="1" applyFont="1" applyFill="1" applyBorder="1" applyAlignment="1">
      <alignment horizontal="right" vertical="center"/>
      <protection/>
    </xf>
    <xf numFmtId="0" fontId="19" fillId="0" borderId="111" xfId="59" applyBorder="1">
      <alignment/>
      <protection/>
    </xf>
    <xf numFmtId="0" fontId="19" fillId="0" borderId="37" xfId="59" applyBorder="1" applyAlignment="1">
      <alignment horizontal="right"/>
      <protection/>
    </xf>
    <xf numFmtId="0" fontId="19" fillId="0" borderId="100" xfId="59" applyBorder="1" applyAlignment="1">
      <alignment horizontal="right"/>
      <protection/>
    </xf>
    <xf numFmtId="0" fontId="19" fillId="0" borderId="37" xfId="59" applyBorder="1">
      <alignment/>
      <protection/>
    </xf>
    <xf numFmtId="0" fontId="19" fillId="0" borderId="101" xfId="59" applyBorder="1">
      <alignment/>
      <protection/>
    </xf>
    <xf numFmtId="0" fontId="19" fillId="0" borderId="37" xfId="59" applyBorder="1" applyAlignment="1">
      <alignment/>
      <protection/>
    </xf>
    <xf numFmtId="0" fontId="31" fillId="0" borderId="103" xfId="59" applyFont="1" applyBorder="1" applyAlignment="1">
      <alignment horizontal="right"/>
      <protection/>
    </xf>
    <xf numFmtId="0" fontId="19" fillId="0" borderId="102" xfId="59" applyBorder="1">
      <alignment/>
      <protection/>
    </xf>
    <xf numFmtId="3" fontId="31" fillId="0" borderId="112" xfId="59" applyNumberFormat="1" applyFont="1" applyBorder="1" applyAlignment="1">
      <alignment horizontal="right"/>
      <protection/>
    </xf>
    <xf numFmtId="0" fontId="31" fillId="0" borderId="37" xfId="59" applyFont="1" applyBorder="1" applyAlignment="1">
      <alignment horizontal="right"/>
      <protection/>
    </xf>
    <xf numFmtId="0" fontId="31" fillId="0" borderId="100" xfId="59" applyFont="1" applyBorder="1" applyAlignment="1">
      <alignment horizontal="right"/>
      <protection/>
    </xf>
    <xf numFmtId="0" fontId="19" fillId="0" borderId="113" xfId="59" applyBorder="1">
      <alignment/>
      <protection/>
    </xf>
    <xf numFmtId="0" fontId="19" fillId="0" borderId="100" xfId="59" applyBorder="1">
      <alignment/>
      <protection/>
    </xf>
    <xf numFmtId="0" fontId="54" fillId="0" borderId="92" xfId="59" applyFont="1" applyBorder="1" applyAlignment="1">
      <alignment horizontal="right" vertical="center"/>
      <protection/>
    </xf>
    <xf numFmtId="0" fontId="19" fillId="0" borderId="0" xfId="59">
      <alignment/>
      <protection/>
    </xf>
    <xf numFmtId="0" fontId="19" fillId="0" borderId="88" xfId="59" applyBorder="1">
      <alignment/>
      <protection/>
    </xf>
    <xf numFmtId="3" fontId="54" fillId="0" borderId="0" xfId="59" applyNumberFormat="1" applyFont="1" applyBorder="1">
      <alignment/>
      <protection/>
    </xf>
    <xf numFmtId="3" fontId="54" fillId="0" borderId="98" xfId="59" applyNumberFormat="1" applyFont="1" applyBorder="1">
      <alignment/>
      <protection/>
    </xf>
    <xf numFmtId="0" fontId="19" fillId="0" borderId="48" xfId="59" applyBorder="1">
      <alignment/>
      <protection/>
    </xf>
    <xf numFmtId="3" fontId="31" fillId="0" borderId="110" xfId="59" applyNumberFormat="1" applyFont="1" applyBorder="1" applyAlignment="1">
      <alignment vertical="center"/>
      <protection/>
    </xf>
    <xf numFmtId="3" fontId="54" fillId="35" borderId="114" xfId="59" applyNumberFormat="1" applyFont="1" applyFill="1" applyBorder="1">
      <alignment/>
      <protection/>
    </xf>
    <xf numFmtId="3" fontId="54" fillId="35" borderId="91" xfId="59" applyNumberFormat="1" applyFont="1" applyFill="1" applyBorder="1">
      <alignment/>
      <protection/>
    </xf>
    <xf numFmtId="3" fontId="54" fillId="35" borderId="92" xfId="59" applyNumberFormat="1" applyFont="1" applyFill="1" applyBorder="1">
      <alignment/>
      <protection/>
    </xf>
    <xf numFmtId="3" fontId="54" fillId="35" borderId="115" xfId="59" applyNumberFormat="1" applyFont="1" applyFill="1" applyBorder="1">
      <alignment/>
      <protection/>
    </xf>
    <xf numFmtId="3" fontId="56" fillId="0" borderId="91" xfId="59" applyNumberFormat="1" applyFont="1" applyBorder="1" applyAlignment="1">
      <alignment horizontal="center"/>
      <protection/>
    </xf>
    <xf numFmtId="3" fontId="56" fillId="0" borderId="116" xfId="59" applyNumberFormat="1" applyFont="1" applyBorder="1" applyAlignment="1">
      <alignment horizontal="center"/>
      <protection/>
    </xf>
    <xf numFmtId="3" fontId="31" fillId="0" borderId="90" xfId="59" applyNumberFormat="1" applyFont="1" applyBorder="1" applyAlignment="1">
      <alignment horizontal="right" vertical="center"/>
      <protection/>
    </xf>
    <xf numFmtId="0" fontId="19" fillId="0" borderId="90" xfId="59" applyBorder="1">
      <alignment/>
      <protection/>
    </xf>
    <xf numFmtId="0" fontId="19" fillId="0" borderId="38" xfId="59" applyBorder="1">
      <alignment/>
      <protection/>
    </xf>
    <xf numFmtId="3" fontId="57" fillId="0" borderId="91" xfId="59" applyNumberFormat="1" applyFont="1" applyBorder="1">
      <alignment/>
      <protection/>
    </xf>
    <xf numFmtId="3" fontId="57" fillId="0" borderId="38" xfId="59" applyNumberFormat="1" applyFont="1" applyBorder="1">
      <alignment/>
      <protection/>
    </xf>
    <xf numFmtId="3" fontId="57" fillId="0" borderId="92" xfId="59" applyNumberFormat="1" applyFont="1" applyBorder="1">
      <alignment/>
      <protection/>
    </xf>
    <xf numFmtId="0" fontId="55" fillId="0" borderId="40" xfId="59" applyFont="1" applyBorder="1" applyAlignment="1">
      <alignment horizontal="right"/>
      <protection/>
    </xf>
    <xf numFmtId="3" fontId="27" fillId="35" borderId="66" xfId="59" applyNumberFormat="1" applyFont="1" applyFill="1" applyBorder="1">
      <alignment/>
      <protection/>
    </xf>
    <xf numFmtId="3" fontId="27" fillId="35" borderId="117" xfId="59" applyNumberFormat="1" applyFont="1" applyFill="1" applyBorder="1">
      <alignment/>
      <protection/>
    </xf>
    <xf numFmtId="3" fontId="73" fillId="0" borderId="0" xfId="59" applyNumberFormat="1" applyFont="1" applyBorder="1">
      <alignment/>
      <protection/>
    </xf>
    <xf numFmtId="0" fontId="73" fillId="0" borderId="0" xfId="59" applyFont="1" applyBorder="1" applyAlignment="1">
      <alignment horizontal="left"/>
      <protection/>
    </xf>
    <xf numFmtId="0" fontId="73" fillId="0" borderId="82" xfId="59" applyFont="1" applyBorder="1" applyAlignment="1">
      <alignment horizontal="left"/>
      <protection/>
    </xf>
    <xf numFmtId="0" fontId="73" fillId="0" borderId="0" xfId="59" applyFont="1" applyBorder="1">
      <alignment/>
      <protection/>
    </xf>
    <xf numFmtId="0" fontId="74" fillId="0" borderId="82" xfId="59" applyFont="1" applyBorder="1">
      <alignment/>
      <protection/>
    </xf>
    <xf numFmtId="0" fontId="74" fillId="0" borderId="0" xfId="59" applyFont="1" applyBorder="1">
      <alignment/>
      <protection/>
    </xf>
    <xf numFmtId="3" fontId="73" fillId="0" borderId="48" xfId="59" applyNumberFormat="1" applyFont="1" applyBorder="1">
      <alignment/>
      <protection/>
    </xf>
    <xf numFmtId="3" fontId="73" fillId="0" borderId="48" xfId="59" applyNumberFormat="1" applyFont="1" applyFill="1" applyBorder="1">
      <alignment/>
      <protection/>
    </xf>
    <xf numFmtId="3" fontId="73" fillId="0" borderId="38" xfId="59" applyNumberFormat="1" applyFont="1" applyBorder="1">
      <alignment/>
      <protection/>
    </xf>
    <xf numFmtId="0" fontId="73" fillId="0" borderId="40" xfId="59" applyFont="1" applyBorder="1" applyAlignment="1">
      <alignment horizontal="left"/>
      <protection/>
    </xf>
    <xf numFmtId="3" fontId="73" fillId="0" borderId="118" xfId="59" applyNumberFormat="1" applyFont="1" applyFill="1" applyBorder="1">
      <alignment/>
      <protection/>
    </xf>
    <xf numFmtId="3" fontId="73" fillId="0" borderId="0" xfId="59" applyNumberFormat="1" applyFont="1" applyFill="1" applyBorder="1">
      <alignment/>
      <protection/>
    </xf>
    <xf numFmtId="3" fontId="73" fillId="0" borderId="0" xfId="59" applyNumberFormat="1" applyFont="1">
      <alignment/>
      <protection/>
    </xf>
    <xf numFmtId="0" fontId="0" fillId="0" borderId="40" xfId="0" applyBorder="1" applyAlignment="1">
      <alignment/>
    </xf>
    <xf numFmtId="3" fontId="32" fillId="0" borderId="0" xfId="59" applyNumberFormat="1" applyFont="1" applyBorder="1" applyAlignment="1">
      <alignment horizontal="right"/>
      <protection/>
    </xf>
    <xf numFmtId="3" fontId="32" fillId="0" borderId="0" xfId="59" applyNumberFormat="1" applyFont="1">
      <alignment/>
      <protection/>
    </xf>
    <xf numFmtId="0" fontId="32" fillId="0" borderId="48" xfId="59" applyFont="1" applyBorder="1">
      <alignment/>
      <protection/>
    </xf>
    <xf numFmtId="3" fontId="31" fillId="35" borderId="68" xfId="59" applyNumberFormat="1" applyFont="1" applyFill="1" applyBorder="1">
      <alignment/>
      <protection/>
    </xf>
    <xf numFmtId="0" fontId="19" fillId="35" borderId="119" xfId="59" applyFill="1" applyBorder="1">
      <alignment/>
      <protection/>
    </xf>
    <xf numFmtId="3" fontId="54" fillId="35" borderId="120" xfId="59" applyNumberFormat="1" applyFont="1" applyFill="1" applyBorder="1">
      <alignment/>
      <protection/>
    </xf>
    <xf numFmtId="0" fontId="19" fillId="0" borderId="121" xfId="59" applyBorder="1">
      <alignment/>
      <protection/>
    </xf>
    <xf numFmtId="0" fontId="11" fillId="0" borderId="0" xfId="0" applyFont="1" applyFill="1" applyBorder="1" applyAlignment="1">
      <alignment vertical="center"/>
    </xf>
    <xf numFmtId="3" fontId="11" fillId="0" borderId="13" xfId="0" applyNumberFormat="1" applyFont="1" applyFill="1" applyBorder="1" applyAlignment="1">
      <alignment vertical="center"/>
    </xf>
    <xf numFmtId="0" fontId="11" fillId="0" borderId="24" xfId="0" applyFont="1" applyFill="1" applyBorder="1" applyAlignment="1">
      <alignment vertical="center" wrapText="1"/>
    </xf>
    <xf numFmtId="0" fontId="11" fillId="0" borderId="24" xfId="0" applyFont="1" applyFill="1" applyBorder="1" applyAlignment="1">
      <alignment horizontal="left" vertical="center"/>
    </xf>
    <xf numFmtId="3" fontId="20" fillId="34" borderId="24" xfId="62" applyNumberFormat="1" applyFont="1" applyFill="1" applyBorder="1" applyAlignment="1">
      <alignment horizontal="right" vertical="center" wrapText="1"/>
      <protection/>
    </xf>
    <xf numFmtId="4" fontId="27" fillId="0" borderId="27" xfId="61" applyNumberFormat="1" applyFont="1" applyBorder="1">
      <alignment/>
      <protection/>
    </xf>
    <xf numFmtId="169" fontId="19" fillId="0" borderId="27" xfId="61" applyNumberFormat="1" applyBorder="1">
      <alignment/>
      <protection/>
    </xf>
    <xf numFmtId="169" fontId="27" fillId="0" borderId="27" xfId="61" applyNumberFormat="1" applyFont="1" applyBorder="1">
      <alignment/>
      <protection/>
    </xf>
    <xf numFmtId="169" fontId="19" fillId="0" borderId="20" xfId="61" applyNumberFormat="1" applyBorder="1">
      <alignment/>
      <protection/>
    </xf>
    <xf numFmtId="169" fontId="27" fillId="0" borderId="20" xfId="61" applyNumberFormat="1" applyFont="1" applyBorder="1">
      <alignment/>
      <protection/>
    </xf>
    <xf numFmtId="4" fontId="19" fillId="0" borderId="27" xfId="61" applyNumberFormat="1" applyBorder="1">
      <alignment/>
      <protection/>
    </xf>
    <xf numFmtId="3" fontId="27" fillId="6" borderId="50" xfId="0" applyNumberFormat="1" applyFont="1" applyFill="1" applyBorder="1" applyAlignment="1">
      <alignment/>
    </xf>
    <xf numFmtId="3" fontId="27" fillId="6" borderId="122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27" fillId="0" borderId="27" xfId="0" applyFont="1" applyBorder="1" applyAlignment="1">
      <alignment horizontal="center"/>
    </xf>
    <xf numFmtId="0" fontId="27" fillId="32" borderId="27" xfId="0" applyFont="1" applyFill="1" applyBorder="1" applyAlignment="1">
      <alignment/>
    </xf>
    <xf numFmtId="0" fontId="32" fillId="0" borderId="27" xfId="0" applyFont="1" applyBorder="1" applyAlignment="1">
      <alignment wrapText="1"/>
    </xf>
    <xf numFmtId="0" fontId="32" fillId="0" borderId="27" xfId="0" applyFont="1" applyBorder="1" applyAlignment="1">
      <alignment/>
    </xf>
    <xf numFmtId="0" fontId="27" fillId="32" borderId="27" xfId="0" applyFont="1" applyFill="1" applyBorder="1" applyAlignment="1">
      <alignment vertical="center" wrapText="1"/>
    </xf>
    <xf numFmtId="49" fontId="32" fillId="0" borderId="27" xfId="0" applyNumberFormat="1" applyFont="1" applyBorder="1" applyAlignment="1">
      <alignment/>
    </xf>
    <xf numFmtId="49" fontId="32" fillId="0" borderId="27" xfId="0" applyNumberFormat="1" applyFont="1" applyBorder="1" applyAlignment="1">
      <alignment wrapText="1"/>
    </xf>
    <xf numFmtId="0" fontId="27" fillId="0" borderId="27" xfId="0" applyFont="1" applyFill="1" applyBorder="1" applyAlignment="1">
      <alignment/>
    </xf>
    <xf numFmtId="49" fontId="33" fillId="0" borderId="27" xfId="0" applyNumberFormat="1" applyFont="1" applyBorder="1" applyAlignment="1">
      <alignment/>
    </xf>
    <xf numFmtId="0" fontId="27" fillId="7" borderId="27" xfId="0" applyFont="1" applyFill="1" applyBorder="1" applyAlignment="1">
      <alignment wrapText="1"/>
    </xf>
    <xf numFmtId="0" fontId="27" fillId="36" borderId="27" xfId="0" applyFont="1" applyFill="1" applyBorder="1" applyAlignment="1">
      <alignment wrapText="1"/>
    </xf>
    <xf numFmtId="0" fontId="27" fillId="36" borderId="24" xfId="0" applyFont="1" applyFill="1" applyBorder="1" applyAlignment="1">
      <alignment/>
    </xf>
    <xf numFmtId="0" fontId="55" fillId="0" borderId="0" xfId="0" applyFont="1" applyAlignment="1">
      <alignment/>
    </xf>
    <xf numFmtId="3" fontId="20" fillId="0" borderId="24" xfId="62" applyNumberFormat="1" applyFont="1" applyFill="1" applyBorder="1" applyAlignment="1">
      <alignment horizontal="right" vertical="center" wrapText="1"/>
      <protection/>
    </xf>
    <xf numFmtId="0" fontId="73" fillId="0" borderId="33" xfId="59" applyFont="1" applyBorder="1" applyAlignment="1">
      <alignment horizontal="left"/>
      <protection/>
    </xf>
    <xf numFmtId="0" fontId="73" fillId="0" borderId="79" xfId="59" applyFont="1" applyBorder="1" applyAlignment="1">
      <alignment horizontal="left"/>
      <protection/>
    </xf>
    <xf numFmtId="0" fontId="50" fillId="0" borderId="24" xfId="0" applyFont="1" applyBorder="1" applyAlignment="1">
      <alignment horizontal="left" vertical="center" wrapText="1"/>
    </xf>
    <xf numFmtId="0" fontId="75" fillId="0" borderId="0" xfId="0" applyFont="1" applyAlignment="1">
      <alignment/>
    </xf>
    <xf numFmtId="0" fontId="11" fillId="0" borderId="17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44" fillId="0" borderId="28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23" xfId="0" applyFont="1" applyFill="1" applyBorder="1" applyAlignment="1">
      <alignment horizontal="center" vertical="center" wrapText="1"/>
    </xf>
    <xf numFmtId="0" fontId="4" fillId="0" borderId="17" xfId="60" applyFont="1" applyFill="1" applyBorder="1" applyAlignment="1">
      <alignment vertical="center" wrapText="1"/>
      <protection/>
    </xf>
    <xf numFmtId="3" fontId="3" fillId="0" borderId="62" xfId="60" applyNumberFormat="1" applyFont="1" applyFill="1" applyBorder="1" applyAlignment="1">
      <alignment vertical="center" wrapText="1"/>
      <protection/>
    </xf>
    <xf numFmtId="3" fontId="3" fillId="0" borderId="26" xfId="60" applyNumberFormat="1" applyFont="1" applyFill="1" applyBorder="1" applyAlignment="1">
      <alignment vertical="center" wrapText="1"/>
      <protection/>
    </xf>
    <xf numFmtId="3" fontId="5" fillId="0" borderId="25" xfId="60" applyNumberFormat="1" applyFont="1" applyFill="1" applyBorder="1" applyAlignment="1">
      <alignment vertical="center"/>
      <protection/>
    </xf>
    <xf numFmtId="3" fontId="5" fillId="0" borderId="26" xfId="60" applyNumberFormat="1" applyFont="1" applyFill="1" applyBorder="1" applyAlignment="1">
      <alignment vertical="center"/>
      <protection/>
    </xf>
    <xf numFmtId="0" fontId="4" fillId="0" borderId="18" xfId="60" applyFont="1" applyFill="1" applyBorder="1" applyAlignment="1">
      <alignment vertical="center" wrapText="1"/>
      <protection/>
    </xf>
    <xf numFmtId="3" fontId="3" fillId="0" borderId="13" xfId="60" applyNumberFormat="1" applyFont="1" applyFill="1" applyBorder="1" applyAlignment="1">
      <alignment vertical="center"/>
      <protection/>
    </xf>
    <xf numFmtId="3" fontId="48" fillId="0" borderId="13" xfId="60" applyNumberFormat="1" applyFont="1" applyFill="1" applyBorder="1" applyAlignment="1">
      <alignment vertical="center"/>
      <protection/>
    </xf>
    <xf numFmtId="49" fontId="4" fillId="0" borderId="72" xfId="60" applyNumberFormat="1" applyFont="1" applyFill="1" applyBorder="1" applyAlignment="1">
      <alignment vertical="center"/>
      <protection/>
    </xf>
    <xf numFmtId="49" fontId="5" fillId="0" borderId="51" xfId="60" applyNumberFormat="1" applyFont="1" applyFill="1" applyBorder="1" applyAlignment="1">
      <alignment horizontal="center" vertical="center"/>
      <protection/>
    </xf>
    <xf numFmtId="0" fontId="4" fillId="0" borderId="53" xfId="60" applyFont="1" applyFill="1" applyBorder="1" applyAlignment="1">
      <alignment vertical="center" wrapText="1"/>
      <protection/>
    </xf>
    <xf numFmtId="0" fontId="4" fillId="0" borderId="31" xfId="60" applyFont="1" applyFill="1" applyBorder="1" applyAlignment="1">
      <alignment horizontal="center" vertical="center" wrapText="1"/>
      <protection/>
    </xf>
    <xf numFmtId="0" fontId="4" fillId="0" borderId="21" xfId="60" applyFont="1" applyFill="1" applyBorder="1" applyAlignment="1">
      <alignment horizontal="center" vertical="center" wrapText="1"/>
      <protection/>
    </xf>
    <xf numFmtId="0" fontId="4" fillId="0" borderId="23" xfId="60" applyFont="1" applyFill="1" applyBorder="1" applyAlignment="1">
      <alignment horizontal="center" vertical="center" wrapText="1"/>
      <protection/>
    </xf>
    <xf numFmtId="3" fontId="52" fillId="0" borderId="33" xfId="60" applyNumberFormat="1" applyFont="1" applyFill="1" applyBorder="1" applyAlignment="1">
      <alignment vertical="center"/>
      <protection/>
    </xf>
    <xf numFmtId="3" fontId="51" fillId="0" borderId="56" xfId="60" applyNumberFormat="1" applyFont="1" applyFill="1" applyBorder="1" applyAlignment="1">
      <alignment vertical="center"/>
      <protection/>
    </xf>
    <xf numFmtId="3" fontId="4" fillId="0" borderId="49" xfId="60" applyNumberFormat="1" applyFont="1" applyFill="1" applyBorder="1" applyAlignment="1">
      <alignment vertical="center"/>
      <protection/>
    </xf>
    <xf numFmtId="3" fontId="52" fillId="0" borderId="56" xfId="60" applyNumberFormat="1" applyFont="1" applyFill="1" applyBorder="1" applyAlignment="1">
      <alignment vertical="center"/>
      <protection/>
    </xf>
    <xf numFmtId="3" fontId="73" fillId="0" borderId="0" xfId="59" applyNumberFormat="1" applyFont="1" applyBorder="1" applyAlignment="1">
      <alignment/>
      <protection/>
    </xf>
    <xf numFmtId="3" fontId="73" fillId="0" borderId="48" xfId="59" applyNumberFormat="1" applyFont="1" applyBorder="1" applyAlignment="1">
      <alignment/>
      <protection/>
    </xf>
    <xf numFmtId="0" fontId="22" fillId="0" borderId="24" xfId="0" applyFont="1" applyFill="1" applyBorder="1" applyAlignment="1">
      <alignment horizontal="left" vertical="center" wrapText="1"/>
    </xf>
    <xf numFmtId="0" fontId="22" fillId="0" borderId="24" xfId="0" applyFont="1" applyFill="1" applyBorder="1" applyAlignment="1">
      <alignment vertical="center" wrapText="1"/>
    </xf>
    <xf numFmtId="3" fontId="27" fillId="33" borderId="49" xfId="61" applyNumberFormat="1" applyFont="1" applyFill="1" applyBorder="1">
      <alignment/>
      <protection/>
    </xf>
    <xf numFmtId="0" fontId="43" fillId="0" borderId="47" xfId="61" applyFont="1" applyBorder="1" applyAlignment="1">
      <alignment horizontal="center" vertical="center" wrapText="1"/>
      <protection/>
    </xf>
    <xf numFmtId="3" fontId="27" fillId="33" borderId="49" xfId="61" applyNumberFormat="1" applyFont="1" applyFill="1" applyBorder="1" applyAlignment="1">
      <alignment vertical="center"/>
      <protection/>
    </xf>
    <xf numFmtId="3" fontId="27" fillId="0" borderId="49" xfId="61" applyNumberFormat="1" applyFont="1" applyBorder="1">
      <alignment/>
      <protection/>
    </xf>
    <xf numFmtId="3" fontId="19" fillId="0" borderId="49" xfId="61" applyNumberFormat="1" applyBorder="1">
      <alignment/>
      <protection/>
    </xf>
    <xf numFmtId="0" fontId="76" fillId="0" borderId="0" xfId="61" applyFont="1">
      <alignment/>
      <protection/>
    </xf>
    <xf numFmtId="0" fontId="11" fillId="0" borderId="0" xfId="0" applyFont="1" applyAlignment="1">
      <alignment horizontal="right" vertical="center"/>
    </xf>
    <xf numFmtId="3" fontId="0" fillId="0" borderId="21" xfId="0" applyNumberFormat="1" applyBorder="1" applyAlignment="1">
      <alignment/>
    </xf>
    <xf numFmtId="0" fontId="63" fillId="0" borderId="0" xfId="0" applyFont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3" fontId="56" fillId="0" borderId="93" xfId="59" applyNumberFormat="1" applyFont="1" applyBorder="1">
      <alignment/>
      <protection/>
    </xf>
    <xf numFmtId="3" fontId="56" fillId="0" borderId="91" xfId="59" applyNumberFormat="1" applyFont="1" applyBorder="1">
      <alignment/>
      <protection/>
    </xf>
    <xf numFmtId="3" fontId="56" fillId="0" borderId="94" xfId="59" applyNumberFormat="1" applyFont="1" applyBorder="1">
      <alignment/>
      <protection/>
    </xf>
    <xf numFmtId="0" fontId="27" fillId="0" borderId="0" xfId="0" applyFont="1" applyBorder="1" applyAlignment="1">
      <alignment horizontal="center"/>
    </xf>
    <xf numFmtId="3" fontId="54" fillId="0" borderId="86" xfId="59" applyNumberFormat="1" applyFont="1" applyBorder="1" applyAlignment="1">
      <alignment horizontal="right" vertical="center"/>
      <protection/>
    </xf>
    <xf numFmtId="3" fontId="54" fillId="0" borderId="106" xfId="59" applyNumberFormat="1" applyFont="1" applyBorder="1" applyAlignment="1">
      <alignment horizontal="right" vertical="center"/>
      <protection/>
    </xf>
    <xf numFmtId="3" fontId="54" fillId="0" borderId="124" xfId="59" applyNumberFormat="1" applyFont="1" applyBorder="1">
      <alignment/>
      <protection/>
    </xf>
    <xf numFmtId="3" fontId="54" fillId="0" borderId="86" xfId="59" applyNumberFormat="1" applyFont="1" applyBorder="1">
      <alignment/>
      <protection/>
    </xf>
    <xf numFmtId="3" fontId="54" fillId="0" borderId="106" xfId="59" applyNumberFormat="1" applyFont="1" applyBorder="1">
      <alignment/>
      <protection/>
    </xf>
    <xf numFmtId="3" fontId="54" fillId="0" borderId="87" xfId="59" applyNumberFormat="1" applyFont="1" applyBorder="1" applyAlignment="1">
      <alignment horizontal="right" vertical="center"/>
      <protection/>
    </xf>
    <xf numFmtId="0" fontId="55" fillId="0" borderId="86" xfId="59" applyFont="1" applyBorder="1" applyAlignment="1">
      <alignment horizontal="right"/>
      <protection/>
    </xf>
    <xf numFmtId="0" fontId="0" fillId="0" borderId="36" xfId="0" applyBorder="1" applyAlignment="1">
      <alignment horizontal="right"/>
    </xf>
    <xf numFmtId="3" fontId="27" fillId="0" borderId="106" xfId="59" applyNumberFormat="1" applyFont="1" applyBorder="1" applyAlignment="1">
      <alignment horizontal="right"/>
      <protection/>
    </xf>
    <xf numFmtId="3" fontId="27" fillId="0" borderId="36" xfId="59" applyNumberFormat="1" applyFont="1" applyBorder="1">
      <alignment/>
      <protection/>
    </xf>
    <xf numFmtId="3" fontId="27" fillId="0" borderId="87" xfId="59" applyNumberFormat="1" applyFont="1" applyBorder="1">
      <alignment/>
      <protection/>
    </xf>
    <xf numFmtId="0" fontId="24" fillId="0" borderId="27" xfId="0" applyFont="1" applyBorder="1" applyAlignment="1">
      <alignment horizontal="center"/>
    </xf>
    <xf numFmtId="0" fontId="27" fillId="0" borderId="24" xfId="0" applyFont="1" applyBorder="1" applyAlignment="1">
      <alignment/>
    </xf>
    <xf numFmtId="3" fontId="27" fillId="6" borderId="24" xfId="0" applyNumberFormat="1" applyFont="1" applyFill="1" applyBorder="1" applyAlignment="1">
      <alignment/>
    </xf>
    <xf numFmtId="3" fontId="27" fillId="6" borderId="13" xfId="0" applyNumberFormat="1" applyFont="1" applyFill="1" applyBorder="1" applyAlignment="1">
      <alignment/>
    </xf>
    <xf numFmtId="4" fontId="27" fillId="6" borderId="24" xfId="0" applyNumberFormat="1" applyFont="1" applyFill="1" applyBorder="1" applyAlignment="1">
      <alignment/>
    </xf>
    <xf numFmtId="4" fontId="27" fillId="6" borderId="34" xfId="0" applyNumberFormat="1" applyFont="1" applyFill="1" applyBorder="1" applyAlignment="1">
      <alignment/>
    </xf>
    <xf numFmtId="0" fontId="27" fillId="0" borderId="58" xfId="0" applyFont="1" applyBorder="1" applyAlignment="1">
      <alignment/>
    </xf>
    <xf numFmtId="4" fontId="27" fillId="6" borderId="58" xfId="0" applyNumberFormat="1" applyFont="1" applyFill="1" applyBorder="1" applyAlignment="1">
      <alignment/>
    </xf>
    <xf numFmtId="3" fontId="27" fillId="6" borderId="58" xfId="0" applyNumberFormat="1" applyFont="1" applyFill="1" applyBorder="1" applyAlignment="1">
      <alignment/>
    </xf>
    <xf numFmtId="3" fontId="27" fillId="6" borderId="59" xfId="0" applyNumberFormat="1" applyFont="1" applyFill="1" applyBorder="1" applyAlignment="1">
      <alignment/>
    </xf>
    <xf numFmtId="0" fontId="24" fillId="0" borderId="27" xfId="0" applyFont="1" applyFill="1" applyBorder="1" applyAlignment="1">
      <alignment horizontal="center"/>
    </xf>
    <xf numFmtId="4" fontId="27" fillId="34" borderId="24" xfId="0" applyNumberFormat="1" applyFont="1" applyFill="1" applyBorder="1" applyAlignment="1">
      <alignment/>
    </xf>
    <xf numFmtId="4" fontId="27" fillId="34" borderId="34" xfId="0" applyNumberFormat="1" applyFont="1" applyFill="1" applyBorder="1" applyAlignment="1">
      <alignment/>
    </xf>
    <xf numFmtId="4" fontId="27" fillId="34" borderId="58" xfId="0" applyNumberFormat="1" applyFont="1" applyFill="1" applyBorder="1" applyAlignment="1">
      <alignment/>
    </xf>
    <xf numFmtId="0" fontId="32" fillId="0" borderId="0" xfId="59" applyFont="1" applyBorder="1" applyAlignment="1">
      <alignment horizontal="left" wrapText="1"/>
      <protection/>
    </xf>
    <xf numFmtId="49" fontId="5" fillId="0" borderId="63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vertical="center" wrapText="1"/>
    </xf>
    <xf numFmtId="3" fontId="44" fillId="0" borderId="18" xfId="0" applyNumberFormat="1" applyFont="1" applyFill="1" applyBorder="1" applyAlignment="1">
      <alignment vertical="center"/>
    </xf>
    <xf numFmtId="3" fontId="3" fillId="0" borderId="29" xfId="0" applyNumberFormat="1" applyFont="1" applyFill="1" applyBorder="1" applyAlignment="1">
      <alignment vertical="center"/>
    </xf>
    <xf numFmtId="3" fontId="3" fillId="0" borderId="34" xfId="0" applyNumberFormat="1" applyFont="1" applyFill="1" applyBorder="1" applyAlignment="1">
      <alignment vertical="center"/>
    </xf>
    <xf numFmtId="3" fontId="51" fillId="0" borderId="59" xfId="60" applyNumberFormat="1" applyFont="1" applyFill="1" applyBorder="1" applyAlignment="1">
      <alignment vertical="center"/>
      <protection/>
    </xf>
    <xf numFmtId="3" fontId="11" fillId="0" borderId="48" xfId="0" applyNumberFormat="1" applyFont="1" applyFill="1" applyBorder="1" applyAlignment="1">
      <alignment horizontal="right" vertical="center"/>
    </xf>
    <xf numFmtId="0" fontId="22" fillId="0" borderId="0" xfId="62" applyFont="1" applyAlignment="1">
      <alignment horizontal="right" vertical="center"/>
      <protection/>
    </xf>
    <xf numFmtId="3" fontId="133" fillId="0" borderId="0" xfId="61" applyNumberFormat="1" applyFont="1">
      <alignment/>
      <protection/>
    </xf>
    <xf numFmtId="3" fontId="133" fillId="0" borderId="0" xfId="61" applyNumberFormat="1" applyFont="1" applyAlignment="1">
      <alignment vertical="center"/>
      <protection/>
    </xf>
    <xf numFmtId="3" fontId="27" fillId="0" borderId="27" xfId="61" applyNumberFormat="1" applyFont="1" applyFill="1" applyBorder="1" applyAlignment="1">
      <alignment horizontal="center"/>
      <protection/>
    </xf>
    <xf numFmtId="3" fontId="27" fillId="0" borderId="24" xfId="61" applyNumberFormat="1" applyFont="1" applyFill="1" applyBorder="1" applyAlignment="1">
      <alignment horizontal="center"/>
      <protection/>
    </xf>
    <xf numFmtId="0" fontId="17" fillId="0" borderId="0" xfId="58" applyFont="1" applyFill="1" applyAlignment="1">
      <alignment horizontal="center" vertical="center"/>
      <protection/>
    </xf>
    <xf numFmtId="0" fontId="7" fillId="0" borderId="0" xfId="58" applyFont="1" applyFill="1" applyAlignment="1">
      <alignment vertical="center"/>
      <protection/>
    </xf>
    <xf numFmtId="0" fontId="18" fillId="0" borderId="24" xfId="58" applyFont="1" applyFill="1" applyBorder="1" applyAlignment="1">
      <alignment horizontal="center" vertical="center" wrapText="1"/>
      <protection/>
    </xf>
    <xf numFmtId="0" fontId="11" fillId="0" borderId="17" xfId="58" applyFont="1" applyFill="1" applyBorder="1" applyAlignment="1">
      <alignment horizontal="center" vertical="center" wrapText="1"/>
      <protection/>
    </xf>
    <xf numFmtId="0" fontId="11" fillId="0" borderId="24" xfId="58" applyFont="1" applyFill="1" applyBorder="1" applyAlignment="1">
      <alignment horizontal="center" vertical="center" wrapText="1"/>
      <protection/>
    </xf>
    <xf numFmtId="0" fontId="68" fillId="0" borderId="24" xfId="58" applyFont="1" applyBorder="1">
      <alignment/>
      <protection/>
    </xf>
    <xf numFmtId="3" fontId="68" fillId="0" borderId="24" xfId="58" applyNumberFormat="1" applyFont="1" applyBorder="1">
      <alignment/>
      <protection/>
    </xf>
    <xf numFmtId="0" fontId="5" fillId="0" borderId="24" xfId="58" applyFont="1" applyBorder="1">
      <alignment/>
      <protection/>
    </xf>
    <xf numFmtId="3" fontId="5" fillId="0" borderId="24" xfId="58" applyNumberFormat="1" applyFont="1" applyBorder="1">
      <alignment/>
      <protection/>
    </xf>
    <xf numFmtId="3" fontId="1" fillId="0" borderId="24" xfId="58" applyNumberFormat="1" applyFont="1" applyBorder="1">
      <alignment/>
      <protection/>
    </xf>
    <xf numFmtId="0" fontId="58" fillId="0" borderId="24" xfId="58" applyFont="1" applyBorder="1">
      <alignment/>
      <protection/>
    </xf>
    <xf numFmtId="3" fontId="58" fillId="0" borderId="24" xfId="58" applyNumberFormat="1" applyFont="1" applyBorder="1">
      <alignment/>
      <protection/>
    </xf>
    <xf numFmtId="0" fontId="61" fillId="0" borderId="24" xfId="58" applyFont="1" applyBorder="1">
      <alignment/>
      <protection/>
    </xf>
    <xf numFmtId="0" fontId="61" fillId="0" borderId="0" xfId="58" applyFont="1">
      <alignment/>
      <protection/>
    </xf>
    <xf numFmtId="0" fontId="61" fillId="0" borderId="24" xfId="58" applyFont="1" applyBorder="1" applyAlignment="1">
      <alignment horizontal="left"/>
      <protection/>
    </xf>
    <xf numFmtId="3" fontId="61" fillId="0" borderId="24" xfId="58" applyNumberFormat="1" applyFont="1" applyBorder="1">
      <alignment/>
      <protection/>
    </xf>
    <xf numFmtId="0" fontId="3" fillId="0" borderId="24" xfId="58" applyFont="1" applyBorder="1">
      <alignment/>
      <protection/>
    </xf>
    <xf numFmtId="3" fontId="3" fillId="0" borderId="24" xfId="58" applyNumberFormat="1" applyFont="1" applyBorder="1">
      <alignment/>
      <protection/>
    </xf>
    <xf numFmtId="0" fontId="50" fillId="0" borderId="24" xfId="58" applyFont="1" applyBorder="1" applyAlignment="1">
      <alignment horizontal="left"/>
      <protection/>
    </xf>
    <xf numFmtId="3" fontId="6" fillId="0" borderId="24" xfId="58" applyNumberFormat="1" applyFont="1" applyBorder="1">
      <alignment/>
      <protection/>
    </xf>
    <xf numFmtId="3" fontId="3" fillId="0" borderId="24" xfId="58" applyNumberFormat="1" applyFont="1" applyFill="1" applyBorder="1">
      <alignment/>
      <protection/>
    </xf>
    <xf numFmtId="3" fontId="6" fillId="0" borderId="24" xfId="58" applyNumberFormat="1" applyFont="1" applyFill="1" applyBorder="1">
      <alignment/>
      <protection/>
    </xf>
    <xf numFmtId="3" fontId="4" fillId="0" borderId="24" xfId="58" applyNumberFormat="1" applyFont="1" applyBorder="1">
      <alignment/>
      <protection/>
    </xf>
    <xf numFmtId="0" fontId="50" fillId="0" borderId="24" xfId="58" applyFont="1" applyBorder="1">
      <alignment/>
      <protection/>
    </xf>
    <xf numFmtId="3" fontId="50" fillId="0" borderId="24" xfId="58" applyNumberFormat="1" applyFont="1" applyBorder="1">
      <alignment/>
      <protection/>
    </xf>
    <xf numFmtId="0" fontId="0" fillId="0" borderId="24" xfId="58" applyBorder="1">
      <alignment/>
      <protection/>
    </xf>
    <xf numFmtId="0" fontId="50" fillId="0" borderId="17" xfId="58" applyFont="1" applyBorder="1" applyAlignment="1">
      <alignment horizontal="left"/>
      <protection/>
    </xf>
    <xf numFmtId="0" fontId="50" fillId="0" borderId="20" xfId="58" applyFont="1" applyBorder="1" applyAlignment="1">
      <alignment horizontal="left"/>
      <protection/>
    </xf>
    <xf numFmtId="0" fontId="0" fillId="0" borderId="17" xfId="58" applyBorder="1">
      <alignment/>
      <protection/>
    </xf>
    <xf numFmtId="0" fontId="0" fillId="0" borderId="0" xfId="58">
      <alignment/>
      <protection/>
    </xf>
    <xf numFmtId="3" fontId="16" fillId="0" borderId="24" xfId="58" applyNumberFormat="1" applyFont="1" applyBorder="1">
      <alignment/>
      <protection/>
    </xf>
    <xf numFmtId="3" fontId="3" fillId="0" borderId="12" xfId="60" applyNumberFormat="1" applyFont="1" applyFill="1" applyBorder="1" applyAlignment="1">
      <alignment horizontal="center" vertical="center" wrapText="1"/>
      <protection/>
    </xf>
    <xf numFmtId="49" fontId="5" fillId="0" borderId="62" xfId="0" applyNumberFormat="1" applyFont="1" applyFill="1" applyBorder="1" applyAlignment="1">
      <alignment horizontal="center" vertical="center"/>
    </xf>
    <xf numFmtId="0" fontId="5" fillId="0" borderId="125" xfId="0" applyFont="1" applyFill="1" applyBorder="1" applyAlignment="1">
      <alignment horizontal="center" vertical="center" wrapText="1"/>
    </xf>
    <xf numFmtId="49" fontId="5" fillId="0" borderId="125" xfId="0" applyNumberFormat="1" applyFont="1" applyFill="1" applyBorder="1" applyAlignment="1">
      <alignment horizontal="center" vertical="center" wrapText="1"/>
    </xf>
    <xf numFmtId="49" fontId="5" fillId="0" borderId="62" xfId="60" applyNumberFormat="1" applyFont="1" applyFill="1" applyBorder="1" applyAlignment="1">
      <alignment horizontal="center" vertical="center"/>
      <protection/>
    </xf>
    <xf numFmtId="3" fontId="3" fillId="0" borderId="25" xfId="60" applyNumberFormat="1" applyFont="1" applyFill="1" applyBorder="1" applyAlignment="1">
      <alignment vertical="center" wrapText="1"/>
      <protection/>
    </xf>
    <xf numFmtId="0" fontId="4" fillId="0" borderId="17" xfId="60" applyFont="1" applyFill="1" applyBorder="1" applyAlignment="1">
      <alignment horizontal="left" vertical="center" wrapText="1"/>
      <protection/>
    </xf>
    <xf numFmtId="3" fontId="3" fillId="0" borderId="13" xfId="60" applyNumberFormat="1" applyFont="1" applyFill="1" applyBorder="1" applyAlignment="1">
      <alignment horizontal="left" vertical="center" wrapText="1"/>
      <protection/>
    </xf>
    <xf numFmtId="3" fontId="58" fillId="0" borderId="32" xfId="60" applyNumberFormat="1" applyFont="1" applyFill="1" applyBorder="1" applyAlignment="1">
      <alignment vertical="center"/>
      <protection/>
    </xf>
    <xf numFmtId="3" fontId="1" fillId="0" borderId="17" xfId="58" applyNumberFormat="1" applyFont="1" applyBorder="1">
      <alignment/>
      <protection/>
    </xf>
    <xf numFmtId="3" fontId="0" fillId="0" borderId="19" xfId="58" applyNumberFormat="1" applyBorder="1">
      <alignment/>
      <protection/>
    </xf>
    <xf numFmtId="3" fontId="1" fillId="0" borderId="20" xfId="58" applyNumberFormat="1" applyFont="1" applyBorder="1">
      <alignment/>
      <protection/>
    </xf>
    <xf numFmtId="3" fontId="32" fillId="0" borderId="0" xfId="59" applyNumberFormat="1" applyFont="1" applyBorder="1" applyAlignment="1">
      <alignment/>
      <protection/>
    </xf>
    <xf numFmtId="3" fontId="32" fillId="0" borderId="89" xfId="59" applyNumberFormat="1" applyFont="1" applyBorder="1" applyAlignment="1">
      <alignment/>
      <protection/>
    </xf>
    <xf numFmtId="0" fontId="11" fillId="0" borderId="24" xfId="0" applyFont="1" applyFill="1" applyBorder="1" applyAlignment="1">
      <alignment horizontal="left" vertical="center" wrapText="1"/>
    </xf>
    <xf numFmtId="3" fontId="11" fillId="0" borderId="13" xfId="0" applyNumberFormat="1" applyFont="1" applyFill="1" applyBorder="1" applyAlignment="1">
      <alignment horizontal="right" vertical="center"/>
    </xf>
    <xf numFmtId="0" fontId="32" fillId="0" borderId="24" xfId="0" applyFont="1" applyFill="1" applyBorder="1" applyAlignment="1">
      <alignment/>
    </xf>
    <xf numFmtId="3" fontId="0" fillId="37" borderId="24" xfId="0" applyNumberFormat="1" applyFill="1" applyBorder="1" applyAlignment="1">
      <alignment/>
    </xf>
    <xf numFmtId="3" fontId="0" fillId="6" borderId="40" xfId="0" applyNumberFormat="1" applyFill="1" applyBorder="1" applyAlignment="1">
      <alignment/>
    </xf>
    <xf numFmtId="0" fontId="0" fillId="0" borderId="126" xfId="0" applyBorder="1" applyAlignment="1">
      <alignment horizontal="center"/>
    </xf>
    <xf numFmtId="0" fontId="0" fillId="0" borderId="127" xfId="0" applyBorder="1" applyAlignment="1">
      <alignment horizontal="left"/>
    </xf>
    <xf numFmtId="3" fontId="27" fillId="6" borderId="11" xfId="0" applyNumberFormat="1" applyFont="1" applyFill="1" applyBorder="1" applyAlignment="1">
      <alignment/>
    </xf>
    <xf numFmtId="3" fontId="27" fillId="6" borderId="15" xfId="0" applyNumberFormat="1" applyFont="1" applyFill="1" applyBorder="1" applyAlignment="1">
      <alignment/>
    </xf>
    <xf numFmtId="3" fontId="0" fillId="6" borderId="24" xfId="0" applyNumberFormat="1" applyFill="1" applyBorder="1" applyAlignment="1">
      <alignment/>
    </xf>
    <xf numFmtId="3" fontId="0" fillId="6" borderId="21" xfId="0" applyNumberFormat="1" applyFill="1" applyBorder="1" applyAlignment="1">
      <alignment/>
    </xf>
    <xf numFmtId="0" fontId="50" fillId="0" borderId="24" xfId="0" applyFont="1" applyBorder="1" applyAlignment="1">
      <alignment horizontal="left" vertical="top"/>
    </xf>
    <xf numFmtId="3" fontId="50" fillId="0" borderId="64" xfId="0" applyNumberFormat="1" applyFont="1" applyFill="1" applyBorder="1" applyAlignment="1">
      <alignment/>
    </xf>
    <xf numFmtId="0" fontId="0" fillId="0" borderId="24" xfId="58" applyFont="1" applyBorder="1">
      <alignment/>
      <protection/>
    </xf>
    <xf numFmtId="0" fontId="32" fillId="37" borderId="24" xfId="0" applyFont="1" applyFill="1" applyBorder="1" applyAlignment="1">
      <alignment/>
    </xf>
    <xf numFmtId="3" fontId="20" fillId="37" borderId="24" xfId="62" applyNumberFormat="1" applyFont="1" applyFill="1" applyBorder="1" applyAlignment="1">
      <alignment horizontal="right" vertical="center" wrapText="1"/>
      <protection/>
    </xf>
    <xf numFmtId="0" fontId="66" fillId="0" borderId="0" xfId="0" applyFont="1" applyAlignment="1">
      <alignment/>
    </xf>
    <xf numFmtId="0" fontId="134" fillId="0" borderId="0" xfId="0" applyFont="1" applyAlignment="1">
      <alignment/>
    </xf>
    <xf numFmtId="3" fontId="135" fillId="0" borderId="24" xfId="0" applyNumberFormat="1" applyFont="1" applyBorder="1" applyAlignment="1">
      <alignment vertical="center"/>
    </xf>
    <xf numFmtId="0" fontId="32" fillId="0" borderId="33" xfId="59" applyFont="1" applyBorder="1" applyAlignment="1">
      <alignment horizontal="left" wrapText="1"/>
      <protection/>
    </xf>
    <xf numFmtId="0" fontId="32" fillId="0" borderId="99" xfId="59" applyFont="1" applyBorder="1" applyAlignment="1">
      <alignment horizontal="left" wrapText="1"/>
      <protection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3" fontId="46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83" fillId="0" borderId="0" xfId="57" applyFont="1" applyAlignment="1">
      <alignment/>
      <protection/>
    </xf>
    <xf numFmtId="0" fontId="52" fillId="0" borderId="0" xfId="60" applyFont="1" applyFill="1" applyBorder="1" applyAlignment="1">
      <alignment horizontal="left" vertical="center"/>
      <protection/>
    </xf>
    <xf numFmtId="3" fontId="52" fillId="0" borderId="0" xfId="60" applyNumberFormat="1" applyFont="1" applyFill="1" applyBorder="1" applyAlignment="1">
      <alignment vertical="center"/>
      <protection/>
    </xf>
    <xf numFmtId="0" fontId="73" fillId="0" borderId="33" xfId="59" applyFont="1" applyBorder="1">
      <alignment/>
      <protection/>
    </xf>
    <xf numFmtId="3" fontId="11" fillId="37" borderId="13" xfId="0" applyNumberFormat="1" applyFont="1" applyFill="1" applyBorder="1" applyAlignment="1">
      <alignment vertical="center"/>
    </xf>
    <xf numFmtId="0" fontId="11" fillId="0" borderId="24" xfId="0" applyFont="1" applyFill="1" applyBorder="1" applyAlignment="1">
      <alignment vertical="center"/>
    </xf>
    <xf numFmtId="0" fontId="12" fillId="0" borderId="34" xfId="0" applyFont="1" applyFill="1" applyBorder="1" applyAlignment="1">
      <alignment vertical="center"/>
    </xf>
    <xf numFmtId="0" fontId="67" fillId="0" borderId="0" xfId="0" applyFont="1" applyAlignment="1">
      <alignment vertical="center"/>
    </xf>
    <xf numFmtId="0" fontId="30" fillId="0" borderId="24" xfId="0" applyFont="1" applyBorder="1" applyAlignment="1">
      <alignment vertical="center"/>
    </xf>
    <xf numFmtId="3" fontId="30" fillId="37" borderId="24" xfId="0" applyNumberFormat="1" applyFont="1" applyFill="1" applyBorder="1" applyAlignment="1">
      <alignment vertical="center"/>
    </xf>
    <xf numFmtId="3" fontId="30" fillId="0" borderId="24" xfId="0" applyNumberFormat="1" applyFont="1" applyBorder="1" applyAlignment="1">
      <alignment vertical="center"/>
    </xf>
    <xf numFmtId="0" fontId="85" fillId="0" borderId="24" xfId="0" applyFont="1" applyBorder="1" applyAlignment="1">
      <alignment horizontal="center" vertical="center"/>
    </xf>
    <xf numFmtId="0" fontId="85" fillId="0" borderId="24" xfId="0" applyFont="1" applyBorder="1" applyAlignment="1">
      <alignment vertical="center"/>
    </xf>
    <xf numFmtId="3" fontId="85" fillId="0" borderId="24" xfId="0" applyNumberFormat="1" applyFont="1" applyBorder="1" applyAlignment="1">
      <alignment vertical="center"/>
    </xf>
    <xf numFmtId="0" fontId="59" fillId="0" borderId="24" xfId="0" applyFont="1" applyBorder="1" applyAlignment="1">
      <alignment horizontal="center" vertical="center"/>
    </xf>
    <xf numFmtId="0" fontId="59" fillId="0" borderId="24" xfId="0" applyFont="1" applyBorder="1" applyAlignment="1">
      <alignment vertical="center"/>
    </xf>
    <xf numFmtId="3" fontId="59" fillId="0" borderId="24" xfId="0" applyNumberFormat="1" applyFont="1" applyBorder="1" applyAlignment="1">
      <alignment vertical="center"/>
    </xf>
    <xf numFmtId="0" fontId="67" fillId="0" borderId="0" xfId="62" applyFont="1" applyAlignment="1">
      <alignment vertical="center"/>
      <protection/>
    </xf>
    <xf numFmtId="4" fontId="27" fillId="6" borderId="53" xfId="0" applyNumberFormat="1" applyFont="1" applyFill="1" applyBorder="1" applyAlignment="1">
      <alignment/>
    </xf>
    <xf numFmtId="4" fontId="27" fillId="34" borderId="53" xfId="0" applyNumberFormat="1" applyFont="1" applyFill="1" applyBorder="1" applyAlignment="1">
      <alignment/>
    </xf>
    <xf numFmtId="3" fontId="27" fillId="6" borderId="53" xfId="0" applyNumberFormat="1" applyFont="1" applyFill="1" applyBorder="1" applyAlignment="1">
      <alignment/>
    </xf>
    <xf numFmtId="49" fontId="55" fillId="0" borderId="24" xfId="61" applyNumberFormat="1" applyFont="1" applyBorder="1" applyAlignment="1">
      <alignment vertical="center"/>
      <protection/>
    </xf>
    <xf numFmtId="0" fontId="55" fillId="0" borderId="24" xfId="61" applyFont="1" applyBorder="1">
      <alignment/>
      <protection/>
    </xf>
    <xf numFmtId="0" fontId="55" fillId="0" borderId="17" xfId="61" applyFont="1" applyBorder="1">
      <alignment/>
      <protection/>
    </xf>
    <xf numFmtId="3" fontId="55" fillId="0" borderId="27" xfId="61" applyNumberFormat="1" applyFont="1" applyBorder="1">
      <alignment/>
      <protection/>
    </xf>
    <xf numFmtId="3" fontId="55" fillId="0" borderId="24" xfId="61" applyNumberFormat="1" applyFont="1" applyBorder="1">
      <alignment/>
      <protection/>
    </xf>
    <xf numFmtId="3" fontId="55" fillId="0" borderId="13" xfId="61" applyNumberFormat="1" applyFont="1" applyBorder="1">
      <alignment/>
      <protection/>
    </xf>
    <xf numFmtId="3" fontId="55" fillId="0" borderId="20" xfId="61" applyNumberFormat="1" applyFont="1" applyBorder="1">
      <alignment/>
      <protection/>
    </xf>
    <xf numFmtId="3" fontId="55" fillId="0" borderId="49" xfId="61" applyNumberFormat="1" applyFont="1" applyBorder="1">
      <alignment/>
      <protection/>
    </xf>
    <xf numFmtId="3" fontId="55" fillId="0" borderId="0" xfId="61" applyNumberFormat="1" applyFont="1">
      <alignment/>
      <protection/>
    </xf>
    <xf numFmtId="49" fontId="19" fillId="0" borderId="34" xfId="61" applyNumberFormat="1" applyBorder="1" applyAlignment="1">
      <alignment vertical="center"/>
      <protection/>
    </xf>
    <xf numFmtId="3" fontId="19" fillId="0" borderId="63" xfId="61" applyNumberFormat="1" applyBorder="1">
      <alignment/>
      <protection/>
    </xf>
    <xf numFmtId="3" fontId="19" fillId="0" borderId="34" xfId="61" applyNumberFormat="1" applyBorder="1">
      <alignment/>
      <protection/>
    </xf>
    <xf numFmtId="3" fontId="19" fillId="0" borderId="76" xfId="61" applyNumberFormat="1" applyBorder="1">
      <alignment/>
      <protection/>
    </xf>
    <xf numFmtId="4" fontId="19" fillId="0" borderId="63" xfId="61" applyNumberFormat="1" applyFill="1" applyBorder="1">
      <alignment/>
      <protection/>
    </xf>
    <xf numFmtId="3" fontId="19" fillId="0" borderId="29" xfId="61" applyNumberFormat="1" applyFill="1" applyBorder="1">
      <alignment/>
      <protection/>
    </xf>
    <xf numFmtId="2" fontId="19" fillId="0" borderId="29" xfId="61" applyNumberFormat="1" applyBorder="1">
      <alignment/>
      <protection/>
    </xf>
    <xf numFmtId="3" fontId="19" fillId="0" borderId="34" xfId="61" applyNumberFormat="1" applyFill="1" applyBorder="1">
      <alignment/>
      <protection/>
    </xf>
    <xf numFmtId="3" fontId="2" fillId="38" borderId="31" xfId="61" applyNumberFormat="1" applyFont="1" applyFill="1" applyBorder="1" applyAlignment="1">
      <alignment horizontal="center"/>
      <protection/>
    </xf>
    <xf numFmtId="3" fontId="2" fillId="38" borderId="21" xfId="61" applyNumberFormat="1" applyFont="1" applyFill="1" applyBorder="1" applyAlignment="1">
      <alignment horizontal="center"/>
      <protection/>
    </xf>
    <xf numFmtId="3" fontId="1" fillId="38" borderId="32" xfId="61" applyNumberFormat="1" applyFont="1" applyFill="1" applyBorder="1">
      <alignment/>
      <protection/>
    </xf>
    <xf numFmtId="3" fontId="2" fillId="38" borderId="23" xfId="61" applyNumberFormat="1" applyFont="1" applyFill="1" applyBorder="1" applyAlignment="1">
      <alignment horizontal="center"/>
      <protection/>
    </xf>
    <xf numFmtId="3" fontId="27" fillId="38" borderId="127" xfId="61" applyNumberFormat="1" applyFont="1" applyFill="1" applyBorder="1">
      <alignment/>
      <protection/>
    </xf>
    <xf numFmtId="3" fontId="2" fillId="37" borderId="0" xfId="61" applyNumberFormat="1" applyFont="1" applyFill="1" applyBorder="1">
      <alignment/>
      <protection/>
    </xf>
    <xf numFmtId="3" fontId="1" fillId="37" borderId="0" xfId="61" applyNumberFormat="1" applyFont="1" applyFill="1" applyBorder="1">
      <alignment/>
      <protection/>
    </xf>
    <xf numFmtId="0" fontId="2" fillId="37" borderId="126" xfId="61" applyFont="1" applyFill="1" applyBorder="1" applyAlignment="1">
      <alignment horizontal="center"/>
      <protection/>
    </xf>
    <xf numFmtId="0" fontId="2" fillId="37" borderId="0" xfId="61" applyFont="1" applyFill="1" applyBorder="1" applyAlignment="1">
      <alignment horizontal="center"/>
      <protection/>
    </xf>
    <xf numFmtId="0" fontId="2" fillId="37" borderId="89" xfId="61" applyFont="1" applyFill="1" applyBorder="1" applyAlignment="1">
      <alignment horizontal="center"/>
      <protection/>
    </xf>
    <xf numFmtId="49" fontId="27" fillId="33" borderId="53" xfId="61" applyNumberFormat="1" applyFont="1" applyFill="1" applyBorder="1" applyAlignment="1">
      <alignment horizontal="center" vertical="center"/>
      <protection/>
    </xf>
    <xf numFmtId="0" fontId="27" fillId="33" borderId="53" xfId="61" applyFont="1" applyFill="1" applyBorder="1" applyAlignment="1">
      <alignment vertical="center"/>
      <protection/>
    </xf>
    <xf numFmtId="0" fontId="27" fillId="33" borderId="128" xfId="61" applyFont="1" applyFill="1" applyBorder="1" applyAlignment="1">
      <alignment vertical="center" wrapText="1"/>
      <protection/>
    </xf>
    <xf numFmtId="3" fontId="27" fillId="33" borderId="51" xfId="61" applyNumberFormat="1" applyFont="1" applyFill="1" applyBorder="1" applyAlignment="1">
      <alignment vertical="center"/>
      <protection/>
    </xf>
    <xf numFmtId="3" fontId="27" fillId="33" borderId="53" xfId="61" applyNumberFormat="1" applyFont="1" applyFill="1" applyBorder="1" applyAlignment="1">
      <alignment vertical="center"/>
      <protection/>
    </xf>
    <xf numFmtId="3" fontId="27" fillId="33" borderId="10" xfId="61" applyNumberFormat="1" applyFont="1" applyFill="1" applyBorder="1" applyAlignment="1">
      <alignment vertical="center"/>
      <protection/>
    </xf>
    <xf numFmtId="3" fontId="27" fillId="33" borderId="52" xfId="61" applyNumberFormat="1" applyFont="1" applyFill="1" applyBorder="1" applyAlignment="1">
      <alignment vertical="center"/>
      <protection/>
    </xf>
    <xf numFmtId="3" fontId="27" fillId="33" borderId="54" xfId="61" applyNumberFormat="1" applyFont="1" applyFill="1" applyBorder="1" applyAlignment="1">
      <alignment vertical="center"/>
      <protection/>
    </xf>
    <xf numFmtId="3" fontId="53" fillId="33" borderId="60" xfId="61" applyNumberFormat="1" applyFont="1" applyFill="1" applyBorder="1" applyAlignment="1">
      <alignment horizontal="center"/>
      <protection/>
    </xf>
    <xf numFmtId="3" fontId="53" fillId="33" borderId="58" xfId="61" applyNumberFormat="1" applyFont="1" applyFill="1" applyBorder="1" applyAlignment="1">
      <alignment horizontal="center"/>
      <protection/>
    </xf>
    <xf numFmtId="3" fontId="53" fillId="33" borderId="59" xfId="61" applyNumberFormat="1" applyFont="1" applyFill="1" applyBorder="1">
      <alignment/>
      <protection/>
    </xf>
    <xf numFmtId="3" fontId="53" fillId="33" borderId="129" xfId="61" applyNumberFormat="1" applyFont="1" applyFill="1" applyBorder="1" applyAlignment="1">
      <alignment horizontal="center"/>
      <protection/>
    </xf>
    <xf numFmtId="0" fontId="32" fillId="0" borderId="38" xfId="59" applyFont="1" applyBorder="1" applyAlignment="1">
      <alignment horizontal="left"/>
      <protection/>
    </xf>
    <xf numFmtId="0" fontId="114" fillId="0" borderId="0" xfId="0" applyFont="1" applyAlignment="1">
      <alignment/>
    </xf>
    <xf numFmtId="0" fontId="0" fillId="0" borderId="0" xfId="0" applyFont="1" applyAlignment="1">
      <alignment/>
    </xf>
    <xf numFmtId="0" fontId="136" fillId="0" borderId="0" xfId="0" applyFont="1" applyAlignment="1">
      <alignment/>
    </xf>
    <xf numFmtId="0" fontId="137" fillId="0" borderId="0" xfId="0" applyFont="1" applyAlignment="1">
      <alignment/>
    </xf>
    <xf numFmtId="0" fontId="138" fillId="0" borderId="0" xfId="0" applyFont="1" applyAlignment="1">
      <alignment/>
    </xf>
    <xf numFmtId="3" fontId="1" fillId="0" borderId="24" xfId="0" applyNumberFormat="1" applyFont="1" applyBorder="1" applyAlignment="1">
      <alignment/>
    </xf>
    <xf numFmtId="3" fontId="58" fillId="0" borderId="24" xfId="58" applyNumberFormat="1" applyFont="1" applyFill="1" applyBorder="1">
      <alignment/>
      <protection/>
    </xf>
    <xf numFmtId="0" fontId="26" fillId="0" borderId="0" xfId="57" applyFont="1" applyBorder="1" applyAlignment="1">
      <alignment horizontal="center"/>
      <protection/>
    </xf>
    <xf numFmtId="0" fontId="37" fillId="0" borderId="0" xfId="57" applyFont="1" applyBorder="1" applyAlignment="1">
      <alignment horizontal="right"/>
      <protection/>
    </xf>
    <xf numFmtId="3" fontId="42" fillId="0" borderId="0" xfId="48" applyNumberFormat="1" applyFont="1" applyBorder="1" applyAlignment="1">
      <alignment horizontal="right"/>
    </xf>
    <xf numFmtId="0" fontId="88" fillId="0" borderId="0" xfId="57" applyFont="1" applyAlignment="1">
      <alignment/>
      <protection/>
    </xf>
    <xf numFmtId="0" fontId="139" fillId="0" borderId="0" xfId="57" applyFont="1" applyAlignment="1">
      <alignment/>
      <protection/>
    </xf>
    <xf numFmtId="0" fontId="114" fillId="0" borderId="0" xfId="0" applyFont="1" applyFill="1" applyAlignment="1">
      <alignment vertical="center"/>
    </xf>
    <xf numFmtId="0" fontId="89" fillId="0" borderId="0" xfId="0" applyFont="1" applyAlignment="1">
      <alignment/>
    </xf>
    <xf numFmtId="0" fontId="114" fillId="0" borderId="0" xfId="57" applyFont="1">
      <alignment/>
      <protection/>
    </xf>
    <xf numFmtId="0" fontId="115" fillId="0" borderId="0" xfId="57" applyFont="1" applyAlignment="1">
      <alignment horizontal="center"/>
      <protection/>
    </xf>
    <xf numFmtId="0" fontId="114" fillId="0" borderId="0" xfId="57" applyFont="1" applyBorder="1">
      <alignment/>
      <protection/>
    </xf>
    <xf numFmtId="0" fontId="88" fillId="0" borderId="0" xfId="0" applyFont="1" applyAlignment="1">
      <alignment/>
    </xf>
    <xf numFmtId="0" fontId="53" fillId="0" borderId="37" xfId="60" applyFont="1" applyFill="1" applyBorder="1" applyAlignment="1">
      <alignment vertical="center" wrapText="1"/>
      <protection/>
    </xf>
    <xf numFmtId="0" fontId="19" fillId="0" borderId="0" xfId="59" applyFont="1" applyBorder="1">
      <alignment/>
      <protection/>
    </xf>
    <xf numFmtId="3" fontId="19" fillId="0" borderId="38" xfId="59" applyNumberFormat="1" applyFont="1" applyBorder="1">
      <alignment/>
      <protection/>
    </xf>
    <xf numFmtId="0" fontId="19" fillId="0" borderId="98" xfId="59" applyBorder="1">
      <alignment/>
      <protection/>
    </xf>
    <xf numFmtId="3" fontId="32" fillId="0" borderId="118" xfId="59" applyNumberFormat="1" applyFont="1" applyFill="1" applyBorder="1">
      <alignment/>
      <protection/>
    </xf>
    <xf numFmtId="0" fontId="32" fillId="0" borderId="86" xfId="59" applyFont="1" applyBorder="1" applyAlignment="1">
      <alignment/>
      <protection/>
    </xf>
    <xf numFmtId="0" fontId="32" fillId="0" borderId="36" xfId="59" applyFont="1" applyBorder="1" applyAlignment="1">
      <alignment/>
      <protection/>
    </xf>
    <xf numFmtId="0" fontId="32" fillId="0" borderId="36" xfId="59" applyFont="1" applyBorder="1">
      <alignment/>
      <protection/>
    </xf>
    <xf numFmtId="0" fontId="32" fillId="0" borderId="40" xfId="59" applyFont="1" applyBorder="1" applyAlignment="1">
      <alignment/>
      <protection/>
    </xf>
    <xf numFmtId="0" fontId="32" fillId="0" borderId="0" xfId="59" applyFont="1" applyBorder="1" applyAlignment="1">
      <alignment/>
      <protection/>
    </xf>
    <xf numFmtId="0" fontId="27" fillId="0" borderId="99" xfId="59" applyFont="1" applyBorder="1" applyAlignment="1">
      <alignment horizontal="center" vertical="center"/>
      <protection/>
    </xf>
    <xf numFmtId="0" fontId="27" fillId="0" borderId="130" xfId="59" applyFont="1" applyBorder="1" applyAlignment="1">
      <alignment horizontal="center" vertical="center"/>
      <protection/>
    </xf>
    <xf numFmtId="0" fontId="1" fillId="0" borderId="130" xfId="60" applyFont="1" applyFill="1" applyBorder="1" applyAlignment="1">
      <alignment horizontal="center" vertical="center" wrapText="1"/>
      <protection/>
    </xf>
    <xf numFmtId="0" fontId="27" fillId="0" borderId="131" xfId="59" applyFont="1" applyBorder="1" applyAlignment="1">
      <alignment horizontal="center" vertical="center"/>
      <protection/>
    </xf>
    <xf numFmtId="0" fontId="27" fillId="0" borderId="58" xfId="59" applyFont="1" applyBorder="1" applyAlignment="1">
      <alignment vertical="center"/>
      <protection/>
    </xf>
    <xf numFmtId="3" fontId="19" fillId="0" borderId="64" xfId="59" applyNumberFormat="1" applyFont="1" applyBorder="1" applyAlignment="1">
      <alignment horizontal="right"/>
      <protection/>
    </xf>
    <xf numFmtId="3" fontId="19" fillId="0" borderId="0" xfId="59" applyNumberFormat="1" applyFont="1" applyBorder="1">
      <alignment/>
      <protection/>
    </xf>
    <xf numFmtId="3" fontId="19" fillId="0" borderId="85" xfId="59" applyNumberFormat="1" applyFont="1" applyBorder="1">
      <alignment/>
      <protection/>
    </xf>
    <xf numFmtId="3" fontId="54" fillId="0" borderId="80" xfId="59" applyNumberFormat="1" applyFont="1" applyBorder="1" applyAlignment="1">
      <alignment horizontal="right"/>
      <protection/>
    </xf>
    <xf numFmtId="3" fontId="54" fillId="0" borderId="58" xfId="59" applyNumberFormat="1" applyFont="1" applyBorder="1" applyAlignment="1">
      <alignment horizontal="right"/>
      <protection/>
    </xf>
    <xf numFmtId="3" fontId="54" fillId="0" borderId="132" xfId="59" applyNumberFormat="1" applyFont="1" applyBorder="1">
      <alignment/>
      <protection/>
    </xf>
    <xf numFmtId="0" fontId="27" fillId="0" borderId="21" xfId="59" applyFont="1" applyBorder="1" applyAlignment="1">
      <alignment horizontal="center" vertical="center"/>
      <protection/>
    </xf>
    <xf numFmtId="0" fontId="27" fillId="0" borderId="79" xfId="59" applyFont="1" applyBorder="1" applyAlignment="1">
      <alignment horizontal="center" vertical="center"/>
      <protection/>
    </xf>
    <xf numFmtId="0" fontId="73" fillId="0" borderId="40" xfId="59" applyFont="1" applyBorder="1" applyAlignment="1">
      <alignment wrapText="1"/>
      <protection/>
    </xf>
    <xf numFmtId="0" fontId="73" fillId="0" borderId="0" xfId="59" applyFont="1" applyBorder="1" applyAlignment="1">
      <alignment wrapText="1"/>
      <protection/>
    </xf>
    <xf numFmtId="0" fontId="73" fillId="0" borderId="40" xfId="59" applyFont="1" applyBorder="1" applyAlignment="1">
      <alignment/>
      <protection/>
    </xf>
    <xf numFmtId="0" fontId="73" fillId="0" borderId="0" xfId="59" applyFont="1" applyBorder="1" applyAlignment="1">
      <alignment/>
      <protection/>
    </xf>
    <xf numFmtId="3" fontId="27" fillId="35" borderId="120" xfId="59" applyNumberFormat="1" applyFont="1" applyFill="1" applyBorder="1">
      <alignment/>
      <protection/>
    </xf>
    <xf numFmtId="0" fontId="32" fillId="35" borderId="104" xfId="59" applyFont="1" applyFill="1" applyBorder="1" applyAlignment="1">
      <alignment horizontal="left" wrapText="1"/>
      <protection/>
    </xf>
    <xf numFmtId="3" fontId="31" fillId="35" borderId="133" xfId="59" applyNumberFormat="1" applyFont="1" applyFill="1" applyBorder="1">
      <alignment/>
      <protection/>
    </xf>
    <xf numFmtId="3" fontId="56" fillId="0" borderId="92" xfId="59" applyNumberFormat="1" applyFont="1" applyBorder="1">
      <alignment/>
      <protection/>
    </xf>
    <xf numFmtId="0" fontId="19" fillId="36" borderId="27" xfId="0" applyFont="1" applyFill="1" applyBorder="1" applyAlignment="1">
      <alignment wrapText="1"/>
    </xf>
    <xf numFmtId="0" fontId="19" fillId="36" borderId="24" xfId="0" applyFont="1" applyFill="1" applyBorder="1" applyAlignment="1">
      <alignment/>
    </xf>
    <xf numFmtId="0" fontId="19" fillId="0" borderId="27" xfId="0" applyFont="1" applyFill="1" applyBorder="1" applyAlignment="1">
      <alignment wrapText="1"/>
    </xf>
    <xf numFmtId="0" fontId="19" fillId="0" borderId="24" xfId="0" applyFont="1" applyFill="1" applyBorder="1" applyAlignment="1">
      <alignment/>
    </xf>
    <xf numFmtId="0" fontId="19" fillId="24" borderId="24" xfId="0" applyFont="1" applyFill="1" applyBorder="1" applyAlignment="1">
      <alignment/>
    </xf>
    <xf numFmtId="0" fontId="88" fillId="0" borderId="0" xfId="0" applyFont="1" applyFill="1" applyAlignment="1">
      <alignment vertical="center"/>
    </xf>
    <xf numFmtId="0" fontId="139" fillId="0" borderId="0" xfId="0" applyFont="1" applyFill="1" applyAlignment="1">
      <alignment vertical="center"/>
    </xf>
    <xf numFmtId="0" fontId="13" fillId="0" borderId="24" xfId="0" applyFont="1" applyFill="1" applyBorder="1" applyAlignment="1">
      <alignment vertical="center"/>
    </xf>
    <xf numFmtId="0" fontId="13" fillId="0" borderId="24" xfId="0" applyFont="1" applyFill="1" applyBorder="1" applyAlignment="1">
      <alignment horizontal="right" vertical="center"/>
    </xf>
    <xf numFmtId="3" fontId="13" fillId="0" borderId="13" xfId="0" applyNumberFormat="1" applyFont="1" applyFill="1" applyBorder="1" applyAlignment="1">
      <alignment horizontal="right" vertical="center"/>
    </xf>
    <xf numFmtId="0" fontId="18" fillId="0" borderId="31" xfId="0" applyFont="1" applyFill="1" applyBorder="1" applyAlignment="1">
      <alignment horizontal="center" vertical="center"/>
    </xf>
    <xf numFmtId="3" fontId="12" fillId="0" borderId="32" xfId="0" applyNumberFormat="1" applyFont="1" applyFill="1" applyBorder="1" applyAlignment="1">
      <alignment vertical="center"/>
    </xf>
    <xf numFmtId="0" fontId="18" fillId="0" borderId="62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left" vertical="center" wrapText="1"/>
    </xf>
    <xf numFmtId="3" fontId="11" fillId="0" borderId="15" xfId="0" applyNumberFormat="1" applyFont="1" applyFill="1" applyBorder="1" applyAlignment="1">
      <alignment horizontal="right" vertical="center"/>
    </xf>
    <xf numFmtId="0" fontId="18" fillId="0" borderId="63" xfId="0" applyFont="1" applyFill="1" applyBorder="1" applyAlignment="1">
      <alignment horizontal="center" vertical="center"/>
    </xf>
    <xf numFmtId="0" fontId="18" fillId="0" borderId="60" xfId="0" applyFont="1" applyFill="1" applyBorder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62" applyFont="1" applyAlignment="1">
      <alignment vertical="center"/>
      <protection/>
    </xf>
    <xf numFmtId="0" fontId="114" fillId="0" borderId="0" xfId="0" applyFont="1" applyAlignment="1">
      <alignment vertical="center"/>
    </xf>
    <xf numFmtId="0" fontId="24" fillId="0" borderId="0" xfId="0" applyFont="1" applyBorder="1" applyAlignment="1">
      <alignment/>
    </xf>
    <xf numFmtId="3" fontId="19" fillId="6" borderId="51" xfId="0" applyNumberFormat="1" applyFont="1" applyFill="1" applyBorder="1" applyAlignment="1">
      <alignment horizontal="right"/>
    </xf>
    <xf numFmtId="3" fontId="19" fillId="6" borderId="62" xfId="0" applyNumberFormat="1" applyFont="1" applyFill="1" applyBorder="1" applyAlignment="1">
      <alignment horizontal="right"/>
    </xf>
    <xf numFmtId="3" fontId="19" fillId="6" borderId="63" xfId="0" applyNumberFormat="1" applyFont="1" applyFill="1" applyBorder="1" applyAlignment="1">
      <alignment/>
    </xf>
    <xf numFmtId="3" fontId="27" fillId="0" borderId="0" xfId="0" applyNumberFormat="1" applyFont="1" applyFill="1" applyBorder="1" applyAlignment="1">
      <alignment/>
    </xf>
    <xf numFmtId="3" fontId="27" fillId="0" borderId="48" xfId="0" applyNumberFormat="1" applyFont="1" applyFill="1" applyBorder="1" applyAlignment="1">
      <alignment/>
    </xf>
    <xf numFmtId="0" fontId="19" fillId="0" borderId="24" xfId="0" applyFont="1" applyBorder="1" applyAlignment="1">
      <alignment/>
    </xf>
    <xf numFmtId="4" fontId="19" fillId="34" borderId="24" xfId="0" applyNumberFormat="1" applyFont="1" applyFill="1" applyBorder="1" applyAlignment="1">
      <alignment/>
    </xf>
    <xf numFmtId="3" fontId="19" fillId="6" borderId="24" xfId="0" applyNumberFormat="1" applyFont="1" applyFill="1" applyBorder="1" applyAlignment="1">
      <alignment/>
    </xf>
    <xf numFmtId="4" fontId="19" fillId="34" borderId="17" xfId="0" applyNumberFormat="1" applyFont="1" applyFill="1" applyBorder="1" applyAlignment="1">
      <alignment/>
    </xf>
    <xf numFmtId="0" fontId="19" fillId="0" borderId="34" xfId="0" applyFont="1" applyBorder="1" applyAlignment="1">
      <alignment/>
    </xf>
    <xf numFmtId="4" fontId="19" fillId="34" borderId="34" xfId="0" applyNumberFormat="1" applyFont="1" applyFill="1" applyBorder="1" applyAlignment="1">
      <alignment/>
    </xf>
    <xf numFmtId="4" fontId="19" fillId="34" borderId="18" xfId="0" applyNumberFormat="1" applyFont="1" applyFill="1" applyBorder="1" applyAlignment="1">
      <alignment/>
    </xf>
    <xf numFmtId="0" fontId="19" fillId="0" borderId="53" xfId="0" applyFont="1" applyBorder="1" applyAlignment="1">
      <alignment/>
    </xf>
    <xf numFmtId="4" fontId="19" fillId="34" borderId="53" xfId="0" applyNumberFormat="1" applyFont="1" applyFill="1" applyBorder="1" applyAlignment="1">
      <alignment/>
    </xf>
    <xf numFmtId="3" fontId="19" fillId="6" borderId="10" xfId="0" applyNumberFormat="1" applyFont="1" applyFill="1" applyBorder="1" applyAlignment="1">
      <alignment/>
    </xf>
    <xf numFmtId="3" fontId="19" fillId="6" borderId="13" xfId="0" applyNumberFormat="1" applyFont="1" applyFill="1" applyBorder="1" applyAlignment="1">
      <alignment/>
    </xf>
    <xf numFmtId="0" fontId="24" fillId="0" borderId="24" xfId="0" applyFont="1" applyBorder="1" applyAlignment="1">
      <alignment horizontal="center"/>
    </xf>
    <xf numFmtId="0" fontId="19" fillId="0" borderId="24" xfId="61" applyFont="1" applyBorder="1">
      <alignment/>
      <protection/>
    </xf>
    <xf numFmtId="0" fontId="19" fillId="0" borderId="17" xfId="61" applyFont="1" applyBorder="1">
      <alignment/>
      <protection/>
    </xf>
    <xf numFmtId="0" fontId="19" fillId="0" borderId="17" xfId="61" applyFont="1" applyBorder="1" applyAlignment="1">
      <alignment wrapText="1"/>
      <protection/>
    </xf>
    <xf numFmtId="3" fontId="19" fillId="0" borderId="49" xfId="61" applyNumberFormat="1" applyFont="1" applyBorder="1">
      <alignment/>
      <protection/>
    </xf>
    <xf numFmtId="0" fontId="19" fillId="0" borderId="18" xfId="61" applyFont="1" applyBorder="1" applyAlignment="1">
      <alignment wrapText="1"/>
      <protection/>
    </xf>
    <xf numFmtId="0" fontId="88" fillId="0" borderId="0" xfId="61" applyFont="1">
      <alignment/>
      <protection/>
    </xf>
    <xf numFmtId="0" fontId="114" fillId="0" borderId="0" xfId="61" applyFont="1">
      <alignment/>
      <protection/>
    </xf>
    <xf numFmtId="0" fontId="139" fillId="0" borderId="0" xfId="61" applyFont="1">
      <alignment/>
      <protection/>
    </xf>
    <xf numFmtId="0" fontId="16" fillId="0" borderId="24" xfId="0" applyFont="1" applyBorder="1" applyAlignment="1">
      <alignment horizontal="left"/>
    </xf>
    <xf numFmtId="0" fontId="60" fillId="0" borderId="1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70" fillId="0" borderId="24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4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7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1" fillId="0" borderId="17" xfId="0" applyFont="1" applyFill="1" applyBorder="1" applyAlignment="1">
      <alignment horizontal="center" vertical="center" wrapText="1"/>
    </xf>
    <xf numFmtId="0" fontId="75" fillId="0" borderId="19" xfId="0" applyFont="1" applyBorder="1" applyAlignment="1">
      <alignment horizontal="center" vertical="center" wrapText="1"/>
    </xf>
    <xf numFmtId="0" fontId="75" fillId="0" borderId="20" xfId="0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3" fillId="0" borderId="17" xfId="58" applyFont="1" applyBorder="1" applyAlignment="1">
      <alignment horizontal="left" wrapText="1"/>
      <protection/>
    </xf>
    <xf numFmtId="0" fontId="3" fillId="0" borderId="20" xfId="58" applyFont="1" applyBorder="1" applyAlignment="1">
      <alignment horizontal="left" wrapText="1"/>
      <protection/>
    </xf>
    <xf numFmtId="0" fontId="5" fillId="0" borderId="24" xfId="58" applyFont="1" applyBorder="1" applyAlignment="1">
      <alignment horizontal="left"/>
      <protection/>
    </xf>
    <xf numFmtId="0" fontId="16" fillId="0" borderId="17" xfId="58" applyFont="1" applyBorder="1" applyAlignment="1">
      <alignment horizontal="left"/>
      <protection/>
    </xf>
    <xf numFmtId="0" fontId="16" fillId="0" borderId="19" xfId="58" applyFont="1" applyBorder="1" applyAlignment="1">
      <alignment horizontal="left"/>
      <protection/>
    </xf>
    <xf numFmtId="0" fontId="16" fillId="0" borderId="20" xfId="58" applyFont="1" applyBorder="1" applyAlignment="1">
      <alignment horizontal="left"/>
      <protection/>
    </xf>
    <xf numFmtId="0" fontId="68" fillId="0" borderId="17" xfId="58" applyFont="1" applyBorder="1" applyAlignment="1">
      <alignment horizontal="left"/>
      <protection/>
    </xf>
    <xf numFmtId="0" fontId="68" fillId="0" borderId="19" xfId="58" applyFont="1" applyBorder="1" applyAlignment="1">
      <alignment horizontal="left"/>
      <protection/>
    </xf>
    <xf numFmtId="0" fontId="68" fillId="0" borderId="20" xfId="58" applyFont="1" applyBorder="1" applyAlignment="1">
      <alignment horizontal="left"/>
      <protection/>
    </xf>
    <xf numFmtId="0" fontId="3" fillId="0" borderId="17" xfId="58" applyFont="1" applyBorder="1" applyAlignment="1">
      <alignment horizontal="left"/>
      <protection/>
    </xf>
    <xf numFmtId="0" fontId="3" fillId="0" borderId="20" xfId="58" applyFont="1" applyBorder="1" applyAlignment="1">
      <alignment horizontal="left"/>
      <protection/>
    </xf>
    <xf numFmtId="0" fontId="5" fillId="0" borderId="17" xfId="58" applyFont="1" applyBorder="1" applyAlignment="1">
      <alignment horizontal="left"/>
      <protection/>
    </xf>
    <xf numFmtId="0" fontId="5" fillId="0" borderId="19" xfId="58" applyFont="1" applyBorder="1" applyAlignment="1">
      <alignment horizontal="left"/>
      <protection/>
    </xf>
    <xf numFmtId="0" fontId="5" fillId="0" borderId="20" xfId="58" applyFont="1" applyBorder="1" applyAlignment="1">
      <alignment horizontal="left"/>
      <protection/>
    </xf>
    <xf numFmtId="0" fontId="68" fillId="0" borderId="24" xfId="58" applyFont="1" applyBorder="1" applyAlignment="1">
      <alignment horizontal="left"/>
      <protection/>
    </xf>
    <xf numFmtId="0" fontId="60" fillId="0" borderId="17" xfId="58" applyFont="1" applyFill="1" applyBorder="1" applyAlignment="1">
      <alignment horizontal="center" vertical="center" wrapText="1"/>
      <protection/>
    </xf>
    <xf numFmtId="0" fontId="8" fillId="0" borderId="19" xfId="58" applyFont="1" applyFill="1" applyBorder="1" applyAlignment="1">
      <alignment horizontal="center" vertical="center" wrapText="1"/>
      <protection/>
    </xf>
    <xf numFmtId="0" fontId="8" fillId="0" borderId="20" xfId="58" applyFont="1" applyFill="1" applyBorder="1" applyAlignment="1">
      <alignment horizontal="center" vertical="center" wrapText="1"/>
      <protection/>
    </xf>
    <xf numFmtId="0" fontId="11" fillId="0" borderId="17" xfId="58" applyFont="1" applyFill="1" applyBorder="1" applyAlignment="1">
      <alignment horizontal="center" vertical="center" wrapText="1"/>
      <protection/>
    </xf>
    <xf numFmtId="0" fontId="75" fillId="0" borderId="19" xfId="58" applyFont="1" applyBorder="1" applyAlignment="1">
      <alignment horizontal="center" vertical="center" wrapText="1"/>
      <protection/>
    </xf>
    <xf numFmtId="0" fontId="75" fillId="0" borderId="20" xfId="58" applyFont="1" applyBorder="1" applyAlignment="1">
      <alignment horizontal="center" vertical="center" wrapText="1"/>
      <protection/>
    </xf>
    <xf numFmtId="0" fontId="3" fillId="0" borderId="17" xfId="58" applyFont="1" applyBorder="1" applyAlignment="1">
      <alignment horizontal="left" vertical="center" wrapText="1"/>
      <protection/>
    </xf>
    <xf numFmtId="0" fontId="3" fillId="0" borderId="20" xfId="58" applyFont="1" applyBorder="1" applyAlignment="1">
      <alignment horizontal="left" vertical="center" wrapText="1"/>
      <protection/>
    </xf>
    <xf numFmtId="0" fontId="10" fillId="0" borderId="0" xfId="58" applyFont="1" applyFill="1" applyAlignment="1">
      <alignment horizontal="center" vertical="center"/>
      <protection/>
    </xf>
    <xf numFmtId="0" fontId="0" fillId="0" borderId="0" xfId="58" applyFont="1" applyAlignment="1">
      <alignment horizontal="right" vertical="center"/>
      <protection/>
    </xf>
    <xf numFmtId="0" fontId="0" fillId="0" borderId="0" xfId="58" applyAlignment="1">
      <alignment horizontal="right" vertical="center"/>
      <protection/>
    </xf>
    <xf numFmtId="0" fontId="26" fillId="0" borderId="17" xfId="57" applyFont="1" applyBorder="1" applyAlignment="1">
      <alignment horizontal="center" vertical="center" wrapText="1"/>
      <protection/>
    </xf>
    <xf numFmtId="0" fontId="26" fillId="0" borderId="19" xfId="57" applyFont="1" applyBorder="1" applyAlignment="1">
      <alignment horizontal="center" vertical="center" wrapText="1"/>
      <protection/>
    </xf>
    <xf numFmtId="0" fontId="26" fillId="0" borderId="20" xfId="57" applyFont="1" applyBorder="1" applyAlignment="1">
      <alignment horizontal="center" vertical="center" wrapText="1"/>
      <protection/>
    </xf>
    <xf numFmtId="0" fontId="11" fillId="0" borderId="0" xfId="0" applyFont="1" applyFill="1" applyAlignment="1">
      <alignment horizontal="right" vertical="center"/>
    </xf>
    <xf numFmtId="0" fontId="75" fillId="0" borderId="0" xfId="0" applyFont="1" applyAlignment="1">
      <alignment horizontal="right"/>
    </xf>
    <xf numFmtId="0" fontId="21" fillId="0" borderId="0" xfId="57" applyFont="1" applyAlignment="1">
      <alignment horizontal="center"/>
      <protection/>
    </xf>
    <xf numFmtId="0" fontId="21" fillId="0" borderId="24" xfId="57" applyFont="1" applyBorder="1" applyAlignment="1">
      <alignment horizontal="center" vertical="center"/>
      <protection/>
    </xf>
    <xf numFmtId="0" fontId="26" fillId="0" borderId="24" xfId="57" applyFont="1" applyBorder="1" applyAlignment="1">
      <alignment horizontal="center" vertical="center"/>
      <protection/>
    </xf>
    <xf numFmtId="0" fontId="26" fillId="0" borderId="17" xfId="57" applyFont="1" applyBorder="1" applyAlignment="1">
      <alignment horizontal="center"/>
      <protection/>
    </xf>
    <xf numFmtId="0" fontId="26" fillId="0" borderId="19" xfId="57" applyFont="1" applyBorder="1" applyAlignment="1">
      <alignment horizontal="center"/>
      <protection/>
    </xf>
    <xf numFmtId="0" fontId="26" fillId="0" borderId="20" xfId="57" applyFont="1" applyBorder="1" applyAlignment="1">
      <alignment horizontal="center"/>
      <protection/>
    </xf>
    <xf numFmtId="0" fontId="23" fillId="0" borderId="17" xfId="57" applyFont="1" applyBorder="1" applyAlignment="1">
      <alignment horizontal="right" vertical="center"/>
      <protection/>
    </xf>
    <xf numFmtId="0" fontId="23" fillId="0" borderId="19" xfId="57" applyFont="1" applyBorder="1" applyAlignment="1">
      <alignment horizontal="right" vertical="center"/>
      <protection/>
    </xf>
    <xf numFmtId="49" fontId="3" fillId="0" borderId="63" xfId="0" applyNumberFormat="1" applyFont="1" applyFill="1" applyBorder="1" applyAlignment="1">
      <alignment horizontal="center" textRotation="90"/>
    </xf>
    <xf numFmtId="49" fontId="3" fillId="0" borderId="72" xfId="0" applyNumberFormat="1" applyFont="1" applyFill="1" applyBorder="1" applyAlignment="1">
      <alignment horizontal="center" textRotation="90"/>
    </xf>
    <xf numFmtId="49" fontId="3" fillId="0" borderId="62" xfId="0" applyNumberFormat="1" applyFont="1" applyFill="1" applyBorder="1" applyAlignment="1">
      <alignment horizontal="center" textRotation="90"/>
    </xf>
    <xf numFmtId="49" fontId="5" fillId="0" borderId="63" xfId="0" applyNumberFormat="1" applyFont="1" applyFill="1" applyBorder="1" applyAlignment="1">
      <alignment horizontal="center" vertical="center" textRotation="90"/>
    </xf>
    <xf numFmtId="49" fontId="5" fillId="0" borderId="72" xfId="0" applyNumberFormat="1" applyFont="1" applyFill="1" applyBorder="1" applyAlignment="1">
      <alignment horizontal="center" vertical="center" textRotation="90"/>
    </xf>
    <xf numFmtId="49" fontId="5" fillId="0" borderId="62" xfId="0" applyNumberFormat="1" applyFont="1" applyFill="1" applyBorder="1" applyAlignment="1">
      <alignment horizontal="center" vertical="center" textRotation="90"/>
    </xf>
    <xf numFmtId="0" fontId="6" fillId="0" borderId="34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4" fillId="0" borderId="128" xfId="0" applyFont="1" applyFill="1" applyBorder="1" applyAlignment="1">
      <alignment horizontal="center" vertical="center"/>
    </xf>
    <xf numFmtId="0" fontId="4" fillId="0" borderId="134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 wrapText="1"/>
    </xf>
    <xf numFmtId="0" fontId="4" fillId="0" borderId="13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140" fillId="0" borderId="0" xfId="0" applyNumberFormat="1" applyFont="1" applyFill="1" applyAlignment="1">
      <alignment horizontal="left" vertical="center"/>
    </xf>
    <xf numFmtId="49" fontId="4" fillId="0" borderId="136" xfId="0" applyNumberFormat="1" applyFont="1" applyFill="1" applyBorder="1" applyAlignment="1">
      <alignment horizontal="center" vertical="center"/>
    </xf>
    <xf numFmtId="49" fontId="4" fillId="0" borderId="72" xfId="0" applyNumberFormat="1" applyFont="1" applyFill="1" applyBorder="1" applyAlignment="1">
      <alignment horizontal="center" vertical="center"/>
    </xf>
    <xf numFmtId="49" fontId="4" fillId="0" borderId="62" xfId="0" applyNumberFormat="1" applyFont="1" applyFill="1" applyBorder="1" applyAlignment="1">
      <alignment horizontal="center" vertical="center"/>
    </xf>
    <xf numFmtId="0" fontId="4" fillId="0" borderId="106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45" fillId="0" borderId="106" xfId="0" applyFont="1" applyFill="1" applyBorder="1" applyAlignment="1">
      <alignment horizontal="center" vertical="center" wrapText="1"/>
    </xf>
    <xf numFmtId="0" fontId="45" fillId="0" borderId="64" xfId="0" applyFont="1" applyFill="1" applyBorder="1" applyAlignment="1">
      <alignment horizontal="center" vertical="center" wrapText="1"/>
    </xf>
    <xf numFmtId="0" fontId="45" fillId="0" borderId="2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3" fontId="3" fillId="0" borderId="76" xfId="60" applyNumberFormat="1" applyFont="1" applyFill="1" applyBorder="1" applyAlignment="1">
      <alignment horizontal="center" vertical="center" wrapText="1"/>
      <protection/>
    </xf>
    <xf numFmtId="3" fontId="3" fillId="0" borderId="135" xfId="60" applyNumberFormat="1" applyFont="1" applyFill="1" applyBorder="1" applyAlignment="1">
      <alignment horizontal="center" vertical="center" wrapText="1"/>
      <protection/>
    </xf>
    <xf numFmtId="3" fontId="3" fillId="0" borderId="12" xfId="60" applyNumberFormat="1" applyFont="1" applyFill="1" applyBorder="1" applyAlignment="1">
      <alignment horizontal="center" vertical="center" wrapText="1"/>
      <protection/>
    </xf>
    <xf numFmtId="0" fontId="51" fillId="0" borderId="57" xfId="60" applyFont="1" applyFill="1" applyBorder="1" applyAlignment="1">
      <alignment horizontal="left" vertical="center"/>
      <protection/>
    </xf>
    <xf numFmtId="0" fontId="51" fillId="0" borderId="107" xfId="60" applyFont="1" applyFill="1" applyBorder="1" applyAlignment="1">
      <alignment horizontal="left" vertical="center"/>
      <protection/>
    </xf>
    <xf numFmtId="0" fontId="51" fillId="0" borderId="108" xfId="60" applyFont="1" applyFill="1" applyBorder="1" applyAlignment="1">
      <alignment horizontal="left" vertical="center"/>
      <protection/>
    </xf>
    <xf numFmtId="0" fontId="52" fillId="0" borderId="122" xfId="60" applyFont="1" applyFill="1" applyBorder="1" applyAlignment="1">
      <alignment horizontal="left" vertical="center"/>
      <protection/>
    </xf>
    <xf numFmtId="0" fontId="52" fillId="0" borderId="30" xfId="60" applyFont="1" applyFill="1" applyBorder="1" applyAlignment="1">
      <alignment horizontal="left" vertical="center"/>
      <protection/>
    </xf>
    <xf numFmtId="0" fontId="52" fillId="0" borderId="16" xfId="60" applyFont="1" applyFill="1" applyBorder="1" applyAlignment="1">
      <alignment horizontal="left" vertical="center"/>
      <protection/>
    </xf>
    <xf numFmtId="0" fontId="7" fillId="0" borderId="0" xfId="60" applyFont="1" applyFill="1" applyAlignment="1">
      <alignment horizontal="right" vertical="center"/>
      <protection/>
    </xf>
    <xf numFmtId="0" fontId="0" fillId="0" borderId="0" xfId="60" applyAlignment="1">
      <alignment horizontal="right"/>
      <protection/>
    </xf>
    <xf numFmtId="0" fontId="2" fillId="0" borderId="137" xfId="60" applyFont="1" applyFill="1" applyBorder="1" applyAlignment="1">
      <alignment horizontal="center" vertical="center" wrapText="1"/>
      <protection/>
    </xf>
    <xf numFmtId="0" fontId="2" fillId="0" borderId="39" xfId="60" applyFont="1" applyFill="1" applyBorder="1" applyAlignment="1">
      <alignment horizontal="center" vertical="center" wrapText="1"/>
      <protection/>
    </xf>
    <xf numFmtId="0" fontId="2" fillId="0" borderId="138" xfId="60" applyFont="1" applyFill="1" applyBorder="1" applyAlignment="1">
      <alignment horizontal="center" vertical="center" wrapText="1"/>
      <protection/>
    </xf>
    <xf numFmtId="0" fontId="1" fillId="0" borderId="0" xfId="60" applyFont="1" applyFill="1" applyAlignment="1">
      <alignment horizontal="center" vertical="center" wrapText="1"/>
      <protection/>
    </xf>
    <xf numFmtId="0" fontId="4" fillId="0" borderId="89" xfId="60" applyFont="1" applyFill="1" applyBorder="1" applyAlignment="1">
      <alignment horizontal="center" vertical="center" wrapText="1"/>
      <protection/>
    </xf>
    <xf numFmtId="0" fontId="4" fillId="0" borderId="48" xfId="60" applyFont="1" applyFill="1" applyBorder="1" applyAlignment="1">
      <alignment horizontal="center" vertical="center" wrapText="1"/>
      <protection/>
    </xf>
    <xf numFmtId="0" fontId="4" fillId="0" borderId="118" xfId="60" applyFont="1" applyFill="1" applyBorder="1" applyAlignment="1">
      <alignment horizontal="center" vertical="center" wrapText="1"/>
      <protection/>
    </xf>
    <xf numFmtId="0" fontId="4" fillId="0" borderId="25" xfId="60" applyFont="1" applyFill="1" applyBorder="1" applyAlignment="1">
      <alignment horizontal="center" vertical="center" wrapText="1"/>
      <protection/>
    </xf>
    <xf numFmtId="0" fontId="4" fillId="0" borderId="26" xfId="60" applyFont="1" applyFill="1" applyBorder="1" applyAlignment="1">
      <alignment horizontal="center" vertical="center" wrapText="1"/>
      <protection/>
    </xf>
    <xf numFmtId="0" fontId="4" fillId="0" borderId="12" xfId="60" applyFont="1" applyFill="1" applyBorder="1" applyAlignment="1">
      <alignment horizontal="center" vertical="center" wrapText="1"/>
      <protection/>
    </xf>
    <xf numFmtId="0" fontId="4" fillId="0" borderId="20" xfId="60" applyFont="1" applyFill="1" applyBorder="1" applyAlignment="1">
      <alignment horizontal="center" vertical="center" wrapText="1"/>
      <protection/>
    </xf>
    <xf numFmtId="0" fontId="4" fillId="0" borderId="24" xfId="60" applyFont="1" applyFill="1" applyBorder="1" applyAlignment="1">
      <alignment horizontal="center" vertical="center" wrapText="1"/>
      <protection/>
    </xf>
    <xf numFmtId="0" fontId="4" fillId="0" borderId="13" xfId="60" applyFont="1" applyFill="1" applyBorder="1" applyAlignment="1">
      <alignment horizontal="center" vertical="center" wrapText="1"/>
      <protection/>
    </xf>
    <xf numFmtId="0" fontId="4" fillId="0" borderId="106" xfId="60" applyFont="1" applyFill="1" applyBorder="1" applyAlignment="1">
      <alignment horizontal="center" vertical="center"/>
      <protection/>
    </xf>
    <xf numFmtId="0" fontId="4" fillId="0" borderId="64" xfId="60" applyFont="1" applyFill="1" applyBorder="1" applyAlignment="1">
      <alignment horizontal="center" vertical="center"/>
      <protection/>
    </xf>
    <xf numFmtId="0" fontId="4" fillId="0" borderId="77" xfId="60" applyFont="1" applyFill="1" applyBorder="1" applyAlignment="1">
      <alignment horizontal="center" vertical="center"/>
      <protection/>
    </xf>
    <xf numFmtId="49" fontId="4" fillId="0" borderId="136" xfId="60" applyNumberFormat="1" applyFont="1" applyFill="1" applyBorder="1" applyAlignment="1">
      <alignment horizontal="center" vertical="center"/>
      <protection/>
    </xf>
    <xf numFmtId="49" fontId="4" fillId="0" borderId="72" xfId="60" applyNumberFormat="1" applyFont="1" applyFill="1" applyBorder="1" applyAlignment="1">
      <alignment horizontal="center" vertical="center"/>
      <protection/>
    </xf>
    <xf numFmtId="49" fontId="4" fillId="0" borderId="139" xfId="60" applyNumberFormat="1" applyFont="1" applyFill="1" applyBorder="1" applyAlignment="1">
      <alignment horizontal="center" vertical="center"/>
      <protection/>
    </xf>
    <xf numFmtId="0" fontId="16" fillId="0" borderId="107" xfId="60" applyFont="1" applyFill="1" applyBorder="1" applyAlignment="1">
      <alignment horizontal="center" vertical="center"/>
      <protection/>
    </xf>
    <xf numFmtId="0" fontId="16" fillId="0" borderId="108" xfId="60" applyFont="1" applyFill="1" applyBorder="1" applyAlignment="1">
      <alignment horizontal="center" vertical="center"/>
      <protection/>
    </xf>
    <xf numFmtId="0" fontId="47" fillId="0" borderId="140" xfId="60" applyFont="1" applyFill="1" applyBorder="1" applyAlignment="1">
      <alignment horizontal="left" vertical="center"/>
      <protection/>
    </xf>
    <xf numFmtId="0" fontId="47" fillId="0" borderId="107" xfId="60" applyFont="1" applyFill="1" applyBorder="1" applyAlignment="1">
      <alignment horizontal="left" vertical="center"/>
      <protection/>
    </xf>
    <xf numFmtId="0" fontId="47" fillId="0" borderId="108" xfId="60" applyFont="1" applyFill="1" applyBorder="1" applyAlignment="1">
      <alignment horizontal="left" vertical="center"/>
      <protection/>
    </xf>
    <xf numFmtId="0" fontId="56" fillId="0" borderId="93" xfId="59" applyFont="1" applyBorder="1" applyAlignment="1">
      <alignment horizontal="center"/>
      <protection/>
    </xf>
    <xf numFmtId="0" fontId="0" fillId="0" borderId="38" xfId="0" applyBorder="1" applyAlignment="1">
      <alignment horizontal="center"/>
    </xf>
    <xf numFmtId="0" fontId="0" fillId="0" borderId="115" xfId="0" applyBorder="1" applyAlignment="1">
      <alignment horizontal="center"/>
    </xf>
    <xf numFmtId="0" fontId="31" fillId="0" borderId="37" xfId="59" applyFont="1" applyBorder="1" applyAlignment="1">
      <alignment/>
      <protection/>
    </xf>
    <xf numFmtId="0" fontId="31" fillId="0" borderId="37" xfId="0" applyFont="1" applyBorder="1" applyAlignment="1">
      <alignment/>
    </xf>
    <xf numFmtId="0" fontId="31" fillId="0" borderId="141" xfId="0" applyFont="1" applyBorder="1" applyAlignment="1">
      <alignment/>
    </xf>
    <xf numFmtId="0" fontId="54" fillId="0" borderId="37" xfId="59" applyFont="1" applyBorder="1" applyAlignment="1">
      <alignment/>
      <protection/>
    </xf>
    <xf numFmtId="0" fontId="54" fillId="0" borderId="141" xfId="59" applyFont="1" applyBorder="1" applyAlignment="1">
      <alignment/>
      <protection/>
    </xf>
    <xf numFmtId="0" fontId="55" fillId="0" borderId="82" xfId="59" applyFont="1" applyBorder="1" applyAlignment="1">
      <alignment horizontal="right"/>
      <protection/>
    </xf>
    <xf numFmtId="0" fontId="0" fillId="0" borderId="0" xfId="0" applyAlignment="1">
      <alignment horizontal="right"/>
    </xf>
    <xf numFmtId="0" fontId="0" fillId="0" borderId="84" xfId="0" applyBorder="1" applyAlignment="1">
      <alignment horizontal="right"/>
    </xf>
    <xf numFmtId="0" fontId="32" fillId="0" borderId="40" xfId="59" applyFont="1" applyBorder="1" applyAlignment="1">
      <alignment horizontal="left" wrapText="1"/>
      <protection/>
    </xf>
    <xf numFmtId="0" fontId="32" fillId="0" borderId="0" xfId="59" applyFont="1" applyBorder="1" applyAlignment="1">
      <alignment horizontal="left" wrapText="1"/>
      <protection/>
    </xf>
    <xf numFmtId="0" fontId="32" fillId="0" borderId="82" xfId="59" applyFont="1" applyBorder="1" applyAlignment="1">
      <alignment horizontal="left" wrapText="1"/>
      <protection/>
    </xf>
    <xf numFmtId="3" fontId="31" fillId="0" borderId="137" xfId="59" applyNumberFormat="1" applyFont="1" applyBorder="1" applyAlignment="1">
      <alignment horizontal="right" vertical="center"/>
      <protection/>
    </xf>
    <xf numFmtId="3" fontId="31" fillId="0" borderId="39" xfId="59" applyNumberFormat="1" applyFont="1" applyBorder="1" applyAlignment="1">
      <alignment horizontal="right" vertical="center"/>
      <protection/>
    </xf>
    <xf numFmtId="0" fontId="32" fillId="0" borderId="86" xfId="59" applyFont="1" applyBorder="1" applyAlignment="1">
      <alignment horizontal="left"/>
      <protection/>
    </xf>
    <xf numFmtId="0" fontId="32" fillId="0" borderId="36" xfId="59" applyFont="1" applyBorder="1" applyAlignment="1">
      <alignment horizontal="left"/>
      <protection/>
    </xf>
    <xf numFmtId="0" fontId="55" fillId="0" borderId="40" xfId="59" applyFont="1" applyBorder="1" applyAlignment="1">
      <alignment horizontal="right"/>
      <protection/>
    </xf>
    <xf numFmtId="0" fontId="55" fillId="0" borderId="0" xfId="59" applyFont="1" applyBorder="1" applyAlignment="1">
      <alignment horizontal="right"/>
      <protection/>
    </xf>
    <xf numFmtId="0" fontId="55" fillId="0" borderId="84" xfId="59" applyFont="1" applyBorder="1" applyAlignment="1">
      <alignment horizontal="right"/>
      <protection/>
    </xf>
    <xf numFmtId="0" fontId="52" fillId="0" borderId="142" xfId="60" applyFont="1" applyFill="1" applyBorder="1" applyAlignment="1">
      <alignment horizontal="center" vertical="center" wrapText="1"/>
      <protection/>
    </xf>
    <xf numFmtId="0" fontId="52" fillId="0" borderId="35" xfId="60" applyFont="1" applyFill="1" applyBorder="1" applyAlignment="1">
      <alignment horizontal="center" vertical="center" wrapText="1"/>
      <protection/>
    </xf>
    <xf numFmtId="0" fontId="52" fillId="0" borderId="70" xfId="60" applyFont="1" applyFill="1" applyBorder="1" applyAlignment="1">
      <alignment horizontal="center" vertical="center" wrapText="1"/>
      <protection/>
    </xf>
    <xf numFmtId="0" fontId="52" fillId="0" borderId="99" xfId="60" applyFont="1" applyFill="1" applyBorder="1" applyAlignment="1">
      <alignment horizontal="center" vertical="center" wrapText="1"/>
      <protection/>
    </xf>
    <xf numFmtId="0" fontId="52" fillId="0" borderId="33" xfId="60" applyFont="1" applyFill="1" applyBorder="1" applyAlignment="1">
      <alignment horizontal="center" vertical="center" wrapText="1"/>
      <protection/>
    </xf>
    <xf numFmtId="0" fontId="52" fillId="0" borderId="118" xfId="60" applyFont="1" applyFill="1" applyBorder="1" applyAlignment="1">
      <alignment horizontal="center" vertical="center" wrapText="1"/>
      <protection/>
    </xf>
    <xf numFmtId="0" fontId="52" fillId="0" borderId="143" xfId="60" applyFont="1" applyFill="1" applyBorder="1" applyAlignment="1">
      <alignment horizontal="center" vertical="center" wrapText="1"/>
      <protection/>
    </xf>
    <xf numFmtId="0" fontId="52" fillId="0" borderId="144" xfId="60" applyFont="1" applyFill="1" applyBorder="1" applyAlignment="1">
      <alignment horizontal="center" vertical="center" wrapText="1"/>
      <protection/>
    </xf>
    <xf numFmtId="0" fontId="16" fillId="0" borderId="145" xfId="60" applyFont="1" applyFill="1" applyBorder="1" applyAlignment="1">
      <alignment horizontal="center" vertical="center" wrapText="1"/>
      <protection/>
    </xf>
    <xf numFmtId="0" fontId="0" fillId="0" borderId="146" xfId="0" applyBorder="1" applyAlignment="1">
      <alignment horizontal="center" vertical="center" wrapText="1"/>
    </xf>
    <xf numFmtId="0" fontId="16" fillId="0" borderId="147" xfId="60" applyFont="1" applyFill="1" applyBorder="1" applyAlignment="1">
      <alignment horizontal="center" vertical="center" wrapText="1"/>
      <protection/>
    </xf>
    <xf numFmtId="0" fontId="0" fillId="0" borderId="148" xfId="0" applyBorder="1" applyAlignment="1">
      <alignment horizontal="center" vertical="center" wrapText="1"/>
    </xf>
    <xf numFmtId="0" fontId="0" fillId="0" borderId="149" xfId="0" applyBorder="1" applyAlignment="1">
      <alignment horizontal="center" vertical="center" wrapText="1"/>
    </xf>
    <xf numFmtId="3" fontId="31" fillId="0" borderId="138" xfId="59" applyNumberFormat="1" applyFont="1" applyBorder="1" applyAlignment="1">
      <alignment horizontal="right" vertical="center"/>
      <protection/>
    </xf>
    <xf numFmtId="3" fontId="31" fillId="0" borderId="150" xfId="59" applyNumberFormat="1" applyFont="1" applyBorder="1" applyAlignment="1">
      <alignment horizontal="center" vertical="center"/>
      <protection/>
    </xf>
    <xf numFmtId="3" fontId="31" fillId="0" borderId="110" xfId="59" applyNumberFormat="1" applyFont="1" applyBorder="1" applyAlignment="1">
      <alignment horizontal="center" vertical="center"/>
      <protection/>
    </xf>
    <xf numFmtId="3" fontId="31" fillId="0" borderId="151" xfId="59" applyNumberFormat="1" applyFont="1" applyBorder="1" applyAlignment="1">
      <alignment horizontal="center" vertical="center"/>
      <protection/>
    </xf>
    <xf numFmtId="0" fontId="73" fillId="0" borderId="40" xfId="59" applyFont="1" applyBorder="1" applyAlignment="1">
      <alignment horizontal="left"/>
      <protection/>
    </xf>
    <xf numFmtId="0" fontId="73" fillId="0" borderId="0" xfId="59" applyFont="1" applyBorder="1" applyAlignment="1">
      <alignment horizontal="left"/>
      <protection/>
    </xf>
    <xf numFmtId="0" fontId="55" fillId="0" borderId="107" xfId="59" applyFont="1" applyBorder="1" applyAlignment="1">
      <alignment horizontal="right"/>
      <protection/>
    </xf>
    <xf numFmtId="0" fontId="55" fillId="0" borderId="129" xfId="59" applyFont="1" applyBorder="1" applyAlignment="1">
      <alignment horizontal="right"/>
      <protection/>
    </xf>
    <xf numFmtId="0" fontId="32" fillId="0" borderId="107" xfId="59" applyFont="1" applyBorder="1" applyAlignment="1">
      <alignment horizontal="left"/>
      <protection/>
    </xf>
    <xf numFmtId="0" fontId="90" fillId="35" borderId="111" xfId="59" applyFont="1" applyFill="1" applyBorder="1" applyAlignment="1">
      <alignment horizontal="right"/>
      <protection/>
    </xf>
    <xf numFmtId="0" fontId="75" fillId="35" borderId="37" xfId="0" applyFont="1" applyFill="1" applyBorder="1" applyAlignment="1">
      <alignment horizontal="right"/>
    </xf>
    <xf numFmtId="0" fontId="75" fillId="35" borderId="152" xfId="0" applyFont="1" applyFill="1" applyBorder="1" applyAlignment="1">
      <alignment horizontal="right"/>
    </xf>
    <xf numFmtId="0" fontId="31" fillId="35" borderId="37" xfId="59" applyFont="1" applyFill="1" applyBorder="1" applyAlignment="1">
      <alignment/>
      <protection/>
    </xf>
    <xf numFmtId="0" fontId="31" fillId="35" borderId="37" xfId="0" applyFont="1" applyFill="1" applyBorder="1" applyAlignment="1">
      <alignment/>
    </xf>
    <xf numFmtId="0" fontId="31" fillId="35" borderId="141" xfId="0" applyFont="1" applyFill="1" applyBorder="1" applyAlignment="1">
      <alignment/>
    </xf>
    <xf numFmtId="0" fontId="54" fillId="35" borderId="37" xfId="59" applyFont="1" applyFill="1" applyBorder="1" applyAlignment="1">
      <alignment/>
      <protection/>
    </xf>
    <xf numFmtId="0" fontId="54" fillId="35" borderId="141" xfId="59" applyFont="1" applyFill="1" applyBorder="1" applyAlignment="1">
      <alignment/>
      <protection/>
    </xf>
    <xf numFmtId="3" fontId="31" fillId="0" borderId="89" xfId="59" applyNumberFormat="1" applyFont="1" applyBorder="1" applyAlignment="1">
      <alignment horizontal="right" vertical="center"/>
      <protection/>
    </xf>
    <xf numFmtId="0" fontId="32" fillId="0" borderId="153" xfId="59" applyFont="1" applyBorder="1" applyAlignment="1">
      <alignment horizontal="left" wrapText="1"/>
      <protection/>
    </xf>
    <xf numFmtId="0" fontId="32" fillId="0" borderId="36" xfId="59" applyFont="1" applyBorder="1" applyAlignment="1">
      <alignment horizontal="left" wrapText="1"/>
      <protection/>
    </xf>
    <xf numFmtId="3" fontId="32" fillId="0" borderId="89" xfId="59" applyNumberFormat="1" applyFont="1" applyBorder="1" applyAlignment="1">
      <alignment horizontal="right"/>
      <protection/>
    </xf>
    <xf numFmtId="3" fontId="32" fillId="0" borderId="48" xfId="59" applyNumberFormat="1" applyFont="1" applyBorder="1" applyAlignment="1">
      <alignment horizontal="right"/>
      <protection/>
    </xf>
    <xf numFmtId="3" fontId="31" fillId="0" borderId="150" xfId="59" applyNumberFormat="1" applyFont="1" applyBorder="1" applyAlignment="1">
      <alignment horizontal="right" vertical="center"/>
      <protection/>
    </xf>
    <xf numFmtId="3" fontId="31" fillId="0" borderId="110" xfId="59" applyNumberFormat="1" applyFont="1" applyBorder="1" applyAlignment="1">
      <alignment horizontal="right" vertical="center"/>
      <protection/>
    </xf>
    <xf numFmtId="0" fontId="32" fillId="0" borderId="40" xfId="59" applyFont="1" applyBorder="1" applyAlignment="1">
      <alignment horizontal="left"/>
      <protection/>
    </xf>
    <xf numFmtId="0" fontId="32" fillId="0" borderId="0" xfId="59" applyFont="1" applyBorder="1" applyAlignment="1">
      <alignment horizontal="left"/>
      <protection/>
    </xf>
    <xf numFmtId="0" fontId="54" fillId="35" borderId="119" xfId="59" applyFont="1" applyFill="1" applyBorder="1" applyAlignment="1">
      <alignment/>
      <protection/>
    </xf>
    <xf numFmtId="0" fontId="54" fillId="35" borderId="154" xfId="59" applyFont="1" applyFill="1" applyBorder="1" applyAlignment="1">
      <alignment/>
      <protection/>
    </xf>
    <xf numFmtId="0" fontId="91" fillId="0" borderId="155" xfId="59" applyFont="1" applyBorder="1" applyAlignment="1">
      <alignment horizontal="center" wrapText="1"/>
      <protection/>
    </xf>
    <xf numFmtId="0" fontId="75" fillId="0" borderId="35" xfId="0" applyFont="1" applyBorder="1" applyAlignment="1">
      <alignment/>
    </xf>
    <xf numFmtId="0" fontId="75" fillId="0" borderId="156" xfId="0" applyFont="1" applyBorder="1" applyAlignment="1">
      <alignment/>
    </xf>
    <xf numFmtId="0" fontId="75" fillId="0" borderId="79" xfId="0" applyFont="1" applyBorder="1" applyAlignment="1">
      <alignment/>
    </xf>
    <xf numFmtId="0" fontId="75" fillId="0" borderId="33" xfId="0" applyFont="1" applyBorder="1" applyAlignment="1">
      <alignment/>
    </xf>
    <xf numFmtId="0" fontId="75" fillId="0" borderId="75" xfId="0" applyFont="1" applyBorder="1" applyAlignment="1">
      <alignment/>
    </xf>
    <xf numFmtId="0" fontId="16" fillId="0" borderId="157" xfId="60" applyFont="1" applyFill="1" applyBorder="1" applyAlignment="1">
      <alignment horizontal="center" vertical="center" wrapText="1"/>
      <protection/>
    </xf>
    <xf numFmtId="0" fontId="0" fillId="0" borderId="146" xfId="0" applyBorder="1" applyAlignment="1">
      <alignment/>
    </xf>
    <xf numFmtId="0" fontId="0" fillId="0" borderId="158" xfId="0" applyBorder="1" applyAlignment="1">
      <alignment/>
    </xf>
    <xf numFmtId="0" fontId="54" fillId="0" borderId="155" xfId="59" applyFont="1" applyBorder="1" applyAlignment="1">
      <alignment horizontal="center" vertical="center"/>
      <protection/>
    </xf>
    <xf numFmtId="0" fontId="0" fillId="0" borderId="35" xfId="0" applyBorder="1" applyAlignment="1">
      <alignment/>
    </xf>
    <xf numFmtId="0" fontId="0" fillId="0" borderId="70" xfId="0" applyBorder="1" applyAlignment="1">
      <alignment/>
    </xf>
    <xf numFmtId="0" fontId="0" fillId="0" borderId="79" xfId="0" applyBorder="1" applyAlignment="1">
      <alignment/>
    </xf>
    <xf numFmtId="0" fontId="0" fillId="0" borderId="33" xfId="0" applyBorder="1" applyAlignment="1">
      <alignment/>
    </xf>
    <xf numFmtId="0" fontId="0" fillId="0" borderId="0" xfId="0" applyBorder="1" applyAlignment="1">
      <alignment/>
    </xf>
    <xf numFmtId="0" fontId="0" fillId="0" borderId="118" xfId="0" applyBorder="1" applyAlignment="1">
      <alignment/>
    </xf>
    <xf numFmtId="0" fontId="0" fillId="0" borderId="99" xfId="0" applyBorder="1" applyAlignment="1">
      <alignment/>
    </xf>
    <xf numFmtId="0" fontId="0" fillId="0" borderId="143" xfId="0" applyBorder="1" applyAlignment="1">
      <alignment/>
    </xf>
    <xf numFmtId="0" fontId="0" fillId="0" borderId="144" xfId="0" applyBorder="1" applyAlignment="1">
      <alignment/>
    </xf>
    <xf numFmtId="0" fontId="31" fillId="0" borderId="138" xfId="59" applyFont="1" applyBorder="1" applyAlignment="1">
      <alignment horizontal="right" vertical="center"/>
      <protection/>
    </xf>
    <xf numFmtId="0" fontId="32" fillId="0" borderId="153" xfId="59" applyFont="1" applyBorder="1" applyAlignment="1">
      <alignment horizontal="left"/>
      <protection/>
    </xf>
    <xf numFmtId="0" fontId="55" fillId="0" borderId="38" xfId="59" applyFont="1" applyBorder="1" applyAlignment="1">
      <alignment horizontal="right"/>
      <protection/>
    </xf>
    <xf numFmtId="0" fontId="55" fillId="0" borderId="115" xfId="59" applyFont="1" applyBorder="1" applyAlignment="1">
      <alignment horizontal="right"/>
      <protection/>
    </xf>
    <xf numFmtId="0" fontId="73" fillId="0" borderId="93" xfId="59" applyFont="1" applyBorder="1" applyAlignment="1">
      <alignment horizontal="left"/>
      <protection/>
    </xf>
    <xf numFmtId="0" fontId="73" fillId="0" borderId="38" xfId="59" applyFont="1" applyBorder="1" applyAlignment="1">
      <alignment horizontal="left"/>
      <protection/>
    </xf>
    <xf numFmtId="3" fontId="31" fillId="0" borderId="159" xfId="59" applyNumberFormat="1" applyFont="1" applyBorder="1" applyAlignment="1">
      <alignment horizontal="right" vertical="center"/>
      <protection/>
    </xf>
    <xf numFmtId="3" fontId="31" fillId="0" borderId="142" xfId="59" applyNumberFormat="1" applyFont="1" applyBorder="1" applyAlignment="1">
      <alignment horizontal="right" vertical="center"/>
      <protection/>
    </xf>
    <xf numFmtId="3" fontId="31" fillId="0" borderId="40" xfId="59" applyNumberFormat="1" applyFont="1" applyBorder="1" applyAlignment="1">
      <alignment horizontal="right" vertical="center"/>
      <protection/>
    </xf>
    <xf numFmtId="3" fontId="31" fillId="0" borderId="99" xfId="59" applyNumberFormat="1" applyFont="1" applyBorder="1" applyAlignment="1">
      <alignment horizontal="right" vertical="center"/>
      <protection/>
    </xf>
    <xf numFmtId="0" fontId="32" fillId="0" borderId="99" xfId="59" applyFont="1" applyBorder="1" applyAlignment="1">
      <alignment horizontal="left"/>
      <protection/>
    </xf>
    <xf numFmtId="0" fontId="32" fillId="0" borderId="33" xfId="59" applyFont="1" applyBorder="1" applyAlignment="1">
      <alignment horizontal="left"/>
      <protection/>
    </xf>
    <xf numFmtId="3" fontId="31" fillId="0" borderId="88" xfId="59" applyNumberFormat="1" applyFont="1" applyBorder="1" applyAlignment="1">
      <alignment horizontal="right" vertical="center"/>
      <protection/>
    </xf>
    <xf numFmtId="0" fontId="53" fillId="0" borderId="0" xfId="60" applyFont="1" applyFill="1" applyAlignment="1">
      <alignment horizontal="center" vertical="center" wrapText="1"/>
      <protection/>
    </xf>
    <xf numFmtId="3" fontId="31" fillId="0" borderId="137" xfId="59" applyNumberFormat="1" applyFont="1" applyBorder="1" applyAlignment="1">
      <alignment horizontal="right" vertical="center" wrapText="1"/>
      <protection/>
    </xf>
    <xf numFmtId="3" fontId="31" fillId="0" borderId="39" xfId="59" applyNumberFormat="1" applyFont="1" applyBorder="1" applyAlignment="1">
      <alignment horizontal="right" vertical="center" wrapText="1"/>
      <protection/>
    </xf>
    <xf numFmtId="0" fontId="91" fillId="35" borderId="93" xfId="59" applyFont="1" applyFill="1" applyBorder="1" applyAlignment="1">
      <alignment wrapText="1"/>
      <protection/>
    </xf>
    <xf numFmtId="0" fontId="75" fillId="35" borderId="38" xfId="0" applyFont="1" applyFill="1" applyBorder="1" applyAlignment="1">
      <alignment wrapText="1"/>
    </xf>
    <xf numFmtId="0" fontId="75" fillId="35" borderId="115" xfId="0" applyFont="1" applyFill="1" applyBorder="1" applyAlignment="1">
      <alignment wrapText="1"/>
    </xf>
    <xf numFmtId="0" fontId="31" fillId="35" borderId="119" xfId="59" applyFont="1" applyFill="1" applyBorder="1" applyAlignment="1">
      <alignment/>
      <protection/>
    </xf>
    <xf numFmtId="0" fontId="31" fillId="35" borderId="119" xfId="0" applyFont="1" applyFill="1" applyBorder="1" applyAlignment="1">
      <alignment/>
    </xf>
    <xf numFmtId="0" fontId="31" fillId="35" borderId="154" xfId="0" applyFont="1" applyFill="1" applyBorder="1" applyAlignment="1">
      <alignment/>
    </xf>
    <xf numFmtId="0" fontId="91" fillId="0" borderId="35" xfId="59" applyFont="1" applyBorder="1" applyAlignment="1">
      <alignment horizontal="center" wrapText="1"/>
      <protection/>
    </xf>
    <xf numFmtId="0" fontId="91" fillId="0" borderId="79" xfId="59" applyFont="1" applyBorder="1" applyAlignment="1">
      <alignment horizontal="center" wrapText="1"/>
      <protection/>
    </xf>
    <xf numFmtId="0" fontId="91" fillId="0" borderId="33" xfId="59" applyFont="1" applyBorder="1" applyAlignment="1">
      <alignment horizontal="center" wrapText="1"/>
      <protection/>
    </xf>
    <xf numFmtId="0" fontId="54" fillId="0" borderId="35" xfId="59" applyFont="1" applyBorder="1" applyAlignment="1">
      <alignment horizontal="center" vertical="center"/>
      <protection/>
    </xf>
    <xf numFmtId="0" fontId="54" fillId="0" borderId="70" xfId="59" applyFont="1" applyBorder="1" applyAlignment="1">
      <alignment horizontal="center" vertical="center"/>
      <protection/>
    </xf>
    <xf numFmtId="0" fontId="54" fillId="0" borderId="79" xfId="59" applyFont="1" applyBorder="1" applyAlignment="1">
      <alignment horizontal="center" vertical="center"/>
      <protection/>
    </xf>
    <xf numFmtId="0" fontId="54" fillId="0" borderId="33" xfId="59" applyFont="1" applyBorder="1" applyAlignment="1">
      <alignment horizontal="center" vertical="center"/>
      <protection/>
    </xf>
    <xf numFmtId="0" fontId="54" fillId="0" borderId="118" xfId="59" applyFont="1" applyBorder="1" applyAlignment="1">
      <alignment horizontal="center" vertical="center"/>
      <protection/>
    </xf>
    <xf numFmtId="0" fontId="32" fillId="0" borderId="82" xfId="59" applyFont="1" applyBorder="1" applyAlignment="1">
      <alignment horizontal="left"/>
      <protection/>
    </xf>
    <xf numFmtId="0" fontId="32" fillId="0" borderId="0" xfId="59" applyFont="1" applyAlignment="1">
      <alignment horizontal="left" wrapText="1"/>
      <protection/>
    </xf>
    <xf numFmtId="0" fontId="32" fillId="0" borderId="90" xfId="59" applyFont="1" applyBorder="1" applyAlignment="1">
      <alignment horizontal="left"/>
      <protection/>
    </xf>
    <xf numFmtId="0" fontId="32" fillId="0" borderId="38" xfId="59" applyFont="1" applyBorder="1" applyAlignment="1">
      <alignment horizontal="left"/>
      <protection/>
    </xf>
    <xf numFmtId="0" fontId="19" fillId="0" borderId="102" xfId="59" applyBorder="1" applyAlignment="1">
      <alignment horizontal="left" wrapText="1"/>
      <protection/>
    </xf>
    <xf numFmtId="0" fontId="19" fillId="0" borderId="37" xfId="59" applyBorder="1" applyAlignment="1">
      <alignment horizontal="left" wrapText="1"/>
      <protection/>
    </xf>
    <xf numFmtId="3" fontId="32" fillId="0" borderId="48" xfId="59" applyNumberFormat="1" applyFont="1" applyBorder="1" applyAlignment="1">
      <alignment horizontal="right" vertical="center"/>
      <protection/>
    </xf>
    <xf numFmtId="0" fontId="32" fillId="0" borderId="86" xfId="59" applyFont="1" applyBorder="1" applyAlignment="1">
      <alignment horizontal="left" wrapText="1"/>
      <protection/>
    </xf>
    <xf numFmtId="0" fontId="11" fillId="0" borderId="0" xfId="60" applyFont="1" applyFill="1" applyAlignment="1">
      <alignment horizontal="right" vertical="center"/>
      <protection/>
    </xf>
    <xf numFmtId="0" fontId="75" fillId="0" borderId="0" xfId="60" applyFont="1" applyAlignment="1">
      <alignment horizontal="right"/>
      <protection/>
    </xf>
    <xf numFmtId="0" fontId="75" fillId="0" borderId="0" xfId="0" applyFont="1" applyAlignment="1">
      <alignment/>
    </xf>
    <xf numFmtId="0" fontId="16" fillId="0" borderId="160" xfId="60" applyFont="1" applyFill="1" applyBorder="1" applyAlignment="1">
      <alignment horizontal="center" vertical="center" wrapText="1"/>
      <protection/>
    </xf>
    <xf numFmtId="0" fontId="54" fillId="0" borderId="155" xfId="59" applyFont="1" applyBorder="1" applyAlignment="1">
      <alignment horizontal="center" wrapText="1"/>
      <protection/>
    </xf>
    <xf numFmtId="0" fontId="54" fillId="0" borderId="35" xfId="59" applyFont="1" applyBorder="1" applyAlignment="1">
      <alignment horizontal="center" wrapText="1"/>
      <protection/>
    </xf>
    <xf numFmtId="0" fontId="54" fillId="0" borderId="79" xfId="59" applyFont="1" applyBorder="1" applyAlignment="1">
      <alignment horizontal="center" wrapText="1"/>
      <protection/>
    </xf>
    <xf numFmtId="0" fontId="54" fillId="0" borderId="33" xfId="59" applyFont="1" applyBorder="1" applyAlignment="1">
      <alignment horizontal="center" wrapText="1"/>
      <protection/>
    </xf>
    <xf numFmtId="0" fontId="19" fillId="0" borderId="35" xfId="59" applyBorder="1" applyAlignment="1">
      <alignment horizontal="center" vertical="center"/>
      <protection/>
    </xf>
    <xf numFmtId="0" fontId="19" fillId="0" borderId="70" xfId="59" applyBorder="1" applyAlignment="1">
      <alignment horizontal="center" vertical="center"/>
      <protection/>
    </xf>
    <xf numFmtId="0" fontId="19" fillId="0" borderId="79" xfId="59" applyBorder="1" applyAlignment="1">
      <alignment horizontal="center" vertical="center"/>
      <protection/>
    </xf>
    <xf numFmtId="0" fontId="19" fillId="0" borderId="33" xfId="59" applyBorder="1" applyAlignment="1">
      <alignment horizontal="center" vertical="center"/>
      <protection/>
    </xf>
    <xf numFmtId="0" fontId="19" fillId="0" borderId="118" xfId="59" applyBorder="1" applyAlignment="1">
      <alignment horizontal="center" vertical="center"/>
      <protection/>
    </xf>
    <xf numFmtId="0" fontId="32" fillId="0" borderId="82" xfId="59" applyFont="1" applyBorder="1" applyAlignment="1">
      <alignment horizontal="left" vertical="center" wrapText="1"/>
      <protection/>
    </xf>
    <xf numFmtId="0" fontId="32" fillId="0" borderId="0" xfId="59" applyFont="1" applyBorder="1" applyAlignment="1">
      <alignment horizontal="left" vertical="center" wrapText="1"/>
      <protection/>
    </xf>
    <xf numFmtId="0" fontId="32" fillId="0" borderId="40" xfId="59" applyFont="1" applyBorder="1" applyAlignment="1">
      <alignment horizontal="left" vertical="center" wrapText="1"/>
      <protection/>
    </xf>
    <xf numFmtId="0" fontId="27" fillId="0" borderId="0" xfId="0" applyFont="1" applyAlignment="1">
      <alignment horizontal="center"/>
    </xf>
    <xf numFmtId="0" fontId="19" fillId="24" borderId="55" xfId="0" applyFont="1" applyFill="1" applyBorder="1" applyAlignment="1">
      <alignment horizontal="left" wrapText="1"/>
    </xf>
    <xf numFmtId="0" fontId="19" fillId="24" borderId="19" xfId="0" applyFont="1" applyFill="1" applyBorder="1" applyAlignment="1">
      <alignment horizontal="left" wrapText="1"/>
    </xf>
    <xf numFmtId="0" fontId="19" fillId="24" borderId="20" xfId="0" applyFont="1" applyFill="1" applyBorder="1" applyAlignment="1">
      <alignment horizontal="left" wrapText="1"/>
    </xf>
    <xf numFmtId="0" fontId="12" fillId="0" borderId="125" xfId="0" applyFont="1" applyFill="1" applyBorder="1" applyAlignment="1">
      <alignment horizontal="left" vertical="center"/>
    </xf>
    <xf numFmtId="0" fontId="12" fillId="0" borderId="28" xfId="0" applyFont="1" applyFill="1" applyBorder="1" applyAlignment="1">
      <alignment horizontal="left" vertical="center"/>
    </xf>
    <xf numFmtId="0" fontId="18" fillId="0" borderId="51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2" fillId="0" borderId="128" xfId="0" applyFont="1" applyFill="1" applyBorder="1" applyAlignment="1">
      <alignment horizontal="left" vertical="center"/>
    </xf>
    <xf numFmtId="0" fontId="12" fillId="0" borderId="134" xfId="0" applyFont="1" applyFill="1" applyBorder="1" applyAlignment="1">
      <alignment horizontal="left" vertical="center"/>
    </xf>
    <xf numFmtId="0" fontId="12" fillId="0" borderId="161" xfId="0" applyFont="1" applyFill="1" applyBorder="1" applyAlignment="1">
      <alignment horizontal="left" vertical="center"/>
    </xf>
    <xf numFmtId="0" fontId="23" fillId="0" borderId="24" xfId="0" applyFont="1" applyBorder="1" applyAlignment="1">
      <alignment horizontal="left" vertical="center"/>
    </xf>
    <xf numFmtId="0" fontId="26" fillId="0" borderId="34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1" fillId="0" borderId="0" xfId="62" applyFont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21" fillId="0" borderId="53" xfId="62" applyFont="1" applyBorder="1" applyAlignment="1">
      <alignment horizontal="center" vertical="center" wrapText="1"/>
      <protection/>
    </xf>
    <xf numFmtId="0" fontId="21" fillId="0" borderId="24" xfId="62" applyFont="1" applyBorder="1" applyAlignment="1">
      <alignment horizontal="center" vertical="center" wrapText="1"/>
      <protection/>
    </xf>
    <xf numFmtId="0" fontId="21" fillId="0" borderId="10" xfId="62" applyFont="1" applyBorder="1" applyAlignment="1">
      <alignment horizontal="center" vertical="center" wrapText="1"/>
      <protection/>
    </xf>
    <xf numFmtId="0" fontId="21" fillId="0" borderId="13" xfId="62" applyFont="1" applyBorder="1" applyAlignment="1">
      <alignment horizontal="center" vertical="center" wrapText="1"/>
      <protection/>
    </xf>
    <xf numFmtId="0" fontId="26" fillId="0" borderId="51" xfId="62" applyFont="1" applyBorder="1" applyAlignment="1">
      <alignment horizontal="center" vertical="center"/>
      <protection/>
    </xf>
    <xf numFmtId="0" fontId="26" fillId="0" borderId="27" xfId="62" applyFont="1" applyBorder="1" applyAlignment="1">
      <alignment horizontal="center" vertical="center"/>
      <protection/>
    </xf>
    <xf numFmtId="0" fontId="27" fillId="0" borderId="142" xfId="0" applyFont="1" applyBorder="1" applyAlignment="1">
      <alignment horizontal="center"/>
    </xf>
    <xf numFmtId="0" fontId="27" fillId="0" borderId="35" xfId="0" applyFont="1" applyBorder="1" applyAlignment="1">
      <alignment horizontal="center"/>
    </xf>
    <xf numFmtId="0" fontId="27" fillId="0" borderId="70" xfId="0" applyFont="1" applyBorder="1" applyAlignment="1">
      <alignment horizontal="center"/>
    </xf>
    <xf numFmtId="0" fontId="54" fillId="0" borderId="162" xfId="0" applyFont="1" applyBorder="1" applyAlignment="1">
      <alignment horizontal="left"/>
    </xf>
    <xf numFmtId="0" fontId="54" fillId="0" borderId="163" xfId="0" applyFont="1" applyBorder="1" applyAlignment="1">
      <alignment horizontal="left"/>
    </xf>
    <xf numFmtId="0" fontId="54" fillId="0" borderId="164" xfId="0" applyFont="1" applyBorder="1" applyAlignment="1">
      <alignment horizontal="left"/>
    </xf>
    <xf numFmtId="3" fontId="0" fillId="0" borderId="74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8" xfId="0" applyBorder="1" applyAlignment="1">
      <alignment horizontal="center"/>
    </xf>
    <xf numFmtId="3" fontId="0" fillId="0" borderId="106" xfId="0" applyNumberFormat="1" applyBorder="1" applyAlignment="1">
      <alignment horizontal="right" vertical="center"/>
    </xf>
    <xf numFmtId="3" fontId="0" fillId="0" borderId="26" xfId="0" applyNumberFormat="1" applyBorder="1" applyAlignment="1">
      <alignment horizontal="right" vertical="center"/>
    </xf>
    <xf numFmtId="0" fontId="94" fillId="0" borderId="137" xfId="0" applyFont="1" applyBorder="1" applyAlignment="1">
      <alignment horizontal="center" vertical="center" wrapText="1"/>
    </xf>
    <xf numFmtId="0" fontId="94" fillId="0" borderId="39" xfId="0" applyFont="1" applyBorder="1" applyAlignment="1">
      <alignment horizontal="center" vertical="center" wrapText="1"/>
    </xf>
    <xf numFmtId="0" fontId="94" fillId="0" borderId="47" xfId="0" applyFont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0" fontId="56" fillId="39" borderId="90" xfId="0" applyFont="1" applyFill="1" applyBorder="1" applyAlignment="1">
      <alignment horizontal="center" vertical="center"/>
    </xf>
    <xf numFmtId="0" fontId="56" fillId="39" borderId="38" xfId="0" applyFont="1" applyFill="1" applyBorder="1" applyAlignment="1">
      <alignment horizontal="center" vertical="center"/>
    </xf>
    <xf numFmtId="0" fontId="56" fillId="39" borderId="165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07" xfId="0" applyBorder="1" applyAlignment="1">
      <alignment horizontal="center"/>
    </xf>
    <xf numFmtId="0" fontId="0" fillId="0" borderId="89" xfId="0" applyBorder="1" applyAlignment="1">
      <alignment horizontal="center"/>
    </xf>
    <xf numFmtId="0" fontId="54" fillId="0" borderId="166" xfId="0" applyFont="1" applyBorder="1" applyAlignment="1">
      <alignment horizontal="left"/>
    </xf>
    <xf numFmtId="0" fontId="54" fillId="0" borderId="148" xfId="0" applyFont="1" applyBorder="1" applyAlignment="1">
      <alignment horizontal="left"/>
    </xf>
    <xf numFmtId="0" fontId="54" fillId="0" borderId="167" xfId="0" applyFont="1" applyBorder="1" applyAlignment="1">
      <alignment horizontal="left"/>
    </xf>
    <xf numFmtId="3" fontId="27" fillId="0" borderId="128" xfId="0" applyNumberFormat="1" applyFont="1" applyFill="1" applyBorder="1" applyAlignment="1">
      <alignment horizontal="center"/>
    </xf>
    <xf numFmtId="3" fontId="27" fillId="0" borderId="134" xfId="0" applyNumberFormat="1" applyFont="1" applyFill="1" applyBorder="1" applyAlignment="1">
      <alignment horizontal="center"/>
    </xf>
    <xf numFmtId="3" fontId="27" fillId="0" borderId="52" xfId="0" applyNumberFormat="1" applyFont="1" applyFill="1" applyBorder="1" applyAlignment="1">
      <alignment horizontal="center"/>
    </xf>
    <xf numFmtId="3" fontId="27" fillId="0" borderId="161" xfId="0" applyNumberFormat="1" applyFont="1" applyFill="1" applyBorder="1" applyAlignment="1">
      <alignment horizontal="center"/>
    </xf>
    <xf numFmtId="0" fontId="0" fillId="0" borderId="106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54" fillId="0" borderId="168" xfId="0" applyFont="1" applyBorder="1" applyAlignment="1">
      <alignment horizontal="left"/>
    </xf>
    <xf numFmtId="0" fontId="54" fillId="0" borderId="169" xfId="0" applyFont="1" applyBorder="1" applyAlignment="1">
      <alignment horizontal="left"/>
    </xf>
    <xf numFmtId="0" fontId="54" fillId="0" borderId="157" xfId="0" applyFont="1" applyBorder="1" applyAlignment="1">
      <alignment horizontal="left"/>
    </xf>
    <xf numFmtId="3" fontId="0" fillId="0" borderId="53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  <xf numFmtId="3" fontId="0" fillId="0" borderId="53" xfId="0" applyNumberFormat="1" applyBorder="1" applyAlignment="1">
      <alignment horizontal="right"/>
    </xf>
    <xf numFmtId="3" fontId="0" fillId="0" borderId="24" xfId="0" applyNumberFormat="1" applyBorder="1" applyAlignment="1">
      <alignment horizontal="right"/>
    </xf>
    <xf numFmtId="0" fontId="25" fillId="0" borderId="137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55" fillId="0" borderId="153" xfId="0" applyFont="1" applyBorder="1" applyAlignment="1">
      <alignment horizontal="center" vertical="center"/>
    </xf>
    <xf numFmtId="0" fontId="55" fillId="0" borderId="40" xfId="0" applyFont="1" applyBorder="1" applyAlignment="1">
      <alignment horizontal="center" vertical="center"/>
    </xf>
    <xf numFmtId="0" fontId="55" fillId="0" borderId="73" xfId="0" applyFont="1" applyBorder="1" applyAlignment="1">
      <alignment horizontal="center" vertical="center"/>
    </xf>
    <xf numFmtId="0" fontId="55" fillId="0" borderId="51" xfId="0" applyFont="1" applyBorder="1" applyAlignment="1">
      <alignment horizontal="center" vertical="center" wrapText="1"/>
    </xf>
    <xf numFmtId="0" fontId="55" fillId="0" borderId="53" xfId="0" applyFont="1" applyBorder="1" applyAlignment="1">
      <alignment horizontal="center" vertical="center" wrapText="1"/>
    </xf>
    <xf numFmtId="0" fontId="55" fillId="0" borderId="128" xfId="0" applyFont="1" applyBorder="1" applyAlignment="1">
      <alignment horizontal="center" vertical="center" wrapText="1"/>
    </xf>
    <xf numFmtId="0" fontId="27" fillId="0" borderId="140" xfId="0" applyFont="1" applyFill="1" applyBorder="1" applyAlignment="1">
      <alignment horizontal="center"/>
    </xf>
    <xf numFmtId="0" fontId="27" fillId="0" borderId="36" xfId="0" applyFont="1" applyFill="1" applyBorder="1" applyAlignment="1">
      <alignment horizontal="center"/>
    </xf>
    <xf numFmtId="0" fontId="27" fillId="0" borderId="89" xfId="0" applyFont="1" applyFill="1" applyBorder="1" applyAlignment="1">
      <alignment horizontal="center"/>
    </xf>
    <xf numFmtId="0" fontId="11" fillId="0" borderId="0" xfId="0" applyFont="1" applyAlignment="1">
      <alignment horizontal="right" vertical="center"/>
    </xf>
    <xf numFmtId="0" fontId="59" fillId="0" borderId="0" xfId="0" applyFont="1" applyAlignment="1">
      <alignment horizontal="center" wrapText="1"/>
    </xf>
    <xf numFmtId="0" fontId="1" fillId="0" borderId="0" xfId="61" applyFont="1" applyAlignment="1">
      <alignment horizontal="center"/>
      <protection/>
    </xf>
    <xf numFmtId="0" fontId="1" fillId="0" borderId="53" xfId="61" applyFont="1" applyBorder="1" applyAlignment="1">
      <alignment horizontal="center" vertical="center"/>
      <protection/>
    </xf>
    <xf numFmtId="0" fontId="1" fillId="0" borderId="128" xfId="61" applyFont="1" applyBorder="1" applyAlignment="1">
      <alignment horizontal="center" vertical="center"/>
      <protection/>
    </xf>
    <xf numFmtId="0" fontId="1" fillId="0" borderId="51" xfId="61" applyFont="1" applyBorder="1" applyAlignment="1">
      <alignment horizontal="center" vertical="center"/>
      <protection/>
    </xf>
    <xf numFmtId="0" fontId="1" fillId="0" borderId="10" xfId="61" applyFont="1" applyBorder="1" applyAlignment="1">
      <alignment horizontal="center" vertical="center"/>
      <protection/>
    </xf>
    <xf numFmtId="0" fontId="1" fillId="0" borderId="51" xfId="61" applyFont="1" applyBorder="1" applyAlignment="1">
      <alignment horizontal="center" vertical="center" wrapText="1"/>
      <protection/>
    </xf>
    <xf numFmtId="0" fontId="1" fillId="0" borderId="52" xfId="61" applyFont="1" applyBorder="1" applyAlignment="1">
      <alignment horizontal="center" vertical="center" wrapText="1"/>
      <protection/>
    </xf>
    <xf numFmtId="0" fontId="1" fillId="0" borderId="53" xfId="61" applyFont="1" applyBorder="1" applyAlignment="1">
      <alignment horizontal="center" vertical="center" wrapText="1"/>
      <protection/>
    </xf>
    <xf numFmtId="0" fontId="1" fillId="0" borderId="10" xfId="61" applyFont="1" applyBorder="1" applyAlignment="1">
      <alignment horizontal="center" vertical="center" wrapText="1"/>
      <protection/>
    </xf>
    <xf numFmtId="0" fontId="1" fillId="0" borderId="24" xfId="61" applyFont="1" applyBorder="1" applyAlignment="1">
      <alignment horizontal="center" vertical="center"/>
      <protection/>
    </xf>
    <xf numFmtId="0" fontId="1" fillId="0" borderId="0" xfId="61" applyFont="1" applyAlignment="1">
      <alignment horizontal="center" wrapText="1"/>
      <protection/>
    </xf>
    <xf numFmtId="0" fontId="1" fillId="0" borderId="18" xfId="61" applyFont="1" applyBorder="1" applyAlignment="1">
      <alignment horizontal="center" vertical="center"/>
      <protection/>
    </xf>
    <xf numFmtId="0" fontId="1" fillId="0" borderId="29" xfId="61" applyFont="1" applyBorder="1" applyAlignment="1">
      <alignment horizontal="center" vertical="center"/>
      <protection/>
    </xf>
    <xf numFmtId="0" fontId="53" fillId="33" borderId="58" xfId="61" applyFont="1" applyFill="1" applyBorder="1" applyAlignment="1">
      <alignment horizontal="left"/>
      <protection/>
    </xf>
    <xf numFmtId="0" fontId="53" fillId="33" borderId="170" xfId="61" applyFont="1" applyFill="1" applyBorder="1" applyAlignment="1">
      <alignment horizontal="left"/>
      <protection/>
    </xf>
    <xf numFmtId="0" fontId="1" fillId="0" borderId="137" xfId="61" applyFont="1" applyBorder="1" applyAlignment="1">
      <alignment horizontal="center" vertical="center" wrapText="1"/>
      <protection/>
    </xf>
    <xf numFmtId="0" fontId="19" fillId="0" borderId="47" xfId="61" applyBorder="1" applyAlignment="1">
      <alignment horizontal="center" vertical="center" wrapText="1"/>
      <protection/>
    </xf>
    <xf numFmtId="0" fontId="2" fillId="38" borderId="21" xfId="61" applyFont="1" applyFill="1" applyBorder="1" applyAlignment="1">
      <alignment horizontal="right"/>
      <protection/>
    </xf>
    <xf numFmtId="0" fontId="2" fillId="38" borderId="130" xfId="61" applyFont="1" applyFill="1" applyBorder="1" applyAlignment="1">
      <alignment horizontal="right"/>
      <protection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Normál 2" xfId="57"/>
    <cellStyle name="Normál 3" xfId="58"/>
    <cellStyle name="Normál_Kötelező, önként vállalt, állami feladatok szerinti bontás" xfId="59"/>
    <cellStyle name="Normál_Munka1" xfId="60"/>
    <cellStyle name="Normál_NORM09" xfId="61"/>
    <cellStyle name="Normál_TABLAK_táblák2012előterj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188"/>
  <sheetViews>
    <sheetView tabSelected="1" zoomScalePageLayoutView="0" workbookViewId="0" topLeftCell="A1">
      <selection activeCell="E191" sqref="E191"/>
    </sheetView>
  </sheetViews>
  <sheetFormatPr defaultColWidth="9.00390625" defaultRowHeight="12.75"/>
  <cols>
    <col min="1" max="1" width="5.125" style="0" customWidth="1"/>
    <col min="4" max="4" width="5.875" style="0" customWidth="1"/>
    <col min="5" max="5" width="48.375" style="0" customWidth="1"/>
    <col min="6" max="6" width="14.00390625" style="0" customWidth="1"/>
    <col min="7" max="7" width="13.625" style="0" customWidth="1"/>
    <col min="8" max="8" width="15.125" style="0" customWidth="1"/>
    <col min="9" max="9" width="14.625" style="0" customWidth="1"/>
  </cols>
  <sheetData>
    <row r="1" spans="1:9" ht="15.75">
      <c r="A1" s="133"/>
      <c r="B1" s="1"/>
      <c r="C1" s="1"/>
      <c r="D1" s="1"/>
      <c r="E1" s="2"/>
      <c r="F1" s="919" t="s">
        <v>1134</v>
      </c>
      <c r="G1" s="920"/>
      <c r="H1" s="920"/>
      <c r="I1" s="920"/>
    </row>
    <row r="2" spans="1:9" ht="15.75">
      <c r="A2" s="924" t="s">
        <v>910</v>
      </c>
      <c r="B2" s="924"/>
      <c r="C2" s="924"/>
      <c r="D2" s="924"/>
      <c r="E2" s="924"/>
      <c r="F2" s="924"/>
      <c r="G2" s="924"/>
      <c r="H2" s="924"/>
      <c r="I2" s="924"/>
    </row>
    <row r="3" spans="1:9" ht="12.75">
      <c r="A3" s="133"/>
      <c r="B3" s="3"/>
      <c r="C3" s="3"/>
      <c r="D3" s="3"/>
      <c r="E3" s="3"/>
      <c r="F3" s="1"/>
      <c r="G3" s="1"/>
      <c r="H3" s="1"/>
      <c r="I3" s="1"/>
    </row>
    <row r="4" spans="1:9" ht="12.75">
      <c r="A4" s="133"/>
      <c r="B4" s="1"/>
      <c r="C4" s="1"/>
      <c r="D4" s="1"/>
      <c r="E4" s="1"/>
      <c r="F4" s="1"/>
      <c r="G4" s="1"/>
      <c r="H4" s="1"/>
      <c r="I4" s="2" t="s">
        <v>623</v>
      </c>
    </row>
    <row r="5" spans="1:9" ht="36" customHeight="1">
      <c r="A5" s="912" t="s">
        <v>1</v>
      </c>
      <c r="B5" s="913"/>
      <c r="C5" s="913"/>
      <c r="D5" s="913"/>
      <c r="E5" s="914"/>
      <c r="F5" s="120" t="s">
        <v>2</v>
      </c>
      <c r="G5" s="120" t="s">
        <v>3</v>
      </c>
      <c r="H5" s="120" t="s">
        <v>877</v>
      </c>
      <c r="I5" s="120" t="s">
        <v>614</v>
      </c>
    </row>
    <row r="6" spans="1:9" s="603" customFormat="1" ht="15">
      <c r="A6" s="604" t="s">
        <v>700</v>
      </c>
      <c r="B6" s="921" t="s">
        <v>701</v>
      </c>
      <c r="C6" s="922"/>
      <c r="D6" s="922"/>
      <c r="E6" s="923"/>
      <c r="F6" s="605" t="s">
        <v>702</v>
      </c>
      <c r="G6" s="605" t="s">
        <v>703</v>
      </c>
      <c r="H6" s="605" t="s">
        <v>704</v>
      </c>
      <c r="I6" s="605" t="s">
        <v>705</v>
      </c>
    </row>
    <row r="7" spans="1:9" s="343" customFormat="1" ht="12.75">
      <c r="A7" s="341" t="s">
        <v>376</v>
      </c>
      <c r="B7" s="915" t="s">
        <v>377</v>
      </c>
      <c r="C7" s="915"/>
      <c r="D7" s="915"/>
      <c r="E7" s="915"/>
      <c r="F7" s="342">
        <f>SUM(F8+F15+F16+F17+F28+F29)</f>
        <v>744150</v>
      </c>
      <c r="G7" s="342">
        <f>SUM(G8+G15+G16+G17+G28+G29)</f>
        <v>0</v>
      </c>
      <c r="H7" s="342">
        <f>SUM(H8+H15+H16+H17+H28+H29)</f>
        <v>0</v>
      </c>
      <c r="I7" s="342">
        <f>SUM(F7:H7)</f>
        <v>744150</v>
      </c>
    </row>
    <row r="8" spans="1:9" ht="12.75">
      <c r="A8" s="320"/>
      <c r="B8" s="320" t="s">
        <v>378</v>
      </c>
      <c r="C8" s="916" t="s">
        <v>379</v>
      </c>
      <c r="D8" s="916"/>
      <c r="E8" s="916"/>
      <c r="F8" s="321">
        <f>SUM(F9:F14)</f>
        <v>535351</v>
      </c>
      <c r="G8" s="321">
        <f>SUM(G9:G14)</f>
        <v>0</v>
      </c>
      <c r="H8" s="321">
        <f>SUM(H9:H14)</f>
        <v>0</v>
      </c>
      <c r="I8" s="340">
        <f aca="true" t="shared" si="0" ref="I8:I71">SUM(F8:H8)</f>
        <v>535351</v>
      </c>
    </row>
    <row r="9" spans="1:9" ht="12.75">
      <c r="A9" s="325"/>
      <c r="B9" s="325"/>
      <c r="C9" s="325" t="s">
        <v>380</v>
      </c>
      <c r="D9" s="325"/>
      <c r="E9" s="325" t="s">
        <v>846</v>
      </c>
      <c r="F9" s="326">
        <v>203895</v>
      </c>
      <c r="G9" s="326">
        <v>0</v>
      </c>
      <c r="H9" s="326">
        <v>0</v>
      </c>
      <c r="I9" s="338">
        <f t="shared" si="0"/>
        <v>203895</v>
      </c>
    </row>
    <row r="10" spans="1:9" ht="12.75">
      <c r="A10" s="325"/>
      <c r="B10" s="344"/>
      <c r="C10" s="325" t="s">
        <v>381</v>
      </c>
      <c r="D10" s="325"/>
      <c r="E10" s="325" t="s">
        <v>382</v>
      </c>
      <c r="F10" s="326">
        <v>130224</v>
      </c>
      <c r="G10" s="326">
        <v>0</v>
      </c>
      <c r="H10" s="326">
        <v>0</v>
      </c>
      <c r="I10" s="338">
        <f t="shared" si="0"/>
        <v>130224</v>
      </c>
    </row>
    <row r="11" spans="1:9" ht="12.75">
      <c r="A11" s="325"/>
      <c r="B11" s="325"/>
      <c r="C11" s="325" t="s">
        <v>383</v>
      </c>
      <c r="D11" s="325"/>
      <c r="E11" s="325" t="s">
        <v>983</v>
      </c>
      <c r="F11" s="326">
        <f>180567+1721</f>
        <v>182288</v>
      </c>
      <c r="G11" s="326">
        <v>0</v>
      </c>
      <c r="H11" s="326">
        <v>0</v>
      </c>
      <c r="I11" s="338">
        <f t="shared" si="0"/>
        <v>182288</v>
      </c>
    </row>
    <row r="12" spans="1:9" ht="12.75">
      <c r="A12" s="325"/>
      <c r="B12" s="325"/>
      <c r="C12" s="325" t="s">
        <v>384</v>
      </c>
      <c r="D12" s="325"/>
      <c r="E12" s="325" t="s">
        <v>385</v>
      </c>
      <c r="F12" s="326">
        <f>10499+416</f>
        <v>10915</v>
      </c>
      <c r="G12" s="326">
        <v>0</v>
      </c>
      <c r="H12" s="326">
        <v>0</v>
      </c>
      <c r="I12" s="338">
        <f t="shared" si="0"/>
        <v>10915</v>
      </c>
    </row>
    <row r="13" spans="1:9" ht="12.75">
      <c r="A13" s="325"/>
      <c r="B13" s="325"/>
      <c r="C13" s="325" t="s">
        <v>386</v>
      </c>
      <c r="D13" s="325"/>
      <c r="E13" s="325" t="s">
        <v>984</v>
      </c>
      <c r="F13" s="326">
        <f>1589+520+4960+960</f>
        <v>8029</v>
      </c>
      <c r="G13" s="326">
        <v>0</v>
      </c>
      <c r="H13" s="326">
        <v>0</v>
      </c>
      <c r="I13" s="338">
        <f t="shared" si="0"/>
        <v>8029</v>
      </c>
    </row>
    <row r="14" spans="1:9" ht="12.75">
      <c r="A14" s="330"/>
      <c r="B14" s="330"/>
      <c r="C14" s="325" t="s">
        <v>387</v>
      </c>
      <c r="D14" s="330"/>
      <c r="E14" s="325" t="s">
        <v>985</v>
      </c>
      <c r="F14" s="326">
        <v>0</v>
      </c>
      <c r="G14" s="326">
        <v>0</v>
      </c>
      <c r="H14" s="326">
        <v>0</v>
      </c>
      <c r="I14" s="338">
        <f t="shared" si="0"/>
        <v>0</v>
      </c>
    </row>
    <row r="15" spans="1:9" ht="12.75">
      <c r="A15" s="320"/>
      <c r="B15" s="320" t="s">
        <v>388</v>
      </c>
      <c r="C15" s="916" t="s">
        <v>389</v>
      </c>
      <c r="D15" s="916"/>
      <c r="E15" s="916"/>
      <c r="F15" s="321">
        <f>9549+3234</f>
        <v>12783</v>
      </c>
      <c r="G15" s="321">
        <v>0</v>
      </c>
      <c r="H15" s="321">
        <v>0</v>
      </c>
      <c r="I15" s="340">
        <f t="shared" si="0"/>
        <v>12783</v>
      </c>
    </row>
    <row r="16" spans="1:9" ht="12.75">
      <c r="A16" s="320"/>
      <c r="B16" s="320" t="s">
        <v>390</v>
      </c>
      <c r="C16" s="916" t="s">
        <v>391</v>
      </c>
      <c r="D16" s="916"/>
      <c r="E16" s="916"/>
      <c r="F16" s="321">
        <v>0</v>
      </c>
      <c r="G16" s="321">
        <v>0</v>
      </c>
      <c r="H16" s="321">
        <v>0</v>
      </c>
      <c r="I16" s="340">
        <f>SUM(F16:H16)</f>
        <v>0</v>
      </c>
    </row>
    <row r="17" spans="1:9" ht="12.75">
      <c r="A17" s="320"/>
      <c r="B17" s="320" t="s">
        <v>392</v>
      </c>
      <c r="C17" s="916" t="s">
        <v>393</v>
      </c>
      <c r="D17" s="916"/>
      <c r="E17" s="916"/>
      <c r="F17" s="321">
        <f>SUM(F18:F27)</f>
        <v>42197</v>
      </c>
      <c r="G17" s="321">
        <f>SUM(G18:G27)</f>
        <v>0</v>
      </c>
      <c r="H17" s="321">
        <f>SUM(H18:H27)</f>
        <v>0</v>
      </c>
      <c r="I17" s="340">
        <f t="shared" si="0"/>
        <v>42197</v>
      </c>
    </row>
    <row r="18" spans="1:9" ht="12.75">
      <c r="A18" s="328"/>
      <c r="B18" s="328"/>
      <c r="C18" s="327" t="s">
        <v>21</v>
      </c>
      <c r="D18" s="327" t="s">
        <v>284</v>
      </c>
      <c r="E18" s="327" t="s">
        <v>285</v>
      </c>
      <c r="F18" s="329">
        <v>0</v>
      </c>
      <c r="G18" s="329">
        <v>0</v>
      </c>
      <c r="H18" s="329">
        <v>0</v>
      </c>
      <c r="I18" s="331">
        <f t="shared" si="0"/>
        <v>0</v>
      </c>
    </row>
    <row r="19" spans="1:9" ht="12.75">
      <c r="A19" s="328"/>
      <c r="B19" s="328"/>
      <c r="C19" s="327"/>
      <c r="D19" s="327" t="s">
        <v>286</v>
      </c>
      <c r="E19" s="327" t="s">
        <v>287</v>
      </c>
      <c r="F19" s="329">
        <v>0</v>
      </c>
      <c r="G19" s="329">
        <v>0</v>
      </c>
      <c r="H19" s="329">
        <v>0</v>
      </c>
      <c r="I19" s="331">
        <f t="shared" si="0"/>
        <v>0</v>
      </c>
    </row>
    <row r="20" spans="1:9" ht="12.75">
      <c r="A20" s="328"/>
      <c r="B20" s="328"/>
      <c r="C20" s="327"/>
      <c r="D20" s="327" t="s">
        <v>288</v>
      </c>
      <c r="E20" s="327" t="s">
        <v>394</v>
      </c>
      <c r="F20" s="329">
        <v>0</v>
      </c>
      <c r="G20" s="329">
        <v>0</v>
      </c>
      <c r="H20" s="329">
        <v>0</v>
      </c>
      <c r="I20" s="331">
        <f t="shared" si="0"/>
        <v>0</v>
      </c>
    </row>
    <row r="21" spans="1:9" ht="12.75">
      <c r="A21" s="328"/>
      <c r="B21" s="328"/>
      <c r="C21" s="327"/>
      <c r="D21" s="327" t="s">
        <v>290</v>
      </c>
      <c r="E21" s="327" t="s">
        <v>291</v>
      </c>
      <c r="F21" s="329">
        <v>0</v>
      </c>
      <c r="G21" s="329">
        <v>0</v>
      </c>
      <c r="H21" s="329">
        <v>0</v>
      </c>
      <c r="I21" s="331">
        <f t="shared" si="0"/>
        <v>0</v>
      </c>
    </row>
    <row r="22" spans="1:9" ht="12.75">
      <c r="A22" s="328"/>
      <c r="B22" s="328"/>
      <c r="C22" s="327"/>
      <c r="D22" s="327" t="s">
        <v>292</v>
      </c>
      <c r="E22" s="327" t="s">
        <v>293</v>
      </c>
      <c r="F22" s="329">
        <v>0</v>
      </c>
      <c r="G22" s="329">
        <v>0</v>
      </c>
      <c r="H22" s="329">
        <v>0</v>
      </c>
      <c r="I22" s="331">
        <f t="shared" si="0"/>
        <v>0</v>
      </c>
    </row>
    <row r="23" spans="1:9" ht="12.75">
      <c r="A23" s="328"/>
      <c r="B23" s="328"/>
      <c r="C23" s="327"/>
      <c r="D23" s="327" t="s">
        <v>294</v>
      </c>
      <c r="E23" s="327" t="s">
        <v>295</v>
      </c>
      <c r="F23" s="329">
        <v>0</v>
      </c>
      <c r="G23" s="329">
        <v>0</v>
      </c>
      <c r="H23" s="329">
        <v>0</v>
      </c>
      <c r="I23" s="331">
        <f t="shared" si="0"/>
        <v>0</v>
      </c>
    </row>
    <row r="24" spans="1:9" ht="12.75">
      <c r="A24" s="328"/>
      <c r="B24" s="328"/>
      <c r="C24" s="327"/>
      <c r="D24" s="327" t="s">
        <v>296</v>
      </c>
      <c r="E24" s="327" t="s">
        <v>297</v>
      </c>
      <c r="F24" s="329">
        <v>0</v>
      </c>
      <c r="G24" s="329">
        <v>0</v>
      </c>
      <c r="H24" s="329">
        <v>0</v>
      </c>
      <c r="I24" s="331">
        <f t="shared" si="0"/>
        <v>0</v>
      </c>
    </row>
    <row r="25" spans="1:9" ht="12.75">
      <c r="A25" s="328"/>
      <c r="B25" s="328"/>
      <c r="C25" s="327"/>
      <c r="D25" s="327" t="s">
        <v>298</v>
      </c>
      <c r="E25" s="327" t="s">
        <v>299</v>
      </c>
      <c r="F25" s="329">
        <f>842+39900+1455</f>
        <v>42197</v>
      </c>
      <c r="G25" s="329">
        <v>0</v>
      </c>
      <c r="H25" s="329">
        <v>0</v>
      </c>
      <c r="I25" s="331">
        <f t="shared" si="0"/>
        <v>42197</v>
      </c>
    </row>
    <row r="26" spans="1:9" ht="12.75">
      <c r="A26" s="328"/>
      <c r="B26" s="328"/>
      <c r="C26" s="327"/>
      <c r="D26" s="327" t="s">
        <v>300</v>
      </c>
      <c r="E26" s="327" t="s">
        <v>301</v>
      </c>
      <c r="F26" s="329">
        <v>0</v>
      </c>
      <c r="G26" s="329">
        <v>0</v>
      </c>
      <c r="H26" s="329">
        <v>0</v>
      </c>
      <c r="I26" s="331">
        <f t="shared" si="0"/>
        <v>0</v>
      </c>
    </row>
    <row r="27" spans="1:9" ht="12.75">
      <c r="A27" s="328"/>
      <c r="B27" s="328"/>
      <c r="C27" s="327"/>
      <c r="D27" s="327" t="s">
        <v>302</v>
      </c>
      <c r="E27" s="327" t="s">
        <v>303</v>
      </c>
      <c r="F27" s="329">
        <v>0</v>
      </c>
      <c r="G27" s="329">
        <v>0</v>
      </c>
      <c r="H27" s="329">
        <v>0</v>
      </c>
      <c r="I27" s="331">
        <f t="shared" si="0"/>
        <v>0</v>
      </c>
    </row>
    <row r="28" spans="1:9" ht="12.75">
      <c r="A28" s="320"/>
      <c r="B28" s="320" t="s">
        <v>395</v>
      </c>
      <c r="C28" s="916" t="s">
        <v>396</v>
      </c>
      <c r="D28" s="916"/>
      <c r="E28" s="916"/>
      <c r="F28" s="321">
        <v>0</v>
      </c>
      <c r="G28" s="321">
        <v>0</v>
      </c>
      <c r="H28" s="321">
        <v>0</v>
      </c>
      <c r="I28" s="340">
        <f t="shared" si="0"/>
        <v>0</v>
      </c>
    </row>
    <row r="29" spans="1:9" ht="12.75">
      <c r="A29" s="320"/>
      <c r="B29" s="320" t="s">
        <v>397</v>
      </c>
      <c r="C29" s="916" t="s">
        <v>398</v>
      </c>
      <c r="D29" s="916"/>
      <c r="E29" s="916"/>
      <c r="F29" s="321">
        <f>SUM(F30:F39)</f>
        <v>153819</v>
      </c>
      <c r="G29" s="321">
        <f>SUM(G30:G39)</f>
        <v>0</v>
      </c>
      <c r="H29" s="321">
        <f>SUM(H30:H39)</f>
        <v>0</v>
      </c>
      <c r="I29" s="340">
        <f t="shared" si="0"/>
        <v>153819</v>
      </c>
    </row>
    <row r="30" spans="1:9" ht="12.75">
      <c r="A30" s="328"/>
      <c r="B30" s="328"/>
      <c r="C30" s="327" t="s">
        <v>21</v>
      </c>
      <c r="D30" s="327" t="s">
        <v>284</v>
      </c>
      <c r="E30" s="327" t="s">
        <v>285</v>
      </c>
      <c r="F30" s="329">
        <v>0</v>
      </c>
      <c r="G30" s="329">
        <v>0</v>
      </c>
      <c r="H30" s="329">
        <v>0</v>
      </c>
      <c r="I30" s="331">
        <f t="shared" si="0"/>
        <v>0</v>
      </c>
    </row>
    <row r="31" spans="1:9" ht="12.75">
      <c r="A31" s="328"/>
      <c r="B31" s="328"/>
      <c r="C31" s="327"/>
      <c r="D31" s="327" t="s">
        <v>286</v>
      </c>
      <c r="E31" s="327" t="s">
        <v>287</v>
      </c>
      <c r="F31" s="329">
        <v>0</v>
      </c>
      <c r="G31" s="329">
        <v>0</v>
      </c>
      <c r="H31" s="329">
        <v>0</v>
      </c>
      <c r="I31" s="331">
        <f t="shared" si="0"/>
        <v>0</v>
      </c>
    </row>
    <row r="32" spans="1:9" ht="12.75">
      <c r="A32" s="332"/>
      <c r="B32" s="332"/>
      <c r="C32" s="333"/>
      <c r="D32" s="333" t="s">
        <v>288</v>
      </c>
      <c r="E32" s="333" t="s">
        <v>394</v>
      </c>
      <c r="F32" s="329">
        <f>15388+1428</f>
        <v>16816</v>
      </c>
      <c r="G32" s="329">
        <v>0</v>
      </c>
      <c r="H32" s="329"/>
      <c r="I32" s="331">
        <f t="shared" si="0"/>
        <v>16816</v>
      </c>
    </row>
    <row r="33" spans="1:9" ht="12.75">
      <c r="A33" s="328"/>
      <c r="B33" s="328"/>
      <c r="C33" s="327"/>
      <c r="D33" s="327" t="s">
        <v>290</v>
      </c>
      <c r="E33" s="327" t="s">
        <v>291</v>
      </c>
      <c r="F33" s="329">
        <v>49418</v>
      </c>
      <c r="G33" s="329">
        <v>0</v>
      </c>
      <c r="H33" s="329">
        <v>0</v>
      </c>
      <c r="I33" s="331">
        <f t="shared" si="0"/>
        <v>49418</v>
      </c>
    </row>
    <row r="34" spans="1:9" ht="12.75">
      <c r="A34" s="328"/>
      <c r="B34" s="328"/>
      <c r="C34" s="327"/>
      <c r="D34" s="327" t="s">
        <v>292</v>
      </c>
      <c r="E34" s="327" t="s">
        <v>293</v>
      </c>
      <c r="F34" s="329">
        <f>39922-5429+20</f>
        <v>34513</v>
      </c>
      <c r="G34" s="329">
        <v>0</v>
      </c>
      <c r="H34" s="329">
        <v>0</v>
      </c>
      <c r="I34" s="331">
        <f t="shared" si="0"/>
        <v>34513</v>
      </c>
    </row>
    <row r="35" spans="1:9" ht="12.75">
      <c r="A35" s="328"/>
      <c r="B35" s="328"/>
      <c r="C35" s="327"/>
      <c r="D35" s="327" t="s">
        <v>294</v>
      </c>
      <c r="E35" s="327" t="s">
        <v>295</v>
      </c>
      <c r="F35" s="329">
        <f>49412+96734-96734+700</f>
        <v>50112</v>
      </c>
      <c r="G35" s="329">
        <v>0</v>
      </c>
      <c r="H35" s="329">
        <v>0</v>
      </c>
      <c r="I35" s="331">
        <f t="shared" si="0"/>
        <v>50112</v>
      </c>
    </row>
    <row r="36" spans="1:9" ht="12.75">
      <c r="A36" s="328"/>
      <c r="B36" s="328"/>
      <c r="C36" s="327"/>
      <c r="D36" s="327" t="s">
        <v>296</v>
      </c>
      <c r="E36" s="327" t="s">
        <v>297</v>
      </c>
      <c r="F36" s="329">
        <v>2960</v>
      </c>
      <c r="G36" s="329">
        <v>0</v>
      </c>
      <c r="H36" s="329">
        <v>0</v>
      </c>
      <c r="I36" s="331">
        <f t="shared" si="0"/>
        <v>2960</v>
      </c>
    </row>
    <row r="37" spans="1:9" ht="12.75">
      <c r="A37" s="328"/>
      <c r="B37" s="328"/>
      <c r="C37" s="327"/>
      <c r="D37" s="327" t="s">
        <v>298</v>
      </c>
      <c r="E37" s="327" t="s">
        <v>299</v>
      </c>
      <c r="F37" s="329">
        <v>0</v>
      </c>
      <c r="G37" s="329">
        <v>0</v>
      </c>
      <c r="H37" s="329">
        <v>0</v>
      </c>
      <c r="I37" s="331">
        <f t="shared" si="0"/>
        <v>0</v>
      </c>
    </row>
    <row r="38" spans="1:9" ht="12.75">
      <c r="A38" s="328"/>
      <c r="B38" s="328"/>
      <c r="C38" s="327"/>
      <c r="D38" s="327" t="s">
        <v>300</v>
      </c>
      <c r="E38" s="327" t="s">
        <v>301</v>
      </c>
      <c r="F38" s="329">
        <v>0</v>
      </c>
      <c r="G38" s="329">
        <v>0</v>
      </c>
      <c r="H38" s="329">
        <v>0</v>
      </c>
      <c r="I38" s="331">
        <f t="shared" si="0"/>
        <v>0</v>
      </c>
    </row>
    <row r="39" spans="1:9" ht="12.75">
      <c r="A39" s="328"/>
      <c r="B39" s="328"/>
      <c r="C39" s="327"/>
      <c r="D39" s="327" t="s">
        <v>302</v>
      </c>
      <c r="E39" s="327" t="s">
        <v>303</v>
      </c>
      <c r="F39" s="329">
        <v>0</v>
      </c>
      <c r="G39" s="329">
        <v>0</v>
      </c>
      <c r="H39" s="329">
        <v>0</v>
      </c>
      <c r="I39" s="331">
        <f t="shared" si="0"/>
        <v>0</v>
      </c>
    </row>
    <row r="40" spans="1:9" s="343" customFormat="1" ht="12.75">
      <c r="A40" s="341" t="s">
        <v>399</v>
      </c>
      <c r="B40" s="915" t="s">
        <v>400</v>
      </c>
      <c r="C40" s="915"/>
      <c r="D40" s="915"/>
      <c r="E40" s="915"/>
      <c r="F40" s="342">
        <f>SUM(F41:F45)</f>
        <v>1046901</v>
      </c>
      <c r="G40" s="342">
        <f>SUM(G41:G45)</f>
        <v>0</v>
      </c>
      <c r="H40" s="342">
        <f>SUM(H41:H45)</f>
        <v>0</v>
      </c>
      <c r="I40" s="342">
        <f t="shared" si="0"/>
        <v>1046901</v>
      </c>
    </row>
    <row r="41" spans="1:9" ht="12.75">
      <c r="A41" s="320"/>
      <c r="B41" s="320" t="s">
        <v>401</v>
      </c>
      <c r="C41" s="916" t="s">
        <v>402</v>
      </c>
      <c r="D41" s="916"/>
      <c r="E41" s="916"/>
      <c r="F41" s="321">
        <f>12750</f>
        <v>12750</v>
      </c>
      <c r="G41" s="321">
        <v>0</v>
      </c>
      <c r="H41" s="321">
        <v>0</v>
      </c>
      <c r="I41" s="340">
        <f t="shared" si="0"/>
        <v>12750</v>
      </c>
    </row>
    <row r="42" spans="1:9" ht="12.75">
      <c r="A42" s="320"/>
      <c r="B42" s="320" t="s">
        <v>403</v>
      </c>
      <c r="C42" s="916" t="s">
        <v>404</v>
      </c>
      <c r="D42" s="916"/>
      <c r="E42" s="916"/>
      <c r="F42" s="321">
        <v>0</v>
      </c>
      <c r="G42" s="321">
        <v>0</v>
      </c>
      <c r="H42" s="321">
        <v>0</v>
      </c>
      <c r="I42" s="340">
        <f t="shared" si="0"/>
        <v>0</v>
      </c>
    </row>
    <row r="43" spans="1:9" ht="12.75">
      <c r="A43" s="320"/>
      <c r="B43" s="320" t="s">
        <v>405</v>
      </c>
      <c r="C43" s="916" t="s">
        <v>406</v>
      </c>
      <c r="D43" s="916"/>
      <c r="E43" s="916"/>
      <c r="F43" s="321">
        <v>0</v>
      </c>
      <c r="G43" s="321">
        <v>0</v>
      </c>
      <c r="H43" s="321">
        <v>0</v>
      </c>
      <c r="I43" s="340">
        <f t="shared" si="0"/>
        <v>0</v>
      </c>
    </row>
    <row r="44" spans="1:9" ht="12.75">
      <c r="A44" s="320"/>
      <c r="B44" s="320" t="s">
        <v>407</v>
      </c>
      <c r="C44" s="916" t="s">
        <v>408</v>
      </c>
      <c r="D44" s="916"/>
      <c r="E44" s="916"/>
      <c r="F44" s="321">
        <v>0</v>
      </c>
      <c r="G44" s="321">
        <v>0</v>
      </c>
      <c r="H44" s="321">
        <v>0</v>
      </c>
      <c r="I44" s="340">
        <f t="shared" si="0"/>
        <v>0</v>
      </c>
    </row>
    <row r="45" spans="1:9" ht="12.75">
      <c r="A45" s="320"/>
      <c r="B45" s="320" t="s">
        <v>409</v>
      </c>
      <c r="C45" s="916" t="s">
        <v>410</v>
      </c>
      <c r="D45" s="916"/>
      <c r="E45" s="916"/>
      <c r="F45" s="321">
        <f>SUM(F46:F55)</f>
        <v>1034151</v>
      </c>
      <c r="G45" s="321">
        <f>SUM(G46:G55)</f>
        <v>0</v>
      </c>
      <c r="H45" s="321">
        <f>SUM(H46:H55)</f>
        <v>0</v>
      </c>
      <c r="I45" s="340">
        <f t="shared" si="0"/>
        <v>1034151</v>
      </c>
    </row>
    <row r="46" spans="1:9" ht="12.75">
      <c r="A46" s="328"/>
      <c r="B46" s="328"/>
      <c r="C46" s="327" t="s">
        <v>21</v>
      </c>
      <c r="D46" s="327" t="s">
        <v>284</v>
      </c>
      <c r="E46" s="327" t="s">
        <v>285</v>
      </c>
      <c r="F46" s="329">
        <v>0</v>
      </c>
      <c r="G46" s="329">
        <v>0</v>
      </c>
      <c r="H46" s="329">
        <v>0</v>
      </c>
      <c r="I46" s="331">
        <f t="shared" si="0"/>
        <v>0</v>
      </c>
    </row>
    <row r="47" spans="1:9" ht="12.75">
      <c r="A47" s="328"/>
      <c r="B47" s="328"/>
      <c r="C47" s="327"/>
      <c r="D47" s="327" t="s">
        <v>286</v>
      </c>
      <c r="E47" s="327" t="s">
        <v>287</v>
      </c>
      <c r="F47" s="329">
        <v>0</v>
      </c>
      <c r="G47" s="329">
        <v>0</v>
      </c>
      <c r="H47" s="329">
        <v>0</v>
      </c>
      <c r="I47" s="331">
        <f t="shared" si="0"/>
        <v>0</v>
      </c>
    </row>
    <row r="48" spans="1:9" ht="12.75">
      <c r="A48" s="332"/>
      <c r="B48" s="332"/>
      <c r="C48" s="333"/>
      <c r="D48" s="333" t="s">
        <v>288</v>
      </c>
      <c r="E48" s="333" t="s">
        <v>394</v>
      </c>
      <c r="F48" s="329">
        <f>958761+9540</f>
        <v>968301</v>
      </c>
      <c r="G48" s="329">
        <v>0</v>
      </c>
      <c r="H48" s="329">
        <v>0</v>
      </c>
      <c r="I48" s="331">
        <f t="shared" si="0"/>
        <v>968301</v>
      </c>
    </row>
    <row r="49" spans="1:9" ht="12.75">
      <c r="A49" s="328"/>
      <c r="B49" s="328"/>
      <c r="C49" s="327"/>
      <c r="D49" s="327" t="s">
        <v>290</v>
      </c>
      <c r="E49" s="327" t="s">
        <v>291</v>
      </c>
      <c r="F49" s="329">
        <f>65850</f>
        <v>65850</v>
      </c>
      <c r="G49" s="329">
        <v>0</v>
      </c>
      <c r="H49" s="329">
        <v>0</v>
      </c>
      <c r="I49" s="331">
        <f t="shared" si="0"/>
        <v>65850</v>
      </c>
    </row>
    <row r="50" spans="1:9" ht="12.75">
      <c r="A50" s="328"/>
      <c r="B50" s="328"/>
      <c r="C50" s="327"/>
      <c r="D50" s="327" t="s">
        <v>292</v>
      </c>
      <c r="E50" s="327" t="s">
        <v>293</v>
      </c>
      <c r="F50" s="329">
        <v>0</v>
      </c>
      <c r="G50" s="329">
        <v>0</v>
      </c>
      <c r="H50" s="329">
        <v>0</v>
      </c>
      <c r="I50" s="331">
        <f t="shared" si="0"/>
        <v>0</v>
      </c>
    </row>
    <row r="51" spans="1:9" ht="12.75">
      <c r="A51" s="328"/>
      <c r="B51" s="328"/>
      <c r="C51" s="327"/>
      <c r="D51" s="327" t="s">
        <v>294</v>
      </c>
      <c r="E51" s="327" t="s">
        <v>295</v>
      </c>
      <c r="F51" s="329">
        <f>8223-8223</f>
        <v>0</v>
      </c>
      <c r="G51" s="329">
        <v>0</v>
      </c>
      <c r="H51" s="329">
        <v>0</v>
      </c>
      <c r="I51" s="331">
        <f t="shared" si="0"/>
        <v>0</v>
      </c>
    </row>
    <row r="52" spans="1:9" ht="12.75">
      <c r="A52" s="328"/>
      <c r="B52" s="328"/>
      <c r="C52" s="327"/>
      <c r="D52" s="327" t="s">
        <v>296</v>
      </c>
      <c r="E52" s="327" t="s">
        <v>297</v>
      </c>
      <c r="F52" s="329">
        <v>0</v>
      </c>
      <c r="G52" s="329">
        <v>0</v>
      </c>
      <c r="H52" s="329">
        <v>0</v>
      </c>
      <c r="I52" s="331">
        <f t="shared" si="0"/>
        <v>0</v>
      </c>
    </row>
    <row r="53" spans="1:9" ht="12.75">
      <c r="A53" s="328"/>
      <c r="B53" s="328"/>
      <c r="C53" s="327"/>
      <c r="D53" s="327" t="s">
        <v>298</v>
      </c>
      <c r="E53" s="327" t="s">
        <v>299</v>
      </c>
      <c r="F53" s="329">
        <v>0</v>
      </c>
      <c r="G53" s="329">
        <v>0</v>
      </c>
      <c r="H53" s="329">
        <v>0</v>
      </c>
      <c r="I53" s="331">
        <f t="shared" si="0"/>
        <v>0</v>
      </c>
    </row>
    <row r="54" spans="1:9" ht="12.75">
      <c r="A54" s="328"/>
      <c r="B54" s="328"/>
      <c r="C54" s="327"/>
      <c r="D54" s="327" t="s">
        <v>300</v>
      </c>
      <c r="E54" s="327" t="s">
        <v>301</v>
      </c>
      <c r="F54" s="329">
        <v>0</v>
      </c>
      <c r="G54" s="329">
        <v>0</v>
      </c>
      <c r="H54" s="329">
        <v>0</v>
      </c>
      <c r="I54" s="331">
        <f t="shared" si="0"/>
        <v>0</v>
      </c>
    </row>
    <row r="55" spans="1:9" ht="12.75">
      <c r="A55" s="328"/>
      <c r="B55" s="328"/>
      <c r="C55" s="327"/>
      <c r="D55" s="327" t="s">
        <v>302</v>
      </c>
      <c r="E55" s="327" t="s">
        <v>303</v>
      </c>
      <c r="F55" s="329">
        <v>0</v>
      </c>
      <c r="G55" s="329">
        <v>0</v>
      </c>
      <c r="H55" s="329">
        <v>0</v>
      </c>
      <c r="I55" s="331">
        <f t="shared" si="0"/>
        <v>0</v>
      </c>
    </row>
    <row r="56" spans="1:9" s="343" customFormat="1" ht="12.75">
      <c r="A56" s="341" t="s">
        <v>411</v>
      </c>
      <c r="B56" s="915" t="s">
        <v>412</v>
      </c>
      <c r="C56" s="915"/>
      <c r="D56" s="915"/>
      <c r="E56" s="915"/>
      <c r="F56" s="342">
        <f>SUM(F57+F58+F59+F60+F63+F74)</f>
        <v>170870</v>
      </c>
      <c r="G56" s="342">
        <f>SUM(G57+G58+G59+G60+G63+G74)</f>
        <v>100</v>
      </c>
      <c r="H56" s="342">
        <f>SUM(H57+H58+H59+H60+H63+H74)</f>
        <v>0</v>
      </c>
      <c r="I56" s="342">
        <f t="shared" si="0"/>
        <v>170970</v>
      </c>
    </row>
    <row r="57" spans="1:9" ht="12.75">
      <c r="A57" s="320"/>
      <c r="B57" s="320" t="s">
        <v>413</v>
      </c>
      <c r="C57" s="916" t="s">
        <v>414</v>
      </c>
      <c r="D57" s="916"/>
      <c r="E57" s="916"/>
      <c r="F57" s="321">
        <v>0</v>
      </c>
      <c r="G57" s="321">
        <v>0</v>
      </c>
      <c r="H57" s="321">
        <v>0</v>
      </c>
      <c r="I57" s="340">
        <f t="shared" si="0"/>
        <v>0</v>
      </c>
    </row>
    <row r="58" spans="1:9" ht="12.75">
      <c r="A58" s="320"/>
      <c r="B58" s="320" t="s">
        <v>415</v>
      </c>
      <c r="C58" s="916" t="s">
        <v>416</v>
      </c>
      <c r="D58" s="916"/>
      <c r="E58" s="916"/>
      <c r="F58" s="321">
        <v>0</v>
      </c>
      <c r="G58" s="321">
        <v>0</v>
      </c>
      <c r="H58" s="321">
        <v>0</v>
      </c>
      <c r="I58" s="340">
        <f t="shared" si="0"/>
        <v>0</v>
      </c>
    </row>
    <row r="59" spans="1:9" ht="12.75">
      <c r="A59" s="320"/>
      <c r="B59" s="320" t="s">
        <v>417</v>
      </c>
      <c r="C59" s="916" t="s">
        <v>418</v>
      </c>
      <c r="D59" s="916"/>
      <c r="E59" s="916"/>
      <c r="F59" s="321">
        <v>0</v>
      </c>
      <c r="G59" s="321">
        <v>0</v>
      </c>
      <c r="H59" s="321">
        <v>0</v>
      </c>
      <c r="I59" s="340">
        <f t="shared" si="0"/>
        <v>0</v>
      </c>
    </row>
    <row r="60" spans="1:9" ht="12.75">
      <c r="A60" s="320"/>
      <c r="B60" s="320" t="s">
        <v>419</v>
      </c>
      <c r="C60" s="916" t="s">
        <v>420</v>
      </c>
      <c r="D60" s="916"/>
      <c r="E60" s="916"/>
      <c r="F60" s="321">
        <f>SUM(F61:F62)</f>
        <v>26500</v>
      </c>
      <c r="G60" s="321">
        <f>SUM(G61:G62)</f>
        <v>0</v>
      </c>
      <c r="H60" s="321">
        <v>0</v>
      </c>
      <c r="I60" s="340">
        <f t="shared" si="0"/>
        <v>26500</v>
      </c>
    </row>
    <row r="61" spans="1:9" ht="12.75">
      <c r="A61" s="328"/>
      <c r="B61" s="328"/>
      <c r="C61" s="327"/>
      <c r="D61" s="327"/>
      <c r="E61" s="327" t="s">
        <v>421</v>
      </c>
      <c r="F61" s="329">
        <v>25500</v>
      </c>
      <c r="G61" s="329">
        <v>0</v>
      </c>
      <c r="H61" s="329">
        <v>0</v>
      </c>
      <c r="I61" s="331">
        <f t="shared" si="0"/>
        <v>25500</v>
      </c>
    </row>
    <row r="62" spans="1:9" ht="12.75">
      <c r="A62" s="328"/>
      <c r="B62" s="328"/>
      <c r="C62" s="327"/>
      <c r="D62" s="327"/>
      <c r="E62" s="327" t="s">
        <v>422</v>
      </c>
      <c r="F62" s="329">
        <v>1000</v>
      </c>
      <c r="G62" s="329">
        <v>0</v>
      </c>
      <c r="H62" s="329">
        <v>0</v>
      </c>
      <c r="I62" s="331">
        <f t="shared" si="0"/>
        <v>1000</v>
      </c>
    </row>
    <row r="63" spans="1:9" ht="12.75">
      <c r="A63" s="320"/>
      <c r="B63" s="320" t="s">
        <v>423</v>
      </c>
      <c r="C63" s="916" t="s">
        <v>424</v>
      </c>
      <c r="D63" s="916"/>
      <c r="E63" s="916"/>
      <c r="F63" s="321">
        <f>SUM(F64+F67+F68+F69+F71)</f>
        <v>142670</v>
      </c>
      <c r="G63" s="321">
        <f>SUM(G64+G67+G68+G69+G71)</f>
        <v>0</v>
      </c>
      <c r="H63" s="321">
        <v>0</v>
      </c>
      <c r="I63" s="340">
        <f t="shared" si="0"/>
        <v>142670</v>
      </c>
    </row>
    <row r="64" spans="1:9" ht="12.75">
      <c r="A64" s="325"/>
      <c r="B64" s="325"/>
      <c r="C64" s="325" t="s">
        <v>425</v>
      </c>
      <c r="D64" s="325" t="s">
        <v>426</v>
      </c>
      <c r="E64" s="325"/>
      <c r="F64" s="326">
        <f>SUM(F65:F66)</f>
        <v>122470</v>
      </c>
      <c r="G64" s="326">
        <f>SUM(G65:G66)</f>
        <v>0</v>
      </c>
      <c r="H64" s="326">
        <v>0</v>
      </c>
      <c r="I64" s="338">
        <f t="shared" si="0"/>
        <v>122470</v>
      </c>
    </row>
    <row r="65" spans="1:9" ht="12.75">
      <c r="A65" s="328"/>
      <c r="B65" s="328"/>
      <c r="C65" s="327"/>
      <c r="D65" s="327"/>
      <c r="E65" s="327" t="s">
        <v>427</v>
      </c>
      <c r="F65" s="329">
        <f>120000+1970</f>
        <v>121970</v>
      </c>
      <c r="G65" s="329">
        <v>0</v>
      </c>
      <c r="H65" s="329">
        <v>0</v>
      </c>
      <c r="I65" s="331">
        <f t="shared" si="0"/>
        <v>121970</v>
      </c>
    </row>
    <row r="66" spans="1:9" ht="12.75">
      <c r="A66" s="328"/>
      <c r="B66" s="328"/>
      <c r="C66" s="327"/>
      <c r="D66" s="327"/>
      <c r="E66" s="327" t="s">
        <v>428</v>
      </c>
      <c r="F66" s="329">
        <v>500</v>
      </c>
      <c r="G66" s="329">
        <v>0</v>
      </c>
      <c r="H66" s="329">
        <v>0</v>
      </c>
      <c r="I66" s="331">
        <f t="shared" si="0"/>
        <v>500</v>
      </c>
    </row>
    <row r="67" spans="1:9" ht="12.75">
      <c r="A67" s="325"/>
      <c r="B67" s="325"/>
      <c r="C67" s="325" t="s">
        <v>429</v>
      </c>
      <c r="D67" s="325" t="s">
        <v>430</v>
      </c>
      <c r="E67" s="325"/>
      <c r="F67" s="326">
        <v>0</v>
      </c>
      <c r="G67" s="326">
        <v>0</v>
      </c>
      <c r="H67" s="326">
        <v>0</v>
      </c>
      <c r="I67" s="338">
        <f t="shared" si="0"/>
        <v>0</v>
      </c>
    </row>
    <row r="68" spans="1:9" ht="12.75">
      <c r="A68" s="325"/>
      <c r="B68" s="325"/>
      <c r="C68" s="325" t="s">
        <v>431</v>
      </c>
      <c r="D68" s="325" t="s">
        <v>432</v>
      </c>
      <c r="E68" s="325"/>
      <c r="F68" s="326">
        <v>0</v>
      </c>
      <c r="G68" s="326">
        <v>0</v>
      </c>
      <c r="H68" s="326">
        <v>0</v>
      </c>
      <c r="I68" s="338">
        <f t="shared" si="0"/>
        <v>0</v>
      </c>
    </row>
    <row r="69" spans="1:9" ht="12.75">
      <c r="A69" s="325"/>
      <c r="B69" s="325"/>
      <c r="C69" s="325" t="s">
        <v>433</v>
      </c>
      <c r="D69" s="325" t="s">
        <v>434</v>
      </c>
      <c r="E69" s="325"/>
      <c r="F69" s="326">
        <f>SUM(F70)</f>
        <v>20000</v>
      </c>
      <c r="G69" s="326">
        <f>SUM(G70:G70)</f>
        <v>0</v>
      </c>
      <c r="H69" s="326">
        <v>0</v>
      </c>
      <c r="I69" s="338">
        <f t="shared" si="0"/>
        <v>20000</v>
      </c>
    </row>
    <row r="70" spans="1:9" ht="12.75">
      <c r="A70" s="328"/>
      <c r="B70" s="328"/>
      <c r="C70" s="328"/>
      <c r="D70" s="327"/>
      <c r="E70" s="327" t="s">
        <v>435</v>
      </c>
      <c r="F70" s="329">
        <v>20000</v>
      </c>
      <c r="G70" s="329">
        <v>0</v>
      </c>
      <c r="H70" s="329">
        <v>0</v>
      </c>
      <c r="I70" s="331">
        <f t="shared" si="0"/>
        <v>20000</v>
      </c>
    </row>
    <row r="71" spans="1:9" ht="12.75">
      <c r="A71" s="325"/>
      <c r="B71" s="325"/>
      <c r="C71" s="325" t="s">
        <v>436</v>
      </c>
      <c r="D71" s="325" t="s">
        <v>437</v>
      </c>
      <c r="E71" s="325"/>
      <c r="F71" s="326">
        <f>SUM(F72:F73)</f>
        <v>200</v>
      </c>
      <c r="G71" s="326">
        <v>0</v>
      </c>
      <c r="H71" s="326">
        <v>0</v>
      </c>
      <c r="I71" s="338">
        <f t="shared" si="0"/>
        <v>200</v>
      </c>
    </row>
    <row r="72" spans="1:9" ht="12.75">
      <c r="A72" s="328"/>
      <c r="B72" s="328"/>
      <c r="C72" s="328"/>
      <c r="D72" s="327"/>
      <c r="E72" s="327" t="s">
        <v>438</v>
      </c>
      <c r="F72" s="329">
        <v>200</v>
      </c>
      <c r="G72" s="329">
        <v>0</v>
      </c>
      <c r="H72" s="329">
        <v>0</v>
      </c>
      <c r="I72" s="331">
        <f aca="true" t="shared" si="1" ref="I72:I169">SUM(F72:H72)</f>
        <v>200</v>
      </c>
    </row>
    <row r="73" spans="1:9" ht="12.75">
      <c r="A73" s="328"/>
      <c r="B73" s="328"/>
      <c r="C73" s="328"/>
      <c r="D73" s="327"/>
      <c r="E73" s="327" t="s">
        <v>439</v>
      </c>
      <c r="F73" s="329">
        <v>0</v>
      </c>
      <c r="G73" s="329">
        <v>0</v>
      </c>
      <c r="H73" s="329">
        <v>0</v>
      </c>
      <c r="I73" s="331">
        <f t="shared" si="1"/>
        <v>0</v>
      </c>
    </row>
    <row r="74" spans="1:9" ht="12.75">
      <c r="A74" s="320"/>
      <c r="B74" s="320" t="s">
        <v>440</v>
      </c>
      <c r="C74" s="916" t="s">
        <v>441</v>
      </c>
      <c r="D74" s="916"/>
      <c r="E74" s="916"/>
      <c r="F74" s="321">
        <f>SUM(F75:F83)</f>
        <v>1700</v>
      </c>
      <c r="G74" s="321">
        <f>SUM(G75:G83)</f>
        <v>100</v>
      </c>
      <c r="H74" s="321">
        <f>SUM(H75:H83)</f>
        <v>0</v>
      </c>
      <c r="I74" s="340">
        <f t="shared" si="1"/>
        <v>1800</v>
      </c>
    </row>
    <row r="75" spans="1:9" ht="12.75">
      <c r="A75" s="334"/>
      <c r="B75" s="334"/>
      <c r="C75" s="334"/>
      <c r="D75" s="327"/>
      <c r="E75" s="327" t="s">
        <v>442</v>
      </c>
      <c r="F75" s="329">
        <v>0</v>
      </c>
      <c r="G75" s="329">
        <v>0</v>
      </c>
      <c r="H75" s="329">
        <v>0</v>
      </c>
      <c r="I75" s="331">
        <f t="shared" si="1"/>
        <v>0</v>
      </c>
    </row>
    <row r="76" spans="1:9" ht="12.75">
      <c r="A76" s="328"/>
      <c r="B76" s="328"/>
      <c r="C76" s="328"/>
      <c r="D76" s="327"/>
      <c r="E76" s="327" t="s">
        <v>443</v>
      </c>
      <c r="F76" s="329">
        <v>0</v>
      </c>
      <c r="G76" s="329">
        <v>50</v>
      </c>
      <c r="H76" s="329">
        <v>0</v>
      </c>
      <c r="I76" s="331">
        <f t="shared" si="1"/>
        <v>50</v>
      </c>
    </row>
    <row r="77" spans="1:9" ht="12.75">
      <c r="A77" s="334"/>
      <c r="B77" s="334"/>
      <c r="C77" s="334"/>
      <c r="D77" s="327"/>
      <c r="E77" s="327" t="s">
        <v>444</v>
      </c>
      <c r="F77" s="329">
        <v>0</v>
      </c>
      <c r="G77" s="329">
        <v>0</v>
      </c>
      <c r="H77" s="329">
        <v>0</v>
      </c>
      <c r="I77" s="331">
        <f t="shared" si="1"/>
        <v>0</v>
      </c>
    </row>
    <row r="78" spans="1:9" ht="12.75">
      <c r="A78" s="334"/>
      <c r="B78" s="334"/>
      <c r="C78" s="334"/>
      <c r="D78" s="327"/>
      <c r="E78" s="327" t="s">
        <v>445</v>
      </c>
      <c r="F78" s="329">
        <v>0</v>
      </c>
      <c r="G78" s="329">
        <v>0</v>
      </c>
      <c r="H78" s="329">
        <v>0</v>
      </c>
      <c r="I78" s="331">
        <f t="shared" si="1"/>
        <v>0</v>
      </c>
    </row>
    <row r="79" spans="1:9" ht="12.75">
      <c r="A79" s="334"/>
      <c r="B79" s="334"/>
      <c r="C79" s="334"/>
      <c r="D79" s="327"/>
      <c r="E79" s="327" t="s">
        <v>446</v>
      </c>
      <c r="F79" s="329">
        <v>0</v>
      </c>
      <c r="G79" s="329">
        <v>0</v>
      </c>
      <c r="H79" s="329">
        <v>0</v>
      </c>
      <c r="I79" s="331">
        <f t="shared" si="1"/>
        <v>0</v>
      </c>
    </row>
    <row r="80" spans="1:9" ht="12.75">
      <c r="A80" s="334"/>
      <c r="B80" s="334"/>
      <c r="C80" s="334"/>
      <c r="D80" s="327"/>
      <c r="E80" s="327" t="s">
        <v>447</v>
      </c>
      <c r="F80" s="329">
        <v>0</v>
      </c>
      <c r="G80" s="329">
        <v>50</v>
      </c>
      <c r="H80" s="329">
        <v>0</v>
      </c>
      <c r="I80" s="331">
        <f t="shared" si="1"/>
        <v>50</v>
      </c>
    </row>
    <row r="81" spans="1:9" ht="40.5" customHeight="1">
      <c r="A81" s="328"/>
      <c r="B81" s="328"/>
      <c r="C81" s="328"/>
      <c r="D81" s="328"/>
      <c r="E81" s="602" t="s">
        <v>448</v>
      </c>
      <c r="F81" s="329">
        <v>200</v>
      </c>
      <c r="G81" s="329">
        <v>0</v>
      </c>
      <c r="H81" s="329">
        <v>0</v>
      </c>
      <c r="I81" s="331">
        <f t="shared" si="1"/>
        <v>200</v>
      </c>
    </row>
    <row r="82" spans="1:9" ht="12.75">
      <c r="A82" s="334"/>
      <c r="B82" s="334"/>
      <c r="C82" s="334"/>
      <c r="D82" s="334"/>
      <c r="E82" s="327" t="s">
        <v>449</v>
      </c>
      <c r="F82" s="329">
        <v>0</v>
      </c>
      <c r="G82" s="329">
        <v>0</v>
      </c>
      <c r="H82" s="329">
        <v>0</v>
      </c>
      <c r="I82" s="331">
        <f t="shared" si="1"/>
        <v>0</v>
      </c>
    </row>
    <row r="83" spans="1:9" ht="12.75">
      <c r="A83" s="328"/>
      <c r="B83" s="328"/>
      <c r="C83" s="328"/>
      <c r="D83" s="328"/>
      <c r="E83" s="333" t="s">
        <v>450</v>
      </c>
      <c r="F83" s="329">
        <v>1500</v>
      </c>
      <c r="G83" s="329">
        <v>0</v>
      </c>
      <c r="H83" s="329">
        <v>0</v>
      </c>
      <c r="I83" s="331">
        <f t="shared" si="1"/>
        <v>1500</v>
      </c>
    </row>
    <row r="84" spans="1:9" s="343" customFormat="1" ht="12.75">
      <c r="A84" s="341" t="s">
        <v>451</v>
      </c>
      <c r="B84" s="915" t="s">
        <v>452</v>
      </c>
      <c r="C84" s="915"/>
      <c r="D84" s="915"/>
      <c r="E84" s="915"/>
      <c r="F84" s="342">
        <f>SUM(F85+F86+F89+F91+F98+F99+F100+F101+F105+F106+F107)</f>
        <v>128369</v>
      </c>
      <c r="G84" s="342">
        <f>SUM(G85+G86+G89+G91+G98+G99+G100+G101+G105+G106+G107)</f>
        <v>9330</v>
      </c>
      <c r="H84" s="342">
        <f>SUM(H85+H86+H89+H91+H98+H99+H100+H101+H105+H106+H107)</f>
        <v>8220</v>
      </c>
      <c r="I84" s="342">
        <f t="shared" si="1"/>
        <v>145919</v>
      </c>
    </row>
    <row r="85" spans="1:9" ht="12.75">
      <c r="A85" s="325"/>
      <c r="B85" s="325"/>
      <c r="C85" s="325" t="s">
        <v>453</v>
      </c>
      <c r="D85" s="325" t="s">
        <v>986</v>
      </c>
      <c r="E85" s="325"/>
      <c r="F85" s="326">
        <f>8037+14+63+81+66</f>
        <v>8261</v>
      </c>
      <c r="G85" s="326">
        <v>0</v>
      </c>
      <c r="H85" s="326">
        <v>0</v>
      </c>
      <c r="I85" s="338">
        <f t="shared" si="1"/>
        <v>8261</v>
      </c>
    </row>
    <row r="86" spans="1:9" ht="12.75">
      <c r="A86" s="325"/>
      <c r="B86" s="325"/>
      <c r="C86" s="325" t="s">
        <v>454</v>
      </c>
      <c r="D86" s="325" t="s">
        <v>566</v>
      </c>
      <c r="E86" s="325"/>
      <c r="F86" s="326">
        <f>83692+195</f>
        <v>83887</v>
      </c>
      <c r="G86" s="326">
        <v>1716</v>
      </c>
      <c r="H86" s="326">
        <v>108</v>
      </c>
      <c r="I86" s="338">
        <f t="shared" si="1"/>
        <v>85711</v>
      </c>
    </row>
    <row r="87" spans="1:9" ht="12.75">
      <c r="A87" s="328"/>
      <c r="B87" s="328"/>
      <c r="C87" s="327" t="s">
        <v>21</v>
      </c>
      <c r="D87" s="327"/>
      <c r="E87" s="327" t="s">
        <v>455</v>
      </c>
      <c r="F87" s="329">
        <f>10878+115</f>
        <v>10993</v>
      </c>
      <c r="G87" s="329">
        <v>0</v>
      </c>
      <c r="H87" s="329">
        <v>108</v>
      </c>
      <c r="I87" s="331">
        <f t="shared" si="1"/>
        <v>11101</v>
      </c>
    </row>
    <row r="88" spans="1:9" ht="12.75">
      <c r="A88" s="328"/>
      <c r="B88" s="328"/>
      <c r="C88" s="327"/>
      <c r="D88" s="327"/>
      <c r="E88" s="327" t="s">
        <v>1024</v>
      </c>
      <c r="F88" s="329">
        <v>0</v>
      </c>
      <c r="G88" s="329">
        <v>0</v>
      </c>
      <c r="H88" s="329">
        <v>0</v>
      </c>
      <c r="I88" s="331">
        <f>SUM(F88:H88)</f>
        <v>0</v>
      </c>
    </row>
    <row r="89" spans="1:9" ht="12.75">
      <c r="A89" s="325"/>
      <c r="B89" s="325"/>
      <c r="C89" s="325" t="s">
        <v>456</v>
      </c>
      <c r="D89" s="325" t="s">
        <v>457</v>
      </c>
      <c r="E89" s="325"/>
      <c r="F89" s="326">
        <v>3884</v>
      </c>
      <c r="G89" s="326">
        <v>6951</v>
      </c>
      <c r="H89" s="326">
        <v>0</v>
      </c>
      <c r="I89" s="338">
        <f t="shared" si="1"/>
        <v>10835</v>
      </c>
    </row>
    <row r="90" spans="1:9" ht="12.75">
      <c r="A90" s="328"/>
      <c r="B90" s="328"/>
      <c r="C90" s="327" t="s">
        <v>21</v>
      </c>
      <c r="D90" s="327"/>
      <c r="E90" s="327" t="s">
        <v>68</v>
      </c>
      <c r="F90" s="329">
        <v>2824</v>
      </c>
      <c r="G90" s="329">
        <v>4651</v>
      </c>
      <c r="H90" s="329">
        <v>0</v>
      </c>
      <c r="I90" s="331">
        <f t="shared" si="1"/>
        <v>7475</v>
      </c>
    </row>
    <row r="91" spans="1:9" ht="12.75">
      <c r="A91" s="325"/>
      <c r="B91" s="325"/>
      <c r="C91" s="325" t="s">
        <v>458</v>
      </c>
      <c r="D91" s="325" t="s">
        <v>459</v>
      </c>
      <c r="E91" s="325"/>
      <c r="F91" s="326">
        <v>695</v>
      </c>
      <c r="G91" s="326">
        <v>0</v>
      </c>
      <c r="H91" s="326">
        <v>0</v>
      </c>
      <c r="I91" s="338">
        <f t="shared" si="1"/>
        <v>695</v>
      </c>
    </row>
    <row r="92" spans="1:9" ht="12.75">
      <c r="A92" s="328"/>
      <c r="B92" s="328"/>
      <c r="C92" s="327" t="s">
        <v>21</v>
      </c>
      <c r="D92" s="327"/>
      <c r="E92" s="327" t="s">
        <v>460</v>
      </c>
      <c r="F92" s="329">
        <v>0</v>
      </c>
      <c r="G92" s="329">
        <v>0</v>
      </c>
      <c r="H92" s="329">
        <v>0</v>
      </c>
      <c r="I92" s="331">
        <f t="shared" si="1"/>
        <v>0</v>
      </c>
    </row>
    <row r="93" spans="1:9" ht="12.75">
      <c r="A93" s="328"/>
      <c r="B93" s="328"/>
      <c r="C93" s="327"/>
      <c r="D93" s="327"/>
      <c r="E93" s="327" t="s">
        <v>987</v>
      </c>
      <c r="F93" s="329">
        <v>0</v>
      </c>
      <c r="G93" s="329">
        <v>0</v>
      </c>
      <c r="H93" s="329">
        <v>0</v>
      </c>
      <c r="I93" s="331">
        <f>SUM(F93:H93)</f>
        <v>0</v>
      </c>
    </row>
    <row r="94" spans="1:9" ht="12.75">
      <c r="A94" s="328"/>
      <c r="B94" s="328"/>
      <c r="C94" s="327"/>
      <c r="D94" s="327"/>
      <c r="E94" s="327" t="s">
        <v>461</v>
      </c>
      <c r="F94" s="329">
        <v>695</v>
      </c>
      <c r="G94" s="329">
        <v>0</v>
      </c>
      <c r="H94" s="329">
        <v>0</v>
      </c>
      <c r="I94" s="331">
        <f>SUM(F94:H94)</f>
        <v>695</v>
      </c>
    </row>
    <row r="95" spans="1:9" ht="12.75">
      <c r="A95" s="328"/>
      <c r="B95" s="328"/>
      <c r="C95" s="327"/>
      <c r="D95" s="327"/>
      <c r="E95" s="327" t="s">
        <v>989</v>
      </c>
      <c r="F95" s="329">
        <v>0</v>
      </c>
      <c r="G95" s="329">
        <v>0</v>
      </c>
      <c r="H95" s="329">
        <v>0</v>
      </c>
      <c r="I95" s="331">
        <f>SUM(F95:H95)</f>
        <v>0</v>
      </c>
    </row>
    <row r="96" spans="1:9" ht="12.75">
      <c r="A96" s="328"/>
      <c r="B96" s="328"/>
      <c r="C96" s="327"/>
      <c r="D96" s="327"/>
      <c r="E96" s="327" t="s">
        <v>988</v>
      </c>
      <c r="F96" s="329">
        <v>0</v>
      </c>
      <c r="G96" s="329">
        <v>0</v>
      </c>
      <c r="H96" s="329">
        <v>0</v>
      </c>
      <c r="I96" s="331">
        <f>SUM(F96:H96)</f>
        <v>0</v>
      </c>
    </row>
    <row r="97" spans="1:9" ht="12.75">
      <c r="A97" s="328"/>
      <c r="B97" s="328"/>
      <c r="C97" s="327"/>
      <c r="D97" s="327"/>
      <c r="E97" s="327" t="s">
        <v>990</v>
      </c>
      <c r="F97" s="329">
        <v>0</v>
      </c>
      <c r="G97" s="329">
        <v>0</v>
      </c>
      <c r="H97" s="329">
        <v>0</v>
      </c>
      <c r="I97" s="331">
        <f t="shared" si="1"/>
        <v>0</v>
      </c>
    </row>
    <row r="98" spans="1:9" ht="12.75">
      <c r="A98" s="325"/>
      <c r="B98" s="325"/>
      <c r="C98" s="325" t="s">
        <v>462</v>
      </c>
      <c r="D98" s="325" t="s">
        <v>463</v>
      </c>
      <c r="E98" s="325"/>
      <c r="F98" s="326">
        <v>3876</v>
      </c>
      <c r="G98" s="326">
        <v>0</v>
      </c>
      <c r="H98" s="326">
        <f>6868-561</f>
        <v>6307</v>
      </c>
      <c r="I98" s="338">
        <f t="shared" si="1"/>
        <v>10183</v>
      </c>
    </row>
    <row r="99" spans="1:9" ht="12.75">
      <c r="A99" s="325"/>
      <c r="B99" s="325"/>
      <c r="C99" s="325" t="s">
        <v>464</v>
      </c>
      <c r="D99" s="325" t="s">
        <v>465</v>
      </c>
      <c r="E99" s="325"/>
      <c r="F99" s="326">
        <f>21363+22+4+17+22+18</f>
        <v>21446</v>
      </c>
      <c r="G99" s="326">
        <v>648</v>
      </c>
      <c r="H99" s="326">
        <f>1854-151</f>
        <v>1703</v>
      </c>
      <c r="I99" s="338">
        <f t="shared" si="1"/>
        <v>23797</v>
      </c>
    </row>
    <row r="100" spans="1:9" ht="12.75">
      <c r="A100" s="325"/>
      <c r="B100" s="325"/>
      <c r="C100" s="325" t="s">
        <v>466</v>
      </c>
      <c r="D100" s="325" t="s">
        <v>467</v>
      </c>
      <c r="E100" s="325"/>
      <c r="F100" s="326">
        <f>284628+4762-284628</f>
        <v>4762</v>
      </c>
      <c r="G100" s="326">
        <v>0</v>
      </c>
      <c r="H100" s="326">
        <v>77</v>
      </c>
      <c r="I100" s="338">
        <f t="shared" si="1"/>
        <v>4839</v>
      </c>
    </row>
    <row r="101" spans="1:9" ht="12.75">
      <c r="A101" s="325"/>
      <c r="B101" s="325"/>
      <c r="C101" s="325" t="s">
        <v>468</v>
      </c>
      <c r="D101" s="325" t="s">
        <v>991</v>
      </c>
      <c r="E101" s="325"/>
      <c r="F101" s="326">
        <v>447</v>
      </c>
      <c r="G101" s="326">
        <v>15</v>
      </c>
      <c r="H101" s="326">
        <v>25</v>
      </c>
      <c r="I101" s="338">
        <f t="shared" si="1"/>
        <v>487</v>
      </c>
    </row>
    <row r="102" spans="1:9" ht="12.75">
      <c r="A102" s="325"/>
      <c r="B102" s="325"/>
      <c r="C102" s="327" t="s">
        <v>21</v>
      </c>
      <c r="D102" s="327"/>
      <c r="E102" s="327" t="s">
        <v>68</v>
      </c>
      <c r="F102" s="329">
        <v>48</v>
      </c>
      <c r="G102" s="329">
        <v>0</v>
      </c>
      <c r="H102" s="329">
        <v>0</v>
      </c>
      <c r="I102" s="331">
        <f t="shared" si="1"/>
        <v>48</v>
      </c>
    </row>
    <row r="103" spans="1:9" ht="12.75">
      <c r="A103" s="325"/>
      <c r="B103" s="325"/>
      <c r="C103" s="325"/>
      <c r="D103" s="325"/>
      <c r="E103" s="327" t="s">
        <v>992</v>
      </c>
      <c r="F103" s="329">
        <v>0</v>
      </c>
      <c r="G103" s="329">
        <v>0</v>
      </c>
      <c r="H103" s="329">
        <v>0</v>
      </c>
      <c r="I103" s="331">
        <f>SUM(F103:H103)</f>
        <v>0</v>
      </c>
    </row>
    <row r="104" spans="1:9" ht="12.75">
      <c r="A104" s="325"/>
      <c r="B104" s="325"/>
      <c r="C104" s="325"/>
      <c r="D104" s="325"/>
      <c r="E104" s="327" t="s">
        <v>993</v>
      </c>
      <c r="F104" s="329">
        <v>0</v>
      </c>
      <c r="G104" s="329">
        <v>0</v>
      </c>
      <c r="H104" s="329">
        <v>0</v>
      </c>
      <c r="I104" s="331">
        <f>SUM(F104:H104)</f>
        <v>0</v>
      </c>
    </row>
    <row r="105" spans="1:9" ht="12.75">
      <c r="A105" s="325"/>
      <c r="B105" s="325"/>
      <c r="C105" s="325" t="s">
        <v>469</v>
      </c>
      <c r="D105" s="325" t="s">
        <v>470</v>
      </c>
      <c r="E105" s="325"/>
      <c r="F105" s="326">
        <v>0</v>
      </c>
      <c r="G105" s="326">
        <v>0</v>
      </c>
      <c r="H105" s="326">
        <v>0</v>
      </c>
      <c r="I105" s="338">
        <f t="shared" si="1"/>
        <v>0</v>
      </c>
    </row>
    <row r="106" spans="1:9" ht="12.75">
      <c r="A106" s="325"/>
      <c r="B106" s="325"/>
      <c r="C106" s="325" t="s">
        <v>471</v>
      </c>
      <c r="D106" s="325" t="s">
        <v>994</v>
      </c>
      <c r="E106" s="325"/>
      <c r="F106" s="326">
        <f>30+24</f>
        <v>54</v>
      </c>
      <c r="G106" s="326">
        <v>0</v>
      </c>
      <c r="H106" s="326">
        <v>0</v>
      </c>
      <c r="I106" s="338">
        <f t="shared" si="1"/>
        <v>54</v>
      </c>
    </row>
    <row r="107" spans="1:9" ht="22.5" customHeight="1">
      <c r="A107" s="325"/>
      <c r="B107" s="325"/>
      <c r="C107" s="325" t="s">
        <v>995</v>
      </c>
      <c r="D107" s="918" t="s">
        <v>996</v>
      </c>
      <c r="E107" s="918"/>
      <c r="F107" s="326">
        <f>270+410+47+330</f>
        <v>1057</v>
      </c>
      <c r="G107" s="326">
        <v>0</v>
      </c>
      <c r="H107" s="326">
        <v>0</v>
      </c>
      <c r="I107" s="338">
        <f t="shared" si="1"/>
        <v>1057</v>
      </c>
    </row>
    <row r="108" spans="1:9" ht="45.75" customHeight="1">
      <c r="A108" s="330"/>
      <c r="B108" s="330"/>
      <c r="C108" s="741" t="s">
        <v>21</v>
      </c>
      <c r="D108" s="602" t="s">
        <v>716</v>
      </c>
      <c r="E108" s="602" t="s">
        <v>1025</v>
      </c>
      <c r="F108" s="329">
        <v>0</v>
      </c>
      <c r="G108" s="329">
        <v>0</v>
      </c>
      <c r="H108" s="329">
        <v>0</v>
      </c>
      <c r="I108" s="331">
        <f t="shared" si="1"/>
        <v>0</v>
      </c>
    </row>
    <row r="109" spans="1:9" ht="13.5" customHeight="1">
      <c r="A109" s="328"/>
      <c r="B109" s="328"/>
      <c r="C109" s="328"/>
      <c r="D109" s="327" t="s">
        <v>716</v>
      </c>
      <c r="E109" s="335" t="s">
        <v>472</v>
      </c>
      <c r="F109" s="329">
        <v>0</v>
      </c>
      <c r="G109" s="329">
        <v>0</v>
      </c>
      <c r="H109" s="329">
        <v>0</v>
      </c>
      <c r="I109" s="331">
        <f t="shared" si="1"/>
        <v>0</v>
      </c>
    </row>
    <row r="110" spans="1:9" s="343" customFormat="1" ht="12.75">
      <c r="A110" s="341" t="s">
        <v>473</v>
      </c>
      <c r="B110" s="915" t="s">
        <v>474</v>
      </c>
      <c r="C110" s="915"/>
      <c r="D110" s="915"/>
      <c r="E110" s="915"/>
      <c r="F110" s="342">
        <f>SUM(F111+F112+F114+F115+F116)</f>
        <v>43282</v>
      </c>
      <c r="G110" s="342">
        <f>SUM(G111+G112+G114+G115+G116)</f>
        <v>0</v>
      </c>
      <c r="H110" s="342">
        <f>SUM(H111+H112+H114+H115+H116)</f>
        <v>0</v>
      </c>
      <c r="I110" s="342">
        <f t="shared" si="1"/>
        <v>43282</v>
      </c>
    </row>
    <row r="111" spans="1:9" ht="12.75">
      <c r="A111" s="320"/>
      <c r="B111" s="320" t="s">
        <v>475</v>
      </c>
      <c r="C111" s="916" t="s">
        <v>567</v>
      </c>
      <c r="D111" s="916"/>
      <c r="E111" s="916"/>
      <c r="F111" s="321">
        <v>0</v>
      </c>
      <c r="G111" s="321">
        <v>0</v>
      </c>
      <c r="H111" s="321">
        <v>0</v>
      </c>
      <c r="I111" s="340">
        <f t="shared" si="1"/>
        <v>0</v>
      </c>
    </row>
    <row r="112" spans="1:9" ht="12.75">
      <c r="A112" s="320"/>
      <c r="B112" s="320" t="s">
        <v>476</v>
      </c>
      <c r="C112" s="916" t="s">
        <v>477</v>
      </c>
      <c r="D112" s="916"/>
      <c r="E112" s="916"/>
      <c r="F112" s="321">
        <f>16000+10000+17272</f>
        <v>43272</v>
      </c>
      <c r="G112" s="321">
        <v>0</v>
      </c>
      <c r="H112" s="321">
        <v>0</v>
      </c>
      <c r="I112" s="340">
        <f t="shared" si="1"/>
        <v>43272</v>
      </c>
    </row>
    <row r="113" spans="1:9" ht="12.75">
      <c r="A113" s="328"/>
      <c r="B113" s="328"/>
      <c r="C113" s="327" t="s">
        <v>21</v>
      </c>
      <c r="D113" s="327" t="s">
        <v>716</v>
      </c>
      <c r="E113" s="327" t="s">
        <v>478</v>
      </c>
      <c r="F113" s="329"/>
      <c r="G113" s="329">
        <v>0</v>
      </c>
      <c r="H113" s="329">
        <v>0</v>
      </c>
      <c r="I113" s="331">
        <f t="shared" si="1"/>
        <v>0</v>
      </c>
    </row>
    <row r="114" spans="1:9" ht="12.75">
      <c r="A114" s="320"/>
      <c r="B114" s="320" t="s">
        <v>479</v>
      </c>
      <c r="C114" s="916" t="s">
        <v>480</v>
      </c>
      <c r="D114" s="916"/>
      <c r="E114" s="916"/>
      <c r="F114" s="321">
        <v>0</v>
      </c>
      <c r="G114" s="321">
        <v>0</v>
      </c>
      <c r="H114" s="321">
        <v>0</v>
      </c>
      <c r="I114" s="340">
        <f t="shared" si="1"/>
        <v>0</v>
      </c>
    </row>
    <row r="115" spans="1:9" ht="12.75">
      <c r="A115" s="320"/>
      <c r="B115" s="320" t="s">
        <v>481</v>
      </c>
      <c r="C115" s="916" t="s">
        <v>482</v>
      </c>
      <c r="D115" s="916"/>
      <c r="E115" s="916"/>
      <c r="F115" s="321">
        <v>10</v>
      </c>
      <c r="G115" s="321">
        <v>0</v>
      </c>
      <c r="H115" s="321">
        <v>0</v>
      </c>
      <c r="I115" s="340">
        <f t="shared" si="1"/>
        <v>10</v>
      </c>
    </row>
    <row r="116" spans="1:9" ht="12.75">
      <c r="A116" s="320"/>
      <c r="B116" s="320" t="s">
        <v>483</v>
      </c>
      <c r="C116" s="916" t="s">
        <v>484</v>
      </c>
      <c r="D116" s="916"/>
      <c r="E116" s="916"/>
      <c r="F116" s="321">
        <v>0</v>
      </c>
      <c r="G116" s="321">
        <v>0</v>
      </c>
      <c r="H116" s="321">
        <v>0</v>
      </c>
      <c r="I116" s="340">
        <f t="shared" si="1"/>
        <v>0</v>
      </c>
    </row>
    <row r="117" spans="1:9" s="343" customFormat="1" ht="12.75">
      <c r="A117" s="341" t="s">
        <v>485</v>
      </c>
      <c r="B117" s="915" t="s">
        <v>486</v>
      </c>
      <c r="C117" s="915"/>
      <c r="D117" s="915"/>
      <c r="E117" s="915"/>
      <c r="F117" s="342">
        <f>SUM(F118+F119+F120+F121+F131)</f>
        <v>22116</v>
      </c>
      <c r="G117" s="342">
        <f>SUM(G118+G119+G120+G121+G131)</f>
        <v>0</v>
      </c>
      <c r="H117" s="342">
        <f>SUM(H118+H119+H120+H121+H131)</f>
        <v>0</v>
      </c>
      <c r="I117" s="342">
        <f t="shared" si="1"/>
        <v>22116</v>
      </c>
    </row>
    <row r="118" spans="1:9" ht="12.75">
      <c r="A118" s="320"/>
      <c r="B118" s="320" t="s">
        <v>487</v>
      </c>
      <c r="C118" s="916" t="s">
        <v>488</v>
      </c>
      <c r="D118" s="916"/>
      <c r="E118" s="916"/>
      <c r="F118" s="321">
        <v>0</v>
      </c>
      <c r="G118" s="321">
        <v>0</v>
      </c>
      <c r="H118" s="321">
        <v>0</v>
      </c>
      <c r="I118" s="340">
        <f t="shared" si="1"/>
        <v>0</v>
      </c>
    </row>
    <row r="119" spans="1:9" ht="12.75">
      <c r="A119" s="320"/>
      <c r="B119" s="320" t="s">
        <v>489</v>
      </c>
      <c r="C119" s="916" t="s">
        <v>998</v>
      </c>
      <c r="D119" s="916"/>
      <c r="E119" s="916"/>
      <c r="F119" s="321">
        <v>0</v>
      </c>
      <c r="G119" s="321">
        <v>0</v>
      </c>
      <c r="H119" s="321">
        <v>0</v>
      </c>
      <c r="I119" s="340">
        <f t="shared" si="1"/>
        <v>0</v>
      </c>
    </row>
    <row r="120" spans="1:9" ht="26.25" customHeight="1">
      <c r="A120" s="320"/>
      <c r="B120" s="320" t="s">
        <v>507</v>
      </c>
      <c r="C120" s="917" t="s">
        <v>999</v>
      </c>
      <c r="D120" s="917"/>
      <c r="E120" s="917"/>
      <c r="F120" s="321">
        <v>0</v>
      </c>
      <c r="G120" s="321">
        <v>0</v>
      </c>
      <c r="H120" s="321">
        <v>0</v>
      </c>
      <c r="I120" s="340">
        <f t="shared" si="1"/>
        <v>0</v>
      </c>
    </row>
    <row r="121" spans="1:9" ht="12.75">
      <c r="A121" s="320"/>
      <c r="B121" s="320" t="s">
        <v>997</v>
      </c>
      <c r="C121" s="916" t="s">
        <v>506</v>
      </c>
      <c r="D121" s="916"/>
      <c r="E121" s="916"/>
      <c r="F121" s="321">
        <f>SUM(F122:F130)</f>
        <v>21668</v>
      </c>
      <c r="G121" s="321">
        <v>0</v>
      </c>
      <c r="H121" s="321">
        <v>0</v>
      </c>
      <c r="I121" s="340">
        <f t="shared" si="1"/>
        <v>21668</v>
      </c>
    </row>
    <row r="122" spans="1:9" ht="12.75">
      <c r="A122" s="330"/>
      <c r="B122" s="330"/>
      <c r="C122" s="327" t="s">
        <v>21</v>
      </c>
      <c r="D122" s="327" t="s">
        <v>284</v>
      </c>
      <c r="E122" s="327" t="s">
        <v>311</v>
      </c>
      <c r="F122" s="329">
        <v>0</v>
      </c>
      <c r="G122" s="329">
        <v>0</v>
      </c>
      <c r="H122" s="329">
        <v>0</v>
      </c>
      <c r="I122" s="331">
        <f t="shared" si="1"/>
        <v>0</v>
      </c>
    </row>
    <row r="123" spans="1:9" ht="12.75">
      <c r="A123" s="330"/>
      <c r="B123" s="330"/>
      <c r="C123" s="327"/>
      <c r="D123" s="327" t="s">
        <v>286</v>
      </c>
      <c r="E123" s="327" t="s">
        <v>1026</v>
      </c>
      <c r="F123" s="329">
        <v>7000</v>
      </c>
      <c r="G123" s="329">
        <v>0</v>
      </c>
      <c r="H123" s="329">
        <v>0</v>
      </c>
      <c r="I123" s="331">
        <f t="shared" si="1"/>
        <v>7000</v>
      </c>
    </row>
    <row r="124" spans="1:9" ht="12.75">
      <c r="A124" s="330"/>
      <c r="B124" s="330"/>
      <c r="C124" s="327"/>
      <c r="D124" s="327" t="s">
        <v>288</v>
      </c>
      <c r="E124" s="327" t="s">
        <v>312</v>
      </c>
      <c r="F124" s="329">
        <v>0</v>
      </c>
      <c r="G124" s="329">
        <v>0</v>
      </c>
      <c r="H124" s="329">
        <v>0</v>
      </c>
      <c r="I124" s="331">
        <f t="shared" si="1"/>
        <v>0</v>
      </c>
    </row>
    <row r="125" spans="1:9" ht="12.75">
      <c r="A125" s="330"/>
      <c r="B125" s="330"/>
      <c r="C125" s="327"/>
      <c r="D125" s="327" t="s">
        <v>290</v>
      </c>
      <c r="E125" s="327" t="s">
        <v>313</v>
      </c>
      <c r="F125" s="329">
        <v>0</v>
      </c>
      <c r="G125" s="329">
        <v>0</v>
      </c>
      <c r="H125" s="329">
        <v>0</v>
      </c>
      <c r="I125" s="331">
        <f t="shared" si="1"/>
        <v>0</v>
      </c>
    </row>
    <row r="126" spans="1:9" ht="12.75">
      <c r="A126" s="330"/>
      <c r="B126" s="330"/>
      <c r="C126" s="327"/>
      <c r="D126" s="327" t="s">
        <v>292</v>
      </c>
      <c r="E126" s="327" t="s">
        <v>314</v>
      </c>
      <c r="F126" s="329">
        <v>0</v>
      </c>
      <c r="G126" s="329">
        <v>0</v>
      </c>
      <c r="H126" s="329">
        <v>0</v>
      </c>
      <c r="I126" s="331">
        <f t="shared" si="1"/>
        <v>0</v>
      </c>
    </row>
    <row r="127" spans="1:9" ht="12.75">
      <c r="A127" s="330"/>
      <c r="B127" s="330"/>
      <c r="C127" s="327"/>
      <c r="D127" s="327" t="s">
        <v>294</v>
      </c>
      <c r="E127" s="327" t="s">
        <v>908</v>
      </c>
      <c r="F127" s="329">
        <v>0</v>
      </c>
      <c r="G127" s="329">
        <v>0</v>
      </c>
      <c r="H127" s="329">
        <v>0</v>
      </c>
      <c r="I127" s="331">
        <f t="shared" si="1"/>
        <v>0</v>
      </c>
    </row>
    <row r="128" spans="1:9" ht="12.75">
      <c r="A128" s="330"/>
      <c r="B128" s="330"/>
      <c r="C128" s="327"/>
      <c r="D128" s="327" t="s">
        <v>296</v>
      </c>
      <c r="E128" s="327" t="s">
        <v>907</v>
      </c>
      <c r="F128" s="742">
        <v>0</v>
      </c>
      <c r="G128" s="329">
        <v>0</v>
      </c>
      <c r="H128" s="329">
        <v>0</v>
      </c>
      <c r="I128" s="331">
        <f t="shared" si="1"/>
        <v>0</v>
      </c>
    </row>
    <row r="129" spans="1:9" ht="12.75">
      <c r="A129" s="330"/>
      <c r="B129" s="330"/>
      <c r="C129" s="327"/>
      <c r="D129" s="327" t="s">
        <v>298</v>
      </c>
      <c r="E129" s="327" t="s">
        <v>317</v>
      </c>
      <c r="F129" s="329">
        <v>14668</v>
      </c>
      <c r="G129" s="329">
        <v>0</v>
      </c>
      <c r="H129" s="329">
        <v>0</v>
      </c>
      <c r="I129" s="331">
        <f>SUM(F129:H129)</f>
        <v>14668</v>
      </c>
    </row>
    <row r="130" spans="1:9" ht="12.75">
      <c r="A130" s="330"/>
      <c r="B130" s="330"/>
      <c r="C130" s="327"/>
      <c r="D130" s="327" t="s">
        <v>300</v>
      </c>
      <c r="E130" s="327" t="s">
        <v>1027</v>
      </c>
      <c r="F130" s="329">
        <v>0</v>
      </c>
      <c r="G130" s="329">
        <v>0</v>
      </c>
      <c r="H130" s="329">
        <v>0</v>
      </c>
      <c r="I130" s="331">
        <f t="shared" si="1"/>
        <v>0</v>
      </c>
    </row>
    <row r="131" spans="1:9" ht="12.75">
      <c r="A131" s="320"/>
      <c r="B131" s="320" t="s">
        <v>1000</v>
      </c>
      <c r="C131" s="916" t="s">
        <v>508</v>
      </c>
      <c r="D131" s="916"/>
      <c r="E131" s="916"/>
      <c r="F131" s="321">
        <f>217+230+1</f>
        <v>448</v>
      </c>
      <c r="G131" s="321">
        <v>0</v>
      </c>
      <c r="H131" s="321">
        <v>0</v>
      </c>
      <c r="I131" s="340">
        <f t="shared" si="1"/>
        <v>448</v>
      </c>
    </row>
    <row r="132" spans="1:9" s="343" customFormat="1" ht="12.75">
      <c r="A132" s="341" t="s">
        <v>509</v>
      </c>
      <c r="B132" s="915" t="s">
        <v>510</v>
      </c>
      <c r="C132" s="915"/>
      <c r="D132" s="915"/>
      <c r="E132" s="915"/>
      <c r="F132" s="342">
        <f>SUM(F133+F134+F135+F136+F146)</f>
        <v>216458</v>
      </c>
      <c r="G132" s="342">
        <f>SUM(G133+G134+G135+G136+G146)</f>
        <v>0</v>
      </c>
      <c r="H132" s="342">
        <f>SUM(H133+H134+H135+H136+H146)</f>
        <v>0</v>
      </c>
      <c r="I132" s="342">
        <f t="shared" si="1"/>
        <v>216458</v>
      </c>
    </row>
    <row r="133" spans="1:9" ht="12.75">
      <c r="A133" s="320"/>
      <c r="B133" s="320" t="s">
        <v>511</v>
      </c>
      <c r="C133" s="916" t="s">
        <v>512</v>
      </c>
      <c r="D133" s="916"/>
      <c r="E133" s="916"/>
      <c r="F133" s="321">
        <v>0</v>
      </c>
      <c r="G133" s="321">
        <v>0</v>
      </c>
      <c r="H133" s="321">
        <v>0</v>
      </c>
      <c r="I133" s="340">
        <f t="shared" si="1"/>
        <v>0</v>
      </c>
    </row>
    <row r="134" spans="1:9" ht="12.75">
      <c r="A134" s="320"/>
      <c r="B134" s="320" t="s">
        <v>513</v>
      </c>
      <c r="C134" s="916" t="s">
        <v>1001</v>
      </c>
      <c r="D134" s="916"/>
      <c r="E134" s="916"/>
      <c r="F134" s="321">
        <v>0</v>
      </c>
      <c r="G134" s="321">
        <v>0</v>
      </c>
      <c r="H134" s="321">
        <v>0</v>
      </c>
      <c r="I134" s="340">
        <f t="shared" si="1"/>
        <v>0</v>
      </c>
    </row>
    <row r="135" spans="1:9" ht="25.5" customHeight="1">
      <c r="A135" s="320"/>
      <c r="B135" s="320" t="s">
        <v>515</v>
      </c>
      <c r="C135" s="917" t="s">
        <v>1002</v>
      </c>
      <c r="D135" s="917"/>
      <c r="E135" s="917"/>
      <c r="F135" s="321">
        <v>0</v>
      </c>
      <c r="G135" s="321">
        <v>0</v>
      </c>
      <c r="H135" s="321">
        <v>0</v>
      </c>
      <c r="I135" s="340">
        <f t="shared" si="1"/>
        <v>0</v>
      </c>
    </row>
    <row r="136" spans="1:9" ht="12.75">
      <c r="A136" s="330"/>
      <c r="B136" s="320" t="s">
        <v>1003</v>
      </c>
      <c r="C136" s="916" t="s">
        <v>514</v>
      </c>
      <c r="D136" s="916"/>
      <c r="E136" s="916"/>
      <c r="F136" s="321">
        <f>SUM(F137:F145)</f>
        <v>40540</v>
      </c>
      <c r="G136" s="321">
        <f>SUM(G137:G145)</f>
        <v>0</v>
      </c>
      <c r="H136" s="321">
        <f>SUM(H137:H145)</f>
        <v>0</v>
      </c>
      <c r="I136" s="340">
        <f t="shared" si="1"/>
        <v>40540</v>
      </c>
    </row>
    <row r="137" spans="1:9" ht="12.75">
      <c r="A137" s="330"/>
      <c r="B137" s="330"/>
      <c r="C137" s="327" t="s">
        <v>21</v>
      </c>
      <c r="D137" s="327" t="s">
        <v>284</v>
      </c>
      <c r="E137" s="327" t="s">
        <v>311</v>
      </c>
      <c r="F137" s="329">
        <v>0</v>
      </c>
      <c r="G137" s="329">
        <v>0</v>
      </c>
      <c r="H137" s="329">
        <v>0</v>
      </c>
      <c r="I137" s="331">
        <f t="shared" si="1"/>
        <v>0</v>
      </c>
    </row>
    <row r="138" spans="1:9" ht="12.75">
      <c r="A138" s="330"/>
      <c r="B138" s="330"/>
      <c r="C138" s="327"/>
      <c r="D138" s="327" t="s">
        <v>286</v>
      </c>
      <c r="E138" s="327" t="s">
        <v>1026</v>
      </c>
      <c r="G138" s="329">
        <v>0</v>
      </c>
      <c r="H138" s="329">
        <v>0</v>
      </c>
      <c r="I138" s="331">
        <f t="shared" si="1"/>
        <v>0</v>
      </c>
    </row>
    <row r="139" spans="1:9" ht="12.75">
      <c r="A139" s="330"/>
      <c r="B139" s="330"/>
      <c r="C139" s="327"/>
      <c r="D139" s="327" t="s">
        <v>288</v>
      </c>
      <c r="E139" s="327" t="s">
        <v>312</v>
      </c>
      <c r="F139" s="329">
        <v>0</v>
      </c>
      <c r="G139" s="329">
        <v>0</v>
      </c>
      <c r="H139" s="329">
        <v>0</v>
      </c>
      <c r="I139" s="331">
        <f t="shared" si="1"/>
        <v>0</v>
      </c>
    </row>
    <row r="140" spans="1:9" ht="12.75">
      <c r="A140" s="330"/>
      <c r="B140" s="330"/>
      <c r="C140" s="327"/>
      <c r="D140" s="327" t="s">
        <v>290</v>
      </c>
      <c r="E140" s="327" t="s">
        <v>313</v>
      </c>
      <c r="F140" s="329">
        <v>0</v>
      </c>
      <c r="G140" s="329">
        <v>0</v>
      </c>
      <c r="H140" s="329">
        <v>0</v>
      </c>
      <c r="I140" s="331">
        <f t="shared" si="1"/>
        <v>0</v>
      </c>
    </row>
    <row r="141" spans="1:9" ht="12.75">
      <c r="A141" s="330"/>
      <c r="B141" s="330"/>
      <c r="C141" s="327"/>
      <c r="D141" s="327" t="s">
        <v>292</v>
      </c>
      <c r="E141" s="327" t="s">
        <v>314</v>
      </c>
      <c r="F141" s="329">
        <v>0</v>
      </c>
      <c r="G141" s="329">
        <v>0</v>
      </c>
      <c r="H141" s="329">
        <v>0</v>
      </c>
      <c r="I141" s="331">
        <f t="shared" si="1"/>
        <v>0</v>
      </c>
    </row>
    <row r="142" spans="1:9" ht="12.75">
      <c r="A142" s="330"/>
      <c r="B142" s="330"/>
      <c r="C142" s="327"/>
      <c r="D142" s="327" t="s">
        <v>294</v>
      </c>
      <c r="E142" s="327" t="s">
        <v>908</v>
      </c>
      <c r="F142" s="329">
        <v>0</v>
      </c>
      <c r="G142" s="329">
        <v>0</v>
      </c>
      <c r="H142" s="329">
        <v>0</v>
      </c>
      <c r="I142" s="331">
        <f t="shared" si="1"/>
        <v>0</v>
      </c>
    </row>
    <row r="143" spans="1:9" ht="12.75">
      <c r="A143" s="330"/>
      <c r="B143" s="330"/>
      <c r="C143" s="327"/>
      <c r="D143" s="327" t="s">
        <v>296</v>
      </c>
      <c r="E143" s="327" t="s">
        <v>907</v>
      </c>
      <c r="F143" s="329">
        <v>40540</v>
      </c>
      <c r="G143" s="329">
        <v>0</v>
      </c>
      <c r="H143" s="329">
        <v>0</v>
      </c>
      <c r="I143" s="331">
        <f>SUM(F143:H143)</f>
        <v>40540</v>
      </c>
    </row>
    <row r="144" spans="1:9" ht="12.75">
      <c r="A144" s="330"/>
      <c r="B144" s="330"/>
      <c r="C144" s="327"/>
      <c r="D144" s="327" t="s">
        <v>298</v>
      </c>
      <c r="E144" s="327" t="s">
        <v>317</v>
      </c>
      <c r="F144" s="329">
        <v>0</v>
      </c>
      <c r="G144" s="329">
        <v>0</v>
      </c>
      <c r="H144" s="329">
        <v>0</v>
      </c>
      <c r="I144" s="331">
        <f>SUM(F144:H144)</f>
        <v>0</v>
      </c>
    </row>
    <row r="145" spans="1:9" ht="12.75">
      <c r="A145" s="330"/>
      <c r="B145" s="330"/>
      <c r="C145" s="327"/>
      <c r="D145" s="327" t="s">
        <v>300</v>
      </c>
      <c r="E145" s="327" t="s">
        <v>1027</v>
      </c>
      <c r="F145" s="329">
        <v>0</v>
      </c>
      <c r="G145" s="329">
        <v>0</v>
      </c>
      <c r="H145" s="329">
        <v>0</v>
      </c>
      <c r="I145" s="331">
        <f>SUM(F145:H145)</f>
        <v>0</v>
      </c>
    </row>
    <row r="146" spans="1:9" ht="12.75">
      <c r="A146" s="330"/>
      <c r="B146" s="320" t="s">
        <v>1004</v>
      </c>
      <c r="C146" s="916" t="s">
        <v>516</v>
      </c>
      <c r="D146" s="916"/>
      <c r="E146" s="916"/>
      <c r="F146" s="321">
        <f>SUM(F147:F157)</f>
        <v>175918</v>
      </c>
      <c r="G146" s="321">
        <f>SUM(G147:G157)</f>
        <v>0</v>
      </c>
      <c r="H146" s="321">
        <f>SUM(H147:H157)</f>
        <v>0</v>
      </c>
      <c r="I146" s="340">
        <f t="shared" si="1"/>
        <v>175918</v>
      </c>
    </row>
    <row r="147" spans="1:9" ht="12.75">
      <c r="A147" s="330"/>
      <c r="B147" s="330"/>
      <c r="C147" s="327" t="s">
        <v>21</v>
      </c>
      <c r="D147" s="327" t="s">
        <v>284</v>
      </c>
      <c r="E147" s="327" t="s">
        <v>311</v>
      </c>
      <c r="F147" s="329">
        <v>0</v>
      </c>
      <c r="G147" s="329">
        <v>0</v>
      </c>
      <c r="H147" s="329">
        <v>0</v>
      </c>
      <c r="I147" s="331">
        <f t="shared" si="1"/>
        <v>0</v>
      </c>
    </row>
    <row r="148" spans="1:9" ht="12.75">
      <c r="A148" s="330"/>
      <c r="B148" s="330"/>
      <c r="C148" s="327"/>
      <c r="D148" s="327" t="s">
        <v>286</v>
      </c>
      <c r="E148" s="327" t="s">
        <v>1026</v>
      </c>
      <c r="F148" s="329">
        <v>0</v>
      </c>
      <c r="G148" s="329">
        <v>0</v>
      </c>
      <c r="H148" s="329">
        <v>0</v>
      </c>
      <c r="I148" s="331">
        <f t="shared" si="1"/>
        <v>0</v>
      </c>
    </row>
    <row r="149" spans="1:9" ht="12.75">
      <c r="A149" s="330"/>
      <c r="B149" s="330"/>
      <c r="C149" s="327"/>
      <c r="D149" s="327" t="s">
        <v>288</v>
      </c>
      <c r="E149" s="327" t="s">
        <v>312</v>
      </c>
      <c r="F149" s="329">
        <v>0</v>
      </c>
      <c r="G149" s="329">
        <v>0</v>
      </c>
      <c r="H149" s="329">
        <v>0</v>
      </c>
      <c r="I149" s="331">
        <f t="shared" si="1"/>
        <v>0</v>
      </c>
    </row>
    <row r="150" spans="1:9" ht="12.75">
      <c r="A150" s="330"/>
      <c r="B150" s="330"/>
      <c r="C150" s="327"/>
      <c r="D150" s="327" t="s">
        <v>290</v>
      </c>
      <c r="E150" s="327" t="s">
        <v>313</v>
      </c>
      <c r="F150" s="329">
        <v>0</v>
      </c>
      <c r="G150" s="329">
        <v>0</v>
      </c>
      <c r="H150" s="329">
        <v>0</v>
      </c>
      <c r="I150" s="331">
        <f t="shared" si="1"/>
        <v>0</v>
      </c>
    </row>
    <row r="151" spans="1:9" ht="12.75">
      <c r="A151" s="330"/>
      <c r="B151" s="330"/>
      <c r="C151" s="327"/>
      <c r="D151" s="327" t="s">
        <v>292</v>
      </c>
      <c r="E151" s="327" t="s">
        <v>314</v>
      </c>
      <c r="F151" s="329">
        <v>0</v>
      </c>
      <c r="G151" s="329">
        <v>0</v>
      </c>
      <c r="H151" s="329">
        <v>0</v>
      </c>
      <c r="I151" s="331">
        <f t="shared" si="1"/>
        <v>0</v>
      </c>
    </row>
    <row r="152" spans="1:9" ht="12.75">
      <c r="A152" s="330"/>
      <c r="B152" s="330"/>
      <c r="C152" s="327"/>
      <c r="D152" s="327" t="s">
        <v>294</v>
      </c>
      <c r="E152" s="327" t="s">
        <v>908</v>
      </c>
      <c r="F152" s="329">
        <v>0</v>
      </c>
      <c r="G152" s="329">
        <v>0</v>
      </c>
      <c r="H152" s="329">
        <v>0</v>
      </c>
      <c r="I152" s="331">
        <f t="shared" si="1"/>
        <v>0</v>
      </c>
    </row>
    <row r="153" spans="1:9" ht="12.75">
      <c r="A153" s="330"/>
      <c r="B153" s="330"/>
      <c r="C153" s="327"/>
      <c r="D153" s="327" t="s">
        <v>296</v>
      </c>
      <c r="E153" s="327" t="s">
        <v>907</v>
      </c>
      <c r="F153" s="742">
        <v>3517</v>
      </c>
      <c r="G153" s="329">
        <v>0</v>
      </c>
      <c r="H153" s="329">
        <v>0</v>
      </c>
      <c r="I153" s="331">
        <f t="shared" si="1"/>
        <v>3517</v>
      </c>
    </row>
    <row r="154" spans="1:9" ht="12.75">
      <c r="A154" s="330"/>
      <c r="B154" s="330"/>
      <c r="C154" s="327"/>
      <c r="D154" s="327" t="s">
        <v>298</v>
      </c>
      <c r="E154" s="327" t="s">
        <v>317</v>
      </c>
      <c r="F154" s="329">
        <v>172401</v>
      </c>
      <c r="G154" s="329">
        <v>0</v>
      </c>
      <c r="H154" s="329">
        <v>0</v>
      </c>
      <c r="I154" s="331">
        <f>SUM(F154:H154)</f>
        <v>172401</v>
      </c>
    </row>
    <row r="155" spans="1:9" ht="12.75">
      <c r="A155" s="330"/>
      <c r="B155" s="330"/>
      <c r="C155" s="327"/>
      <c r="D155" s="327" t="s">
        <v>300</v>
      </c>
      <c r="E155" s="327" t="s">
        <v>318</v>
      </c>
      <c r="F155" s="329">
        <v>0</v>
      </c>
      <c r="G155" s="329">
        <v>0</v>
      </c>
      <c r="H155" s="329">
        <v>0</v>
      </c>
      <c r="I155" s="331">
        <f>SUM(F155:H155)</f>
        <v>0</v>
      </c>
    </row>
    <row r="156" spans="1:9" ht="12.75">
      <c r="A156" s="330"/>
      <c r="B156" s="330"/>
      <c r="C156" s="327"/>
      <c r="D156" s="327" t="s">
        <v>302</v>
      </c>
      <c r="E156" s="327" t="s">
        <v>319</v>
      </c>
      <c r="F156" s="329">
        <v>0</v>
      </c>
      <c r="G156" s="329">
        <v>0</v>
      </c>
      <c r="H156" s="329">
        <v>0</v>
      </c>
      <c r="I156" s="331">
        <f>SUM(F156:H156)</f>
        <v>0</v>
      </c>
    </row>
    <row r="157" spans="1:9" ht="12.75">
      <c r="A157" s="330"/>
      <c r="B157" s="330"/>
      <c r="C157" s="327"/>
      <c r="D157" s="327" t="s">
        <v>1028</v>
      </c>
      <c r="E157" s="327" t="s">
        <v>320</v>
      </c>
      <c r="F157" s="329">
        <v>0</v>
      </c>
      <c r="G157" s="329">
        <v>0</v>
      </c>
      <c r="H157" s="329">
        <v>0</v>
      </c>
      <c r="I157" s="331">
        <f>SUM(F157:H157)</f>
        <v>0</v>
      </c>
    </row>
    <row r="158" spans="1:9" s="343" customFormat="1" ht="12.75">
      <c r="A158" s="341" t="s">
        <v>517</v>
      </c>
      <c r="B158" s="915" t="s">
        <v>518</v>
      </c>
      <c r="C158" s="915"/>
      <c r="D158" s="915"/>
      <c r="E158" s="915"/>
      <c r="F158" s="342">
        <f>SUM(F159+F180+F181+F182)</f>
        <v>195715</v>
      </c>
      <c r="G158" s="342">
        <f>SUM(G159+G180+G181+G182)</f>
        <v>3234</v>
      </c>
      <c r="H158" s="342">
        <f>SUM(H159+H180+H181+H182)</f>
        <v>10830</v>
      </c>
      <c r="I158" s="342">
        <f>SUM(I159+I180+I181+I182)</f>
        <v>209779</v>
      </c>
    </row>
    <row r="159" spans="1:9" ht="12.75">
      <c r="A159" s="330"/>
      <c r="B159" s="320" t="s">
        <v>519</v>
      </c>
      <c r="C159" s="916" t="s">
        <v>520</v>
      </c>
      <c r="D159" s="916"/>
      <c r="E159" s="916"/>
      <c r="F159" s="321">
        <f>SUM(F160+F164+F169+F172+F173+F174+F175+F176+F177)</f>
        <v>195715</v>
      </c>
      <c r="G159" s="321">
        <f>SUM(G160+G164+G169+G172+G173+G174+G175+G176+G177)</f>
        <v>3234</v>
      </c>
      <c r="H159" s="321">
        <f>SUM(H160+H164+H169+H172+H173+H174+H175+H176+H177)</f>
        <v>10830</v>
      </c>
      <c r="I159" s="340">
        <f t="shared" si="1"/>
        <v>209779</v>
      </c>
    </row>
    <row r="160" spans="1:9" ht="12.75">
      <c r="A160" s="325"/>
      <c r="B160" s="325"/>
      <c r="C160" s="325" t="s">
        <v>521</v>
      </c>
      <c r="D160" s="325" t="s">
        <v>522</v>
      </c>
      <c r="E160" s="325"/>
      <c r="F160" s="326">
        <f>SUM(F161:F163)</f>
        <v>70000</v>
      </c>
      <c r="G160" s="326">
        <f>SUM(G161:G163)</f>
        <v>0</v>
      </c>
      <c r="H160" s="326">
        <f>SUM(H161:H163)</f>
        <v>0</v>
      </c>
      <c r="I160" s="338">
        <f t="shared" si="1"/>
        <v>70000</v>
      </c>
    </row>
    <row r="161" spans="1:9" ht="12.75">
      <c r="A161" s="322"/>
      <c r="B161" s="322"/>
      <c r="C161" s="322"/>
      <c r="D161" s="322" t="s">
        <v>523</v>
      </c>
      <c r="E161" s="322" t="s">
        <v>1005</v>
      </c>
      <c r="F161" s="323"/>
      <c r="G161" s="323">
        <v>0</v>
      </c>
      <c r="H161" s="323">
        <v>0</v>
      </c>
      <c r="I161" s="339">
        <f t="shared" si="1"/>
        <v>0</v>
      </c>
    </row>
    <row r="162" spans="1:9" ht="12.75">
      <c r="A162" s="322"/>
      <c r="B162" s="322"/>
      <c r="C162" s="322"/>
      <c r="D162" s="322" t="s">
        <v>524</v>
      </c>
      <c r="E162" s="322" t="s">
        <v>525</v>
      </c>
      <c r="F162" s="323">
        <v>70000</v>
      </c>
      <c r="G162" s="323">
        <v>0</v>
      </c>
      <c r="H162" s="323">
        <v>0</v>
      </c>
      <c r="I162" s="339">
        <f t="shared" si="1"/>
        <v>70000</v>
      </c>
    </row>
    <row r="163" spans="1:9" ht="12.75">
      <c r="A163" s="322"/>
      <c r="B163" s="322"/>
      <c r="C163" s="322"/>
      <c r="D163" s="322" t="s">
        <v>526</v>
      </c>
      <c r="E163" s="322" t="s">
        <v>1006</v>
      </c>
      <c r="F163" s="323">
        <v>0</v>
      </c>
      <c r="G163" s="323">
        <v>0</v>
      </c>
      <c r="H163" s="323">
        <v>0</v>
      </c>
      <c r="I163" s="339">
        <f t="shared" si="1"/>
        <v>0</v>
      </c>
    </row>
    <row r="164" spans="1:9" ht="12.75">
      <c r="A164" s="325"/>
      <c r="B164" s="325"/>
      <c r="C164" s="325" t="s">
        <v>527</v>
      </c>
      <c r="D164" s="325" t="s">
        <v>528</v>
      </c>
      <c r="E164" s="325"/>
      <c r="F164" s="326">
        <f>SUM(F165:F168)</f>
        <v>0</v>
      </c>
      <c r="G164" s="326">
        <f>SUM(G165:G168)</f>
        <v>0</v>
      </c>
      <c r="H164" s="326">
        <f>SUM(H165:H168)</f>
        <v>0</v>
      </c>
      <c r="I164" s="338">
        <f t="shared" si="1"/>
        <v>0</v>
      </c>
    </row>
    <row r="165" spans="1:9" ht="12.75">
      <c r="A165" s="325"/>
      <c r="B165" s="325"/>
      <c r="C165" s="325"/>
      <c r="D165" s="322" t="s">
        <v>1007</v>
      </c>
      <c r="E165" s="322" t="s">
        <v>1008</v>
      </c>
      <c r="F165" s="326">
        <v>0</v>
      </c>
      <c r="G165" s="326">
        <v>0</v>
      </c>
      <c r="H165" s="326">
        <v>0</v>
      </c>
      <c r="I165" s="338">
        <f t="shared" si="1"/>
        <v>0</v>
      </c>
    </row>
    <row r="166" spans="1:9" ht="12.75">
      <c r="A166" s="325"/>
      <c r="B166" s="325"/>
      <c r="C166" s="325"/>
      <c r="D166" s="322" t="s">
        <v>1009</v>
      </c>
      <c r="E166" s="322" t="s">
        <v>1010</v>
      </c>
      <c r="F166" s="326">
        <v>0</v>
      </c>
      <c r="G166" s="326">
        <v>0</v>
      </c>
      <c r="H166" s="326">
        <v>0</v>
      </c>
      <c r="I166" s="338">
        <f t="shared" si="1"/>
        <v>0</v>
      </c>
    </row>
    <row r="167" spans="1:9" ht="12.75">
      <c r="A167" s="325"/>
      <c r="B167" s="325"/>
      <c r="C167" s="325"/>
      <c r="D167" s="322" t="s">
        <v>1011</v>
      </c>
      <c r="E167" s="322" t="s">
        <v>1012</v>
      </c>
      <c r="F167" s="326">
        <v>0</v>
      </c>
      <c r="G167" s="326">
        <v>0</v>
      </c>
      <c r="H167" s="326">
        <v>0</v>
      </c>
      <c r="I167" s="338">
        <f t="shared" si="1"/>
        <v>0</v>
      </c>
    </row>
    <row r="168" spans="1:9" ht="12.75">
      <c r="A168" s="325"/>
      <c r="B168" s="325"/>
      <c r="C168" s="325"/>
      <c r="D168" s="322" t="s">
        <v>1013</v>
      </c>
      <c r="E168" s="322" t="s">
        <v>1014</v>
      </c>
      <c r="F168" s="326">
        <v>0</v>
      </c>
      <c r="G168" s="326">
        <v>0</v>
      </c>
      <c r="H168" s="326">
        <v>0</v>
      </c>
      <c r="I168" s="338">
        <f t="shared" si="1"/>
        <v>0</v>
      </c>
    </row>
    <row r="169" spans="1:9" ht="12.75">
      <c r="A169" s="325"/>
      <c r="B169" s="325"/>
      <c r="C169" s="325" t="s">
        <v>529</v>
      </c>
      <c r="D169" s="325" t="s">
        <v>530</v>
      </c>
      <c r="E169" s="325"/>
      <c r="F169" s="326">
        <f>SUM(F170:F171)</f>
        <v>125715</v>
      </c>
      <c r="G169" s="326">
        <f>SUM(G170:G171)</f>
        <v>3234</v>
      </c>
      <c r="H169" s="326">
        <f>SUM(H170:H171)</f>
        <v>10830</v>
      </c>
      <c r="I169" s="338">
        <f t="shared" si="1"/>
        <v>139779</v>
      </c>
    </row>
    <row r="170" spans="1:9" ht="12.75">
      <c r="A170" s="322"/>
      <c r="B170" s="322"/>
      <c r="C170" s="322"/>
      <c r="D170" s="322" t="s">
        <v>531</v>
      </c>
      <c r="E170" s="322" t="s">
        <v>532</v>
      </c>
      <c r="F170" s="322">
        <f>3569+122146</f>
        <v>125715</v>
      </c>
      <c r="G170" s="322">
        <v>3234</v>
      </c>
      <c r="H170" s="322">
        <f>1281+9549</f>
        <v>10830</v>
      </c>
      <c r="I170" s="339">
        <f aca="true" t="shared" si="2" ref="I170:I182">SUM(F170:H170)</f>
        <v>139779</v>
      </c>
    </row>
    <row r="171" spans="1:9" s="641" customFormat="1" ht="12.75">
      <c r="A171" s="322"/>
      <c r="B171" s="322"/>
      <c r="C171" s="322"/>
      <c r="D171" s="322" t="s">
        <v>533</v>
      </c>
      <c r="E171" s="322" t="s">
        <v>534</v>
      </c>
      <c r="F171" s="323">
        <v>0</v>
      </c>
      <c r="G171" s="323">
        <v>0</v>
      </c>
      <c r="H171" s="323">
        <v>0</v>
      </c>
      <c r="I171" s="339">
        <f t="shared" si="2"/>
        <v>0</v>
      </c>
    </row>
    <row r="172" spans="1:9" s="641" customFormat="1" ht="12.75">
      <c r="A172" s="325"/>
      <c r="B172" s="325"/>
      <c r="C172" s="325" t="s">
        <v>535</v>
      </c>
      <c r="D172" s="325" t="s">
        <v>536</v>
      </c>
      <c r="E172" s="325"/>
      <c r="F172" s="326">
        <v>0</v>
      </c>
      <c r="G172" s="326">
        <v>0</v>
      </c>
      <c r="H172" s="326">
        <v>0</v>
      </c>
      <c r="I172" s="338">
        <f t="shared" si="2"/>
        <v>0</v>
      </c>
    </row>
    <row r="173" spans="1:9" ht="12.75">
      <c r="A173" s="325"/>
      <c r="B173" s="325"/>
      <c r="C173" s="325" t="s">
        <v>537</v>
      </c>
      <c r="D173" s="325" t="s">
        <v>538</v>
      </c>
      <c r="E173" s="325"/>
      <c r="F173" s="326">
        <v>0</v>
      </c>
      <c r="G173" s="326">
        <v>0</v>
      </c>
      <c r="H173" s="326">
        <v>0</v>
      </c>
      <c r="I173" s="338">
        <f t="shared" si="2"/>
        <v>0</v>
      </c>
    </row>
    <row r="174" spans="1:9" ht="12.75">
      <c r="A174" s="325"/>
      <c r="B174" s="325"/>
      <c r="C174" s="325" t="s">
        <v>539</v>
      </c>
      <c r="D174" s="325" t="s">
        <v>540</v>
      </c>
      <c r="E174" s="325"/>
      <c r="F174" s="326">
        <v>0</v>
      </c>
      <c r="G174" s="326">
        <v>0</v>
      </c>
      <c r="H174" s="326">
        <v>0</v>
      </c>
      <c r="I174" s="338">
        <f t="shared" si="2"/>
        <v>0</v>
      </c>
    </row>
    <row r="175" spans="1:9" ht="12.75">
      <c r="A175" s="325"/>
      <c r="B175" s="325"/>
      <c r="C175" s="325" t="s">
        <v>541</v>
      </c>
      <c r="D175" s="325" t="s">
        <v>1015</v>
      </c>
      <c r="E175" s="325"/>
      <c r="F175" s="326">
        <v>0</v>
      </c>
      <c r="G175" s="326">
        <v>0</v>
      </c>
      <c r="H175" s="326">
        <v>0</v>
      </c>
      <c r="I175" s="338">
        <f t="shared" si="2"/>
        <v>0</v>
      </c>
    </row>
    <row r="176" spans="1:9" ht="12.75">
      <c r="A176" s="325"/>
      <c r="B176" s="325"/>
      <c r="C176" s="325" t="s">
        <v>542</v>
      </c>
      <c r="D176" s="325" t="s">
        <v>543</v>
      </c>
      <c r="E176" s="325"/>
      <c r="F176" s="326">
        <v>0</v>
      </c>
      <c r="G176" s="326">
        <v>0</v>
      </c>
      <c r="H176" s="326">
        <v>0</v>
      </c>
      <c r="I176" s="338">
        <f t="shared" si="2"/>
        <v>0</v>
      </c>
    </row>
    <row r="177" spans="1:9" ht="12.75">
      <c r="A177" s="325"/>
      <c r="B177" s="325"/>
      <c r="C177" s="325" t="s">
        <v>1016</v>
      </c>
      <c r="D177" s="325" t="s">
        <v>1017</v>
      </c>
      <c r="E177" s="325"/>
      <c r="F177" s="326">
        <v>0</v>
      </c>
      <c r="G177" s="326">
        <v>0</v>
      </c>
      <c r="H177" s="326">
        <v>0</v>
      </c>
      <c r="I177" s="338">
        <f t="shared" si="2"/>
        <v>0</v>
      </c>
    </row>
    <row r="178" spans="1:9" ht="12.75">
      <c r="A178" s="325"/>
      <c r="B178" s="325"/>
      <c r="C178" s="325"/>
      <c r="D178" s="322" t="s">
        <v>1018</v>
      </c>
      <c r="E178" s="322" t="s">
        <v>1019</v>
      </c>
      <c r="F178" s="324">
        <v>0</v>
      </c>
      <c r="G178" s="324">
        <v>0</v>
      </c>
      <c r="H178" s="324">
        <v>0</v>
      </c>
      <c r="I178" s="338">
        <f t="shared" si="2"/>
        <v>0</v>
      </c>
    </row>
    <row r="179" spans="1:9" ht="12.75">
      <c r="A179" s="325"/>
      <c r="B179" s="325"/>
      <c r="C179" s="325"/>
      <c r="D179" s="322" t="s">
        <v>1020</v>
      </c>
      <c r="E179" s="322" t="s">
        <v>1021</v>
      </c>
      <c r="F179" s="324">
        <v>0</v>
      </c>
      <c r="G179" s="324">
        <v>0</v>
      </c>
      <c r="H179" s="324">
        <v>0</v>
      </c>
      <c r="I179" s="338">
        <f t="shared" si="2"/>
        <v>0</v>
      </c>
    </row>
    <row r="180" spans="1:9" ht="12.75">
      <c r="A180" s="330"/>
      <c r="B180" s="320" t="s">
        <v>544</v>
      </c>
      <c r="C180" s="916" t="s">
        <v>545</v>
      </c>
      <c r="D180" s="916"/>
      <c r="E180" s="916"/>
      <c r="F180" s="321">
        <v>0</v>
      </c>
      <c r="G180" s="321">
        <v>0</v>
      </c>
      <c r="H180" s="321">
        <v>0</v>
      </c>
      <c r="I180" s="340">
        <f t="shared" si="2"/>
        <v>0</v>
      </c>
    </row>
    <row r="181" spans="1:9" ht="12.75">
      <c r="A181" s="330"/>
      <c r="B181" s="320" t="s">
        <v>546</v>
      </c>
      <c r="C181" s="916" t="s">
        <v>547</v>
      </c>
      <c r="D181" s="916"/>
      <c r="E181" s="916"/>
      <c r="F181" s="321">
        <v>0</v>
      </c>
      <c r="G181" s="321">
        <v>0</v>
      </c>
      <c r="H181" s="321">
        <v>0</v>
      </c>
      <c r="I181" s="340">
        <f>SUM(F181:H181)</f>
        <v>0</v>
      </c>
    </row>
    <row r="182" spans="1:9" ht="12.75">
      <c r="A182" s="330"/>
      <c r="B182" s="320" t="s">
        <v>1022</v>
      </c>
      <c r="C182" s="916" t="s">
        <v>1023</v>
      </c>
      <c r="D182" s="916"/>
      <c r="E182" s="916"/>
      <c r="F182" s="321">
        <v>0</v>
      </c>
      <c r="G182" s="321">
        <v>0</v>
      </c>
      <c r="H182" s="321">
        <v>0</v>
      </c>
      <c r="I182" s="340">
        <f t="shared" si="2"/>
        <v>0</v>
      </c>
    </row>
    <row r="183" spans="1:9" ht="12.75">
      <c r="A183" s="330"/>
      <c r="B183" s="330"/>
      <c r="C183" s="330"/>
      <c r="D183" s="330"/>
      <c r="E183" s="330"/>
      <c r="F183" s="821"/>
      <c r="G183" s="277"/>
      <c r="H183" s="277"/>
      <c r="I183" s="821"/>
    </row>
    <row r="184" spans="1:9" ht="15.75">
      <c r="A184" s="911" t="s">
        <v>715</v>
      </c>
      <c r="B184" s="911"/>
      <c r="C184" s="911"/>
      <c r="D184" s="911"/>
      <c r="E184" s="911"/>
      <c r="F184" s="337">
        <f>SUM(F158+F132+F117+F110+F84+F56+F40+F7)</f>
        <v>2567861</v>
      </c>
      <c r="G184" s="337">
        <f>SUM(G158+G132+G117+G110+G84+G56+G40+G7)</f>
        <v>12664</v>
      </c>
      <c r="H184" s="337">
        <f>SUM(H158+H132+H117+H110+H84+H56+H40+H7)</f>
        <v>19050</v>
      </c>
      <c r="I184" s="337">
        <f>SUM(F184:H184)</f>
        <v>2599575</v>
      </c>
    </row>
    <row r="186" spans="1:5" ht="15">
      <c r="A186" s="833" t="s">
        <v>1162</v>
      </c>
      <c r="B186" s="816"/>
      <c r="C186" s="816"/>
      <c r="D186" s="816"/>
      <c r="E186" s="816"/>
    </row>
    <row r="187" spans="1:5" ht="15">
      <c r="A187" s="833" t="s">
        <v>1163</v>
      </c>
      <c r="B187" s="816"/>
      <c r="C187" s="816"/>
      <c r="D187" s="816"/>
      <c r="E187" s="816"/>
    </row>
    <row r="188" spans="1:5" ht="15">
      <c r="A188" s="818" t="s">
        <v>1133</v>
      </c>
      <c r="B188" s="819"/>
      <c r="C188" s="819"/>
      <c r="D188" s="819"/>
      <c r="E188" s="819"/>
    </row>
  </sheetData>
  <sheetProtection/>
  <mergeCells count="50">
    <mergeCell ref="C116:E116"/>
    <mergeCell ref="C180:E180"/>
    <mergeCell ref="C181:E181"/>
    <mergeCell ref="F1:I1"/>
    <mergeCell ref="B6:E6"/>
    <mergeCell ref="A2:I2"/>
    <mergeCell ref="C146:E146"/>
    <mergeCell ref="C58:E58"/>
    <mergeCell ref="C59:E59"/>
    <mergeCell ref="C60:E60"/>
    <mergeCell ref="C136:E136"/>
    <mergeCell ref="B117:E117"/>
    <mergeCell ref="C121:E121"/>
    <mergeCell ref="C131:E131"/>
    <mergeCell ref="B132:E132"/>
    <mergeCell ref="C182:E182"/>
    <mergeCell ref="B158:E158"/>
    <mergeCell ref="C135:E135"/>
    <mergeCell ref="C134:E134"/>
    <mergeCell ref="C159:E159"/>
    <mergeCell ref="C57:E57"/>
    <mergeCell ref="C43:E43"/>
    <mergeCell ref="C133:E133"/>
    <mergeCell ref="C63:E63"/>
    <mergeCell ref="C74:E74"/>
    <mergeCell ref="B84:E84"/>
    <mergeCell ref="C111:E111"/>
    <mergeCell ref="C112:E112"/>
    <mergeCell ref="C114:E114"/>
    <mergeCell ref="C115:E115"/>
    <mergeCell ref="C29:E29"/>
    <mergeCell ref="C119:E119"/>
    <mergeCell ref="C120:E120"/>
    <mergeCell ref="C118:E118"/>
    <mergeCell ref="C41:E41"/>
    <mergeCell ref="D107:E107"/>
    <mergeCell ref="B110:E110"/>
    <mergeCell ref="C44:E44"/>
    <mergeCell ref="C45:E45"/>
    <mergeCell ref="B56:E56"/>
    <mergeCell ref="A184:E184"/>
    <mergeCell ref="A5:E5"/>
    <mergeCell ref="B7:E7"/>
    <mergeCell ref="C8:E8"/>
    <mergeCell ref="C15:E15"/>
    <mergeCell ref="B40:E40"/>
    <mergeCell ref="C42:E42"/>
    <mergeCell ref="C16:E16"/>
    <mergeCell ref="C17:E17"/>
    <mergeCell ref="C28:E28"/>
  </mergeCells>
  <printOptions horizontalCentered="1"/>
  <pageMargins left="0.5118110236220472" right="0.5118110236220472" top="0.4724409448818898" bottom="0.4724409448818898" header="0.31496062992125984" footer="0.31496062992125984"/>
  <pageSetup horizontalDpi="600" verticalDpi="600" orientation="portrait" paperSize="9" scale="53" r:id="rId1"/>
  <rowBreaks count="1" manualBreakCount="1">
    <brk id="8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I18"/>
  <sheetViews>
    <sheetView zoomScalePageLayoutView="0" workbookViewId="0" topLeftCell="A1">
      <selection activeCell="I1" sqref="I1"/>
    </sheetView>
  </sheetViews>
  <sheetFormatPr defaultColWidth="8.875" defaultRowHeight="12.75"/>
  <cols>
    <col min="1" max="1" width="4.125" style="169" bestFit="1" customWidth="1"/>
    <col min="2" max="2" width="14.625" style="161" customWidth="1"/>
    <col min="3" max="9" width="16.75390625" style="161" customWidth="1"/>
    <col min="10" max="10" width="13.875" style="161" bestFit="1" customWidth="1"/>
    <col min="11" max="11" width="14.25390625" style="161" bestFit="1" customWidth="1"/>
    <col min="12" max="16384" width="8.875" style="161" customWidth="1"/>
  </cols>
  <sheetData>
    <row r="1" ht="15.75">
      <c r="I1" s="680" t="s">
        <v>1242</v>
      </c>
    </row>
    <row r="3" spans="1:9" ht="40.5" customHeight="1">
      <c r="A3" s="1185" t="s">
        <v>260</v>
      </c>
      <c r="B3" s="1186"/>
      <c r="C3" s="1186"/>
      <c r="D3" s="1186"/>
      <c r="E3" s="1186"/>
      <c r="F3" s="1186"/>
      <c r="G3" s="1186"/>
      <c r="H3" s="1186"/>
      <c r="I3" s="1186"/>
    </row>
    <row r="4" spans="2:9" ht="16.5" thickBot="1">
      <c r="B4" s="162"/>
      <c r="C4" s="162"/>
      <c r="D4" s="162"/>
      <c r="E4" s="162"/>
      <c r="F4" s="162"/>
      <c r="G4" s="162"/>
      <c r="H4" s="162"/>
      <c r="I4" s="162"/>
    </row>
    <row r="5" spans="1:9" ht="15.75">
      <c r="A5" s="1191" t="s">
        <v>706</v>
      </c>
      <c r="B5" s="1187" t="s">
        <v>679</v>
      </c>
      <c r="C5" s="1187" t="s">
        <v>686</v>
      </c>
      <c r="D5" s="1187"/>
      <c r="E5" s="1187"/>
      <c r="F5" s="1187"/>
      <c r="G5" s="1187"/>
      <c r="H5" s="1187"/>
      <c r="I5" s="1189" t="s">
        <v>695</v>
      </c>
    </row>
    <row r="6" spans="1:9" s="163" customFormat="1" ht="102.75" customHeight="1">
      <c r="A6" s="1192"/>
      <c r="B6" s="1188"/>
      <c r="C6" s="164" t="s">
        <v>681</v>
      </c>
      <c r="D6" s="164" t="s">
        <v>683</v>
      </c>
      <c r="E6" s="164" t="s">
        <v>696</v>
      </c>
      <c r="F6" s="164" t="s">
        <v>684</v>
      </c>
      <c r="G6" s="164" t="s">
        <v>680</v>
      </c>
      <c r="H6" s="164" t="s">
        <v>685</v>
      </c>
      <c r="I6" s="1190"/>
    </row>
    <row r="7" spans="1:9" s="169" customFormat="1" ht="12">
      <c r="A7" s="1192"/>
      <c r="B7" s="171" t="s">
        <v>700</v>
      </c>
      <c r="C7" s="170" t="s">
        <v>701</v>
      </c>
      <c r="D7" s="170" t="s">
        <v>702</v>
      </c>
      <c r="E7" s="170" t="s">
        <v>703</v>
      </c>
      <c r="F7" s="170" t="s">
        <v>704</v>
      </c>
      <c r="G7" s="170" t="s">
        <v>705</v>
      </c>
      <c r="H7" s="170" t="s">
        <v>708</v>
      </c>
      <c r="I7" s="173" t="s">
        <v>709</v>
      </c>
    </row>
    <row r="8" spans="1:9" ht="15.75">
      <c r="A8" s="167">
        <v>1</v>
      </c>
      <c r="B8" s="172" t="s">
        <v>721</v>
      </c>
      <c r="C8" s="576">
        <v>148970</v>
      </c>
      <c r="D8" s="576">
        <f>16695+10000+17272</f>
        <v>43967</v>
      </c>
      <c r="E8" s="168">
        <v>487</v>
      </c>
      <c r="F8" s="168">
        <v>10</v>
      </c>
      <c r="G8" s="745">
        <v>11983</v>
      </c>
      <c r="H8" s="168">
        <v>0</v>
      </c>
      <c r="I8" s="165">
        <f aca="true" t="shared" si="0" ref="I8:I15">SUM(C8:H8)</f>
        <v>205417</v>
      </c>
    </row>
    <row r="9" spans="1:9" ht="15.75">
      <c r="A9" s="167">
        <v>2</v>
      </c>
      <c r="B9" s="172" t="s">
        <v>722</v>
      </c>
      <c r="C9" s="166">
        <v>128500</v>
      </c>
      <c r="D9" s="168">
        <v>20000</v>
      </c>
      <c r="E9" s="168">
        <v>3000</v>
      </c>
      <c r="F9" s="168">
        <v>1000</v>
      </c>
      <c r="G9" s="166">
        <v>9500</v>
      </c>
      <c r="H9" s="168">
        <v>0</v>
      </c>
      <c r="I9" s="165">
        <f t="shared" si="0"/>
        <v>162000</v>
      </c>
    </row>
    <row r="10" spans="1:9" ht="15.75">
      <c r="A10" s="167">
        <v>3</v>
      </c>
      <c r="B10" s="172" t="s">
        <v>723</v>
      </c>
      <c r="C10" s="166">
        <v>124800</v>
      </c>
      <c r="D10" s="168">
        <v>18000</v>
      </c>
      <c r="E10" s="168">
        <v>2800</v>
      </c>
      <c r="F10" s="168">
        <v>1000</v>
      </c>
      <c r="G10" s="166">
        <v>8000</v>
      </c>
      <c r="H10" s="168">
        <v>0</v>
      </c>
      <c r="I10" s="165">
        <f t="shared" si="0"/>
        <v>154600</v>
      </c>
    </row>
    <row r="11" spans="1:9" ht="15.75">
      <c r="A11" s="167">
        <v>4</v>
      </c>
      <c r="B11" s="172" t="s">
        <v>724</v>
      </c>
      <c r="C11" s="166">
        <v>125000</v>
      </c>
      <c r="D11" s="168">
        <v>16000</v>
      </c>
      <c r="E11" s="168">
        <v>2600</v>
      </c>
      <c r="F11" s="168">
        <v>800</v>
      </c>
      <c r="G11" s="166">
        <v>8000</v>
      </c>
      <c r="H11" s="168">
        <v>0</v>
      </c>
      <c r="I11" s="165">
        <f t="shared" si="0"/>
        <v>152400</v>
      </c>
    </row>
    <row r="12" spans="1:9" ht="15.75">
      <c r="A12" s="167">
        <v>5</v>
      </c>
      <c r="B12" s="172" t="s">
        <v>725</v>
      </c>
      <c r="C12" s="166">
        <v>125940</v>
      </c>
      <c r="D12" s="599">
        <v>6000</v>
      </c>
      <c r="E12" s="168">
        <v>2610</v>
      </c>
      <c r="F12" s="168">
        <v>200</v>
      </c>
      <c r="G12" s="166">
        <v>4000</v>
      </c>
      <c r="H12" s="168">
        <v>0</v>
      </c>
      <c r="I12" s="165">
        <f t="shared" si="0"/>
        <v>138750</v>
      </c>
    </row>
    <row r="13" spans="1:9" ht="15.75">
      <c r="A13" s="167">
        <v>6</v>
      </c>
      <c r="B13" s="172" t="s">
        <v>726</v>
      </c>
      <c r="C13" s="166">
        <v>127035</v>
      </c>
      <c r="D13" s="599">
        <v>6000</v>
      </c>
      <c r="E13" s="168">
        <v>2640</v>
      </c>
      <c r="F13" s="168">
        <v>100</v>
      </c>
      <c r="G13" s="166">
        <v>3800</v>
      </c>
      <c r="H13" s="168">
        <v>0</v>
      </c>
      <c r="I13" s="165">
        <f t="shared" si="0"/>
        <v>139575</v>
      </c>
    </row>
    <row r="14" spans="1:9" ht="15.75">
      <c r="A14" s="167">
        <v>7</v>
      </c>
      <c r="B14" s="172" t="s">
        <v>727</v>
      </c>
      <c r="C14" s="166">
        <v>128585</v>
      </c>
      <c r="D14" s="599">
        <v>6000</v>
      </c>
      <c r="E14" s="168">
        <v>2660</v>
      </c>
      <c r="F14" s="168">
        <v>100</v>
      </c>
      <c r="G14" s="166">
        <v>3500</v>
      </c>
      <c r="H14" s="168">
        <v>0</v>
      </c>
      <c r="I14" s="165">
        <f t="shared" si="0"/>
        <v>140845</v>
      </c>
    </row>
    <row r="15" spans="1:9" ht="15.75">
      <c r="A15" s="167">
        <v>8</v>
      </c>
      <c r="B15" s="172" t="s">
        <v>728</v>
      </c>
      <c r="C15" s="166">
        <v>130615</v>
      </c>
      <c r="D15" s="599">
        <v>6000</v>
      </c>
      <c r="E15" s="168">
        <v>2710</v>
      </c>
      <c r="F15" s="168">
        <v>100</v>
      </c>
      <c r="G15" s="166">
        <v>3400</v>
      </c>
      <c r="H15" s="168">
        <v>0</v>
      </c>
      <c r="I15" s="165">
        <f t="shared" si="0"/>
        <v>142825</v>
      </c>
    </row>
    <row r="17" spans="2:5" ht="15.75">
      <c r="B17" s="883" t="s">
        <v>1240</v>
      </c>
      <c r="C17" s="772"/>
      <c r="D17" s="772"/>
      <c r="E17" s="772"/>
    </row>
    <row r="18" spans="2:5" ht="15.75">
      <c r="B18" s="755" t="s">
        <v>1241</v>
      </c>
      <c r="C18" s="762"/>
      <c r="D18" s="772"/>
      <c r="E18" s="772"/>
    </row>
  </sheetData>
  <sheetProtection/>
  <mergeCells count="5">
    <mergeCell ref="A3:I3"/>
    <mergeCell ref="B5:B6"/>
    <mergeCell ref="I5:I6"/>
    <mergeCell ref="A5:A7"/>
    <mergeCell ref="C5:H5"/>
  </mergeCells>
  <printOptions horizontalCentered="1" vertic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J72"/>
  <sheetViews>
    <sheetView workbookViewId="0" topLeftCell="A1">
      <selection activeCell="A71" sqref="A71"/>
    </sheetView>
  </sheetViews>
  <sheetFormatPr defaultColWidth="13.25390625" defaultRowHeight="12.75"/>
  <cols>
    <col min="1" max="1" width="4.625" style="255" customWidth="1"/>
    <col min="2" max="2" width="36.125" style="160" customWidth="1"/>
    <col min="3" max="3" width="15.00390625" style="160" customWidth="1"/>
    <col min="4" max="4" width="10.00390625" style="160" customWidth="1"/>
    <col min="5" max="5" width="11.875" style="160" customWidth="1"/>
    <col min="6" max="6" width="11.75390625" style="160" customWidth="1"/>
    <col min="7" max="7" width="11.25390625" style="160" customWidth="1"/>
    <col min="8" max="8" width="11.75390625" style="160" customWidth="1"/>
    <col min="9" max="9" width="15.375" style="160" customWidth="1"/>
    <col min="10" max="10" width="16.625" style="160" customWidth="1"/>
    <col min="11" max="11" width="9.25390625" style="160" customWidth="1"/>
    <col min="12" max="12" width="9.75390625" style="160" customWidth="1"/>
    <col min="13" max="13" width="7.875" style="160" customWidth="1"/>
    <col min="14" max="14" width="9.625" style="160" customWidth="1"/>
    <col min="15" max="15" width="15.875" style="160" customWidth="1"/>
    <col min="16" max="16" width="17.25390625" style="160" customWidth="1"/>
    <col min="17" max="16384" width="13.25390625" style="160" customWidth="1"/>
  </cols>
  <sheetData>
    <row r="1" spans="2:10" ht="18">
      <c r="B1" s="1248" t="s">
        <v>1243</v>
      </c>
      <c r="C1" s="1248"/>
      <c r="D1" s="1248"/>
      <c r="E1" s="1248"/>
      <c r="F1" s="1248"/>
      <c r="G1" s="1248"/>
      <c r="H1" s="1248"/>
      <c r="I1" s="1248"/>
      <c r="J1" s="1248"/>
    </row>
    <row r="3" ht="16.5" customHeight="1"/>
    <row r="4" spans="2:10" ht="34.5" customHeight="1">
      <c r="B4" s="1249" t="s">
        <v>919</v>
      </c>
      <c r="C4" s="1249"/>
      <c r="D4" s="1249"/>
      <c r="E4" s="1249"/>
      <c r="F4" s="1249"/>
      <c r="G4" s="1249"/>
      <c r="H4" s="1249"/>
      <c r="I4" s="1249"/>
      <c r="J4" s="1249"/>
    </row>
    <row r="5" ht="6.75" customHeight="1" hidden="1"/>
    <row r="6" spans="1:10" ht="13.5" thickBot="1">
      <c r="A6" s="885"/>
      <c r="B6" s="646"/>
      <c r="C6" s="646"/>
      <c r="D6" s="646"/>
      <c r="E6" s="646"/>
      <c r="F6" s="646"/>
      <c r="G6" s="646"/>
      <c r="H6" s="646"/>
      <c r="I6" s="646"/>
      <c r="J6" s="646"/>
    </row>
    <row r="7" spans="1:10" ht="12.75" customHeight="1">
      <c r="A7" s="1236" t="s">
        <v>706</v>
      </c>
      <c r="B7" s="1239" t="s">
        <v>610</v>
      </c>
      <c r="C7" s="1242" t="s">
        <v>548</v>
      </c>
      <c r="D7" s="1243"/>
      <c r="E7" s="1243"/>
      <c r="F7" s="1243"/>
      <c r="G7" s="1243"/>
      <c r="H7" s="1244"/>
      <c r="I7" s="1206" t="s">
        <v>920</v>
      </c>
      <c r="J7" s="1206" t="s">
        <v>921</v>
      </c>
    </row>
    <row r="8" spans="1:10" ht="12.75">
      <c r="A8" s="1237"/>
      <c r="B8" s="1240"/>
      <c r="C8" s="1209" t="s">
        <v>695</v>
      </c>
      <c r="D8" s="1210" t="s">
        <v>549</v>
      </c>
      <c r="E8" s="1211"/>
      <c r="F8" s="1211"/>
      <c r="G8" s="1211"/>
      <c r="H8" s="1212"/>
      <c r="I8" s="1207"/>
      <c r="J8" s="1207"/>
    </row>
    <row r="9" spans="1:10" ht="24.75" customHeight="1">
      <c r="A9" s="1238"/>
      <c r="B9" s="1241"/>
      <c r="C9" s="1209"/>
      <c r="D9" s="257" t="s">
        <v>713</v>
      </c>
      <c r="E9" s="257" t="s">
        <v>717</v>
      </c>
      <c r="F9" s="257" t="s">
        <v>718</v>
      </c>
      <c r="G9" s="257" t="s">
        <v>720</v>
      </c>
      <c r="H9" s="258" t="s">
        <v>721</v>
      </c>
      <c r="I9" s="1208"/>
      <c r="J9" s="1208"/>
    </row>
    <row r="10" spans="1:10" ht="13.5" thickBot="1">
      <c r="A10" s="256" t="s">
        <v>700</v>
      </c>
      <c r="B10" s="259" t="s">
        <v>701</v>
      </c>
      <c r="C10" s="260" t="s">
        <v>702</v>
      </c>
      <c r="D10" s="261" t="s">
        <v>703</v>
      </c>
      <c r="E10" s="262" t="s">
        <v>704</v>
      </c>
      <c r="F10" s="262" t="s">
        <v>705</v>
      </c>
      <c r="G10" s="262" t="s">
        <v>708</v>
      </c>
      <c r="H10" s="262" t="s">
        <v>709</v>
      </c>
      <c r="I10" s="263" t="s">
        <v>645</v>
      </c>
      <c r="J10" s="264" t="s">
        <v>646</v>
      </c>
    </row>
    <row r="11" spans="1:10" ht="19.5" thickBot="1" thickTop="1">
      <c r="A11" s="265">
        <v>1</v>
      </c>
      <c r="B11" s="1213" t="s">
        <v>203</v>
      </c>
      <c r="C11" s="1214"/>
      <c r="D11" s="1214"/>
      <c r="E11" s="1214"/>
      <c r="F11" s="1214"/>
      <c r="G11" s="1214"/>
      <c r="H11" s="1214"/>
      <c r="I11" s="1214"/>
      <c r="J11" s="1215"/>
    </row>
    <row r="12" spans="1:10" ht="16.5" thickBot="1" thickTop="1">
      <c r="A12" s="266">
        <v>2</v>
      </c>
      <c r="B12" s="1196" t="s">
        <v>245</v>
      </c>
      <c r="C12" s="1197"/>
      <c r="D12" s="1197"/>
      <c r="E12" s="1197"/>
      <c r="F12" s="1197"/>
      <c r="G12" s="1197"/>
      <c r="H12" s="1197"/>
      <c r="I12" s="1198"/>
      <c r="J12" s="267"/>
    </row>
    <row r="13" spans="1:10" ht="12.75">
      <c r="A13" s="268">
        <v>3</v>
      </c>
      <c r="B13" s="269" t="s">
        <v>550</v>
      </c>
      <c r="C13" s="583">
        <f>SUM(H13+G13+F13+E13+D13)</f>
        <v>0</v>
      </c>
      <c r="D13" s="272"/>
      <c r="E13" s="272"/>
      <c r="F13" s="272"/>
      <c r="G13" s="272"/>
      <c r="H13" s="272"/>
      <c r="I13" s="273"/>
      <c r="J13" s="273">
        <v>0</v>
      </c>
    </row>
    <row r="14" spans="1:10" ht="13.5" thickBot="1">
      <c r="A14" s="268">
        <v>4</v>
      </c>
      <c r="B14" s="274" t="s">
        <v>551</v>
      </c>
      <c r="C14" s="584">
        <f>SUM(H14+G14+F14+E14+D14)</f>
        <v>21900</v>
      </c>
      <c r="D14" s="640"/>
      <c r="E14" s="277"/>
      <c r="F14" s="277">
        <v>2670</v>
      </c>
      <c r="G14" s="277">
        <v>19230</v>
      </c>
      <c r="H14" s="277"/>
      <c r="I14" s="278">
        <v>12456</v>
      </c>
      <c r="J14" s="278"/>
    </row>
    <row r="15" spans="1:10" ht="13.5" thickBot="1">
      <c r="A15" s="268">
        <v>5</v>
      </c>
      <c r="B15" s="279" t="s">
        <v>552</v>
      </c>
      <c r="C15" s="280">
        <f>SUM(H15+G15+F15+E15+D15)</f>
        <v>21900</v>
      </c>
      <c r="D15" s="281">
        <f aca="true" t="shared" si="0" ref="D15:J15">SUM(D13+D14)</f>
        <v>0</v>
      </c>
      <c r="E15" s="281">
        <f t="shared" si="0"/>
        <v>0</v>
      </c>
      <c r="F15" s="281">
        <f t="shared" si="0"/>
        <v>2670</v>
      </c>
      <c r="G15" s="281">
        <f t="shared" si="0"/>
        <v>19230</v>
      </c>
      <c r="H15" s="282">
        <f t="shared" si="0"/>
        <v>0</v>
      </c>
      <c r="I15" s="283">
        <f t="shared" si="0"/>
        <v>12456</v>
      </c>
      <c r="J15" s="284">
        <f t="shared" si="0"/>
        <v>0</v>
      </c>
    </row>
    <row r="16" spans="1:10" ht="13.5" thickBot="1">
      <c r="A16" s="268"/>
      <c r="B16" s="1216"/>
      <c r="C16" s="1217"/>
      <c r="D16" s="1218"/>
      <c r="E16" s="1218"/>
      <c r="F16" s="1218"/>
      <c r="G16" s="1218"/>
      <c r="H16" s="1218"/>
      <c r="I16" s="1219"/>
      <c r="J16" s="267"/>
    </row>
    <row r="17" spans="1:10" ht="12.75">
      <c r="A17" s="285">
        <v>6</v>
      </c>
      <c r="B17" s="286" t="s">
        <v>553</v>
      </c>
      <c r="C17" s="270">
        <f>SUM(D17:H17)</f>
        <v>2000</v>
      </c>
      <c r="D17" s="287"/>
      <c r="E17" s="277"/>
      <c r="F17" s="277"/>
      <c r="G17" s="277">
        <v>2000</v>
      </c>
      <c r="H17" s="277"/>
      <c r="I17" s="273"/>
      <c r="J17" s="273"/>
    </row>
    <row r="18" spans="1:10" ht="12.75">
      <c r="A18" s="285">
        <v>7</v>
      </c>
      <c r="B18" s="286" t="s">
        <v>554</v>
      </c>
      <c r="C18" s="275">
        <f>SUM(D18:H18)</f>
        <v>0</v>
      </c>
      <c r="D18" s="287"/>
      <c r="E18" s="287"/>
      <c r="F18" s="287"/>
      <c r="G18" s="287"/>
      <c r="H18" s="287"/>
      <c r="I18" s="288"/>
      <c r="J18" s="288"/>
    </row>
    <row r="19" spans="1:10" ht="12.75">
      <c r="A19" s="285">
        <v>8</v>
      </c>
      <c r="B19" s="311" t="s">
        <v>980</v>
      </c>
      <c r="C19" s="275">
        <f>SUM(D19:H19)</f>
        <v>6100</v>
      </c>
      <c r="D19" s="312"/>
      <c r="E19" s="312"/>
      <c r="F19" s="277">
        <v>1200</v>
      </c>
      <c r="G19" s="277">
        <v>4900</v>
      </c>
      <c r="H19" s="287"/>
      <c r="I19" s="291"/>
      <c r="J19" s="291">
        <v>5818</v>
      </c>
    </row>
    <row r="20" spans="1:10" ht="12.75">
      <c r="A20" s="285">
        <v>9</v>
      </c>
      <c r="B20" s="289" t="s">
        <v>555</v>
      </c>
      <c r="C20" s="275">
        <f>SUM(D20:H20)</f>
        <v>13800</v>
      </c>
      <c r="D20" s="312"/>
      <c r="E20" s="312"/>
      <c r="F20" s="733">
        <v>1470</v>
      </c>
      <c r="G20" s="277">
        <v>12330</v>
      </c>
      <c r="H20" s="277"/>
      <c r="I20" s="278"/>
      <c r="J20" s="278"/>
    </row>
    <row r="21" spans="1:10" ht="13.5" thickBot="1">
      <c r="A21" s="285">
        <v>10</v>
      </c>
      <c r="B21" s="289" t="s">
        <v>556</v>
      </c>
      <c r="C21" s="292">
        <f>SUM(D21:H21)</f>
        <v>0</v>
      </c>
      <c r="D21" s="293"/>
      <c r="E21" s="293"/>
      <c r="F21" s="293"/>
      <c r="G21" s="293"/>
      <c r="H21" s="293"/>
      <c r="I21" s="294"/>
      <c r="J21" s="294">
        <v>2</v>
      </c>
    </row>
    <row r="22" spans="1:10" ht="13.5" thickBot="1">
      <c r="A22" s="295">
        <v>11</v>
      </c>
      <c r="B22" s="296" t="s">
        <v>620</v>
      </c>
      <c r="C22" s="297">
        <f aca="true" t="shared" si="1" ref="C22:J22">SUM(C17:C21)</f>
        <v>21900</v>
      </c>
      <c r="D22" s="298">
        <f t="shared" si="1"/>
        <v>0</v>
      </c>
      <c r="E22" s="298">
        <f t="shared" si="1"/>
        <v>0</v>
      </c>
      <c r="F22" s="298">
        <f t="shared" si="1"/>
        <v>2670</v>
      </c>
      <c r="G22" s="298">
        <f t="shared" si="1"/>
        <v>19230</v>
      </c>
      <c r="H22" s="298">
        <f t="shared" si="1"/>
        <v>0</v>
      </c>
      <c r="I22" s="299">
        <f t="shared" si="1"/>
        <v>0</v>
      </c>
      <c r="J22" s="300">
        <f t="shared" si="1"/>
        <v>5820</v>
      </c>
    </row>
    <row r="23" spans="1:10" ht="14.25" thickBot="1" thickTop="1">
      <c r="A23" s="301"/>
      <c r="B23" s="1193"/>
      <c r="C23" s="1194"/>
      <c r="D23" s="1194"/>
      <c r="E23" s="1194"/>
      <c r="F23" s="1194"/>
      <c r="G23" s="1194"/>
      <c r="H23" s="1194"/>
      <c r="I23" s="1194"/>
      <c r="J23" s="1195"/>
    </row>
    <row r="24" spans="1:10" ht="16.5" thickBot="1" thickTop="1">
      <c r="A24" s="302">
        <v>12</v>
      </c>
      <c r="B24" s="1196" t="s">
        <v>557</v>
      </c>
      <c r="C24" s="1197"/>
      <c r="D24" s="1197"/>
      <c r="E24" s="1197"/>
      <c r="F24" s="1197"/>
      <c r="G24" s="1197"/>
      <c r="H24" s="1197"/>
      <c r="I24" s="1198"/>
      <c r="J24" s="303"/>
    </row>
    <row r="25" spans="1:10" ht="12.75">
      <c r="A25" s="268">
        <v>13</v>
      </c>
      <c r="B25" s="269" t="s">
        <v>1104</v>
      </c>
      <c r="C25" s="886">
        <v>189679</v>
      </c>
      <c r="D25" s="1232">
        <v>61656</v>
      </c>
      <c r="E25" s="1232">
        <v>120570</v>
      </c>
      <c r="F25" s="1232">
        <v>63867</v>
      </c>
      <c r="G25" s="1234"/>
      <c r="H25" s="1199"/>
      <c r="I25" s="273">
        <f>172401</f>
        <v>172401</v>
      </c>
      <c r="J25" s="273"/>
    </row>
    <row r="26" spans="1:10" ht="12.75">
      <c r="A26" s="268">
        <v>14</v>
      </c>
      <c r="B26" s="274" t="s">
        <v>1105</v>
      </c>
      <c r="C26" s="887">
        <v>56414</v>
      </c>
      <c r="D26" s="1233"/>
      <c r="E26" s="1233"/>
      <c r="F26" s="1233"/>
      <c r="G26" s="1235"/>
      <c r="H26" s="1200"/>
      <c r="I26" s="278"/>
      <c r="J26" s="278"/>
    </row>
    <row r="27" spans="1:10" ht="12.75">
      <c r="A27" s="304">
        <v>15</v>
      </c>
      <c r="B27" s="274" t="s">
        <v>558</v>
      </c>
      <c r="C27" s="888">
        <v>2791977</v>
      </c>
      <c r="D27" s="276">
        <v>699507</v>
      </c>
      <c r="E27" s="277">
        <v>1367887</v>
      </c>
      <c r="F27" s="277">
        <v>724583</v>
      </c>
      <c r="G27" s="277"/>
      <c r="H27" s="277"/>
      <c r="I27" s="278">
        <v>560125</v>
      </c>
      <c r="J27" s="278"/>
    </row>
    <row r="28" spans="1:10" ht="13.5" thickBot="1">
      <c r="A28" s="268">
        <v>16</v>
      </c>
      <c r="B28" s="274" t="s">
        <v>559</v>
      </c>
      <c r="C28" s="305"/>
      <c r="D28" s="640"/>
      <c r="E28" s="306"/>
      <c r="F28" s="306"/>
      <c r="G28" s="306"/>
      <c r="H28" s="306"/>
      <c r="I28" s="307"/>
      <c r="J28" s="294"/>
    </row>
    <row r="29" spans="1:10" ht="13.5" thickBot="1">
      <c r="A29" s="268">
        <v>17</v>
      </c>
      <c r="B29" s="279" t="s">
        <v>552</v>
      </c>
      <c r="C29" s="280">
        <f>SUM(C25:C28)</f>
        <v>3038070</v>
      </c>
      <c r="D29" s="281">
        <f aca="true" t="shared" si="2" ref="D29:I29">SUM(D25:D28)</f>
        <v>761163</v>
      </c>
      <c r="E29" s="281">
        <f t="shared" si="2"/>
        <v>1488457</v>
      </c>
      <c r="F29" s="281">
        <f t="shared" si="2"/>
        <v>788450</v>
      </c>
      <c r="G29" s="281">
        <f t="shared" si="2"/>
        <v>0</v>
      </c>
      <c r="H29" s="281">
        <f t="shared" si="2"/>
        <v>0</v>
      </c>
      <c r="I29" s="283">
        <f t="shared" si="2"/>
        <v>732526</v>
      </c>
      <c r="J29" s="284">
        <f>SUM(J26:J28)</f>
        <v>0</v>
      </c>
    </row>
    <row r="30" spans="1:10" ht="13.5" thickBot="1">
      <c r="A30" s="268"/>
      <c r="B30" s="1201"/>
      <c r="C30" s="1202"/>
      <c r="D30" s="1202"/>
      <c r="E30" s="1202"/>
      <c r="F30" s="1202"/>
      <c r="G30" s="1202"/>
      <c r="H30" s="1202"/>
      <c r="I30" s="1203"/>
      <c r="J30" s="267"/>
    </row>
    <row r="31" spans="1:10" ht="12.75">
      <c r="A31" s="285">
        <v>18</v>
      </c>
      <c r="B31" s="308" t="s">
        <v>553</v>
      </c>
      <c r="C31" s="270">
        <v>2981656</v>
      </c>
      <c r="D31" s="1227">
        <v>761163</v>
      </c>
      <c r="E31" s="1204">
        <v>1488457</v>
      </c>
      <c r="F31" s="1204">
        <v>788450</v>
      </c>
      <c r="G31" s="272"/>
      <c r="H31" s="310"/>
      <c r="I31" s="273"/>
      <c r="J31" s="273">
        <f>732526+35888</f>
        <v>768414</v>
      </c>
    </row>
    <row r="32" spans="1:10" ht="12.75">
      <c r="A32" s="285">
        <v>19</v>
      </c>
      <c r="B32" s="311" t="s">
        <v>554</v>
      </c>
      <c r="C32" s="275">
        <v>56414</v>
      </c>
      <c r="D32" s="1228"/>
      <c r="E32" s="1205"/>
      <c r="F32" s="1205"/>
      <c r="G32" s="312"/>
      <c r="H32" s="313"/>
      <c r="I32" s="278"/>
      <c r="J32" s="278">
        <v>35480</v>
      </c>
    </row>
    <row r="33" spans="1:10" ht="12.75">
      <c r="A33" s="285">
        <v>20</v>
      </c>
      <c r="B33" s="289" t="s">
        <v>555</v>
      </c>
      <c r="C33" s="275"/>
      <c r="D33" s="312"/>
      <c r="E33" s="312"/>
      <c r="F33" s="312"/>
      <c r="G33" s="312"/>
      <c r="H33" s="313"/>
      <c r="I33" s="278"/>
      <c r="J33" s="278"/>
    </row>
    <row r="34" spans="1:10" ht="12.75">
      <c r="A34" s="285">
        <v>21</v>
      </c>
      <c r="B34" s="289" t="s">
        <v>556</v>
      </c>
      <c r="C34" s="275"/>
      <c r="D34" s="312"/>
      <c r="E34" s="312"/>
      <c r="F34" s="312"/>
      <c r="G34" s="312"/>
      <c r="H34" s="313"/>
      <c r="I34" s="278"/>
      <c r="J34" s="278">
        <f>201+850</f>
        <v>1051</v>
      </c>
    </row>
    <row r="35" spans="1:10" ht="13.5" thickBot="1">
      <c r="A35" s="285">
        <v>22</v>
      </c>
      <c r="B35" s="736" t="s">
        <v>981</v>
      </c>
      <c r="C35" s="734"/>
      <c r="D35" s="290"/>
      <c r="E35" s="290"/>
      <c r="F35" s="290"/>
      <c r="G35" s="290"/>
      <c r="H35" s="735"/>
      <c r="I35" s="734"/>
      <c r="J35" s="278"/>
    </row>
    <row r="36" spans="1:10" ht="13.5" thickBot="1">
      <c r="A36" s="314">
        <v>23</v>
      </c>
      <c r="B36" s="315" t="s">
        <v>620</v>
      </c>
      <c r="C36" s="297">
        <f aca="true" t="shared" si="3" ref="C36:H36">SUM(C31:C34)</f>
        <v>3038070</v>
      </c>
      <c r="D36" s="298">
        <f t="shared" si="3"/>
        <v>761163</v>
      </c>
      <c r="E36" s="298">
        <f t="shared" si="3"/>
        <v>1488457</v>
      </c>
      <c r="F36" s="298">
        <f t="shared" si="3"/>
        <v>788450</v>
      </c>
      <c r="G36" s="298">
        <f t="shared" si="3"/>
        <v>0</v>
      </c>
      <c r="H36" s="298">
        <f t="shared" si="3"/>
        <v>0</v>
      </c>
      <c r="I36" s="297">
        <f>SUM(I31:I35)</f>
        <v>0</v>
      </c>
      <c r="J36" s="300">
        <f>SUM(J31:J35)</f>
        <v>804945</v>
      </c>
    </row>
    <row r="37" spans="1:10" ht="14.25" thickBot="1" thickTop="1">
      <c r="A37" s="316"/>
      <c r="B37" s="1193"/>
      <c r="C37" s="1194"/>
      <c r="D37" s="1194"/>
      <c r="E37" s="1194"/>
      <c r="F37" s="1194"/>
      <c r="G37" s="1194"/>
      <c r="H37" s="1194"/>
      <c r="I37" s="1194"/>
      <c r="J37" s="1195"/>
    </row>
    <row r="38" spans="1:10" ht="16.5" thickBot="1" thickTop="1">
      <c r="A38" s="302">
        <v>24</v>
      </c>
      <c r="B38" s="1229" t="s">
        <v>1246</v>
      </c>
      <c r="C38" s="1230"/>
      <c r="D38" s="1230"/>
      <c r="E38" s="1230"/>
      <c r="F38" s="1230"/>
      <c r="G38" s="1230"/>
      <c r="H38" s="1230"/>
      <c r="I38" s="1231"/>
      <c r="J38" s="303"/>
    </row>
    <row r="39" spans="1:10" ht="12.75">
      <c r="A39" s="268">
        <v>25</v>
      </c>
      <c r="B39" s="274" t="s">
        <v>1106</v>
      </c>
      <c r="C39" s="270">
        <v>66350</v>
      </c>
      <c r="D39" s="271"/>
      <c r="E39" s="272"/>
      <c r="F39" s="272"/>
      <c r="G39" s="272"/>
      <c r="H39" s="272"/>
      <c r="I39" s="273">
        <f>65850</f>
        <v>65850</v>
      </c>
      <c r="J39" s="273"/>
    </row>
    <row r="40" spans="1:10" ht="13.5" thickBot="1">
      <c r="A40" s="268">
        <v>26</v>
      </c>
      <c r="B40" s="274" t="s">
        <v>551</v>
      </c>
      <c r="C40" s="275">
        <v>373150</v>
      </c>
      <c r="D40" s="276"/>
      <c r="E40" s="277"/>
      <c r="F40" s="277"/>
      <c r="G40" s="277"/>
      <c r="H40" s="277"/>
      <c r="I40" s="278">
        <v>373150</v>
      </c>
      <c r="J40" s="278"/>
    </row>
    <row r="41" spans="1:10" ht="13.5" thickBot="1">
      <c r="A41" s="268">
        <v>27</v>
      </c>
      <c r="B41" s="279" t="s">
        <v>552</v>
      </c>
      <c r="C41" s="280">
        <f aca="true" t="shared" si="4" ref="C41:I41">SUM(C39:C40)</f>
        <v>439500</v>
      </c>
      <c r="D41" s="281">
        <f t="shared" si="4"/>
        <v>0</v>
      </c>
      <c r="E41" s="281">
        <f t="shared" si="4"/>
        <v>0</v>
      </c>
      <c r="F41" s="281">
        <f t="shared" si="4"/>
        <v>0</v>
      </c>
      <c r="G41" s="281">
        <f t="shared" si="4"/>
        <v>0</v>
      </c>
      <c r="H41" s="282">
        <f t="shared" si="4"/>
        <v>0</v>
      </c>
      <c r="I41" s="283">
        <f t="shared" si="4"/>
        <v>439000</v>
      </c>
      <c r="J41" s="284">
        <v>0</v>
      </c>
    </row>
    <row r="42" spans="1:10" ht="13.5" thickBot="1">
      <c r="A42" s="268"/>
      <c r="B42" s="1201"/>
      <c r="C42" s="1202"/>
      <c r="D42" s="1202"/>
      <c r="E42" s="1202"/>
      <c r="F42" s="1202"/>
      <c r="G42" s="1202"/>
      <c r="H42" s="1202"/>
      <c r="I42" s="1203"/>
      <c r="J42" s="267"/>
    </row>
    <row r="43" spans="1:10" ht="12.75">
      <c r="A43" s="285">
        <v>28</v>
      </c>
      <c r="B43" s="308" t="s">
        <v>553</v>
      </c>
      <c r="C43" s="270">
        <v>439000</v>
      </c>
      <c r="D43" s="309"/>
      <c r="E43" s="272"/>
      <c r="F43" s="272"/>
      <c r="G43" s="272"/>
      <c r="H43" s="310"/>
      <c r="I43" s="273"/>
      <c r="J43" s="273">
        <f>420040+8825-79421</f>
        <v>349444</v>
      </c>
    </row>
    <row r="44" spans="1:10" ht="13.5" thickBot="1">
      <c r="A44" s="285">
        <v>29</v>
      </c>
      <c r="B44" s="311" t="s">
        <v>554</v>
      </c>
      <c r="C44" s="275">
        <v>500</v>
      </c>
      <c r="D44" s="312"/>
      <c r="E44" s="312"/>
      <c r="F44" s="312"/>
      <c r="G44" s="312"/>
      <c r="H44" s="313"/>
      <c r="I44" s="278"/>
      <c r="J44" s="278">
        <f>381+6</f>
        <v>387</v>
      </c>
    </row>
    <row r="45" spans="1:10" ht="13.5" thickBot="1">
      <c r="A45" s="314">
        <v>30</v>
      </c>
      <c r="B45" s="315" t="s">
        <v>620</v>
      </c>
      <c r="C45" s="297">
        <f>SUM(C43:C44)</f>
        <v>439500</v>
      </c>
      <c r="D45" s="298">
        <f>SUM(D43:D44)</f>
        <v>0</v>
      </c>
      <c r="E45" s="298">
        <f>SUM(E43:E44)</f>
        <v>0</v>
      </c>
      <c r="F45" s="298">
        <f>SUM(F43:F44)</f>
        <v>0</v>
      </c>
      <c r="G45" s="298">
        <v>0</v>
      </c>
      <c r="H45" s="298">
        <v>0</v>
      </c>
      <c r="I45" s="297">
        <f>SUM(I43:I44)</f>
        <v>0</v>
      </c>
      <c r="J45" s="300">
        <f>SUM(J43:J44)</f>
        <v>349831</v>
      </c>
    </row>
    <row r="46" spans="1:10" ht="14.25" thickBot="1" thickTop="1">
      <c r="A46" s="316"/>
      <c r="B46" s="1193"/>
      <c r="C46" s="1194"/>
      <c r="D46" s="1194"/>
      <c r="E46" s="1194"/>
      <c r="F46" s="1194"/>
      <c r="G46" s="1194"/>
      <c r="H46" s="1194"/>
      <c r="I46" s="1194"/>
      <c r="J46" s="1195"/>
    </row>
    <row r="47" spans="1:10" ht="16.5" thickBot="1" thickTop="1">
      <c r="A47" s="302">
        <v>31</v>
      </c>
      <c r="B47" s="1220" t="s">
        <v>246</v>
      </c>
      <c r="C47" s="1221"/>
      <c r="D47" s="1221"/>
      <c r="E47" s="1221"/>
      <c r="F47" s="1221"/>
      <c r="G47" s="1221"/>
      <c r="H47" s="1221"/>
      <c r="I47" s="1221"/>
      <c r="J47" s="1222"/>
    </row>
    <row r="48" spans="1:10" ht="12.75">
      <c r="A48" s="268">
        <v>32</v>
      </c>
      <c r="B48" s="319" t="s">
        <v>550</v>
      </c>
      <c r="C48" s="270">
        <v>2276</v>
      </c>
      <c r="D48" s="271"/>
      <c r="E48" s="272"/>
      <c r="F48" s="272"/>
      <c r="G48" s="272"/>
      <c r="H48" s="272"/>
      <c r="I48" s="273"/>
      <c r="J48" s="273"/>
    </row>
    <row r="49" spans="1:10" ht="13.5" thickBot="1">
      <c r="A49" s="268">
        <v>33</v>
      </c>
      <c r="B49" s="274" t="s">
        <v>551</v>
      </c>
      <c r="C49" s="292">
        <v>11195</v>
      </c>
      <c r="D49" s="276"/>
      <c r="E49" s="277"/>
      <c r="F49" s="277"/>
      <c r="G49" s="277"/>
      <c r="H49" s="277"/>
      <c r="I49" s="278">
        <v>11195</v>
      </c>
      <c r="J49" s="278"/>
    </row>
    <row r="50" spans="1:10" ht="13.5" thickBot="1">
      <c r="A50" s="268">
        <v>34</v>
      </c>
      <c r="B50" s="279" t="s">
        <v>552</v>
      </c>
      <c r="C50" s="280">
        <f aca="true" t="shared" si="5" ref="C50:H50">SUM(C48:C49)</f>
        <v>13471</v>
      </c>
      <c r="D50" s="281">
        <f t="shared" si="5"/>
        <v>0</v>
      </c>
      <c r="E50" s="281">
        <f t="shared" si="5"/>
        <v>0</v>
      </c>
      <c r="F50" s="281">
        <f t="shared" si="5"/>
        <v>0</v>
      </c>
      <c r="G50" s="281">
        <f t="shared" si="5"/>
        <v>0</v>
      </c>
      <c r="H50" s="282">
        <f t="shared" si="5"/>
        <v>0</v>
      </c>
      <c r="I50" s="283">
        <f>SUM(I48+I49)</f>
        <v>11195</v>
      </c>
      <c r="J50" s="284">
        <f>SUM(J48+J49)</f>
        <v>0</v>
      </c>
    </row>
    <row r="51" spans="1:10" ht="13.5" thickBot="1">
      <c r="A51" s="268"/>
      <c r="B51" s="1201"/>
      <c r="C51" s="1202"/>
      <c r="D51" s="1202"/>
      <c r="E51" s="1202"/>
      <c r="F51" s="1202"/>
      <c r="G51" s="1202"/>
      <c r="H51" s="1202"/>
      <c r="I51" s="1203"/>
      <c r="J51" s="267"/>
    </row>
    <row r="52" spans="1:10" ht="12.75">
      <c r="A52" s="285">
        <v>35</v>
      </c>
      <c r="B52" s="308" t="s">
        <v>553</v>
      </c>
      <c r="C52" s="270">
        <v>13171</v>
      </c>
      <c r="D52" s="309"/>
      <c r="E52" s="272"/>
      <c r="F52" s="272"/>
      <c r="G52" s="272"/>
      <c r="H52" s="310"/>
      <c r="I52" s="273"/>
      <c r="J52" s="273">
        <f>49+10330</f>
        <v>10379</v>
      </c>
    </row>
    <row r="53" spans="1:10" ht="13.5" thickBot="1">
      <c r="A53" s="285">
        <v>36</v>
      </c>
      <c r="B53" s="311" t="s">
        <v>554</v>
      </c>
      <c r="C53" s="275">
        <v>300</v>
      </c>
      <c r="D53" s="312"/>
      <c r="E53" s="312"/>
      <c r="F53" s="312"/>
      <c r="G53" s="312"/>
      <c r="H53" s="313"/>
      <c r="I53" s="278"/>
      <c r="J53" s="278"/>
    </row>
    <row r="54" spans="1:10" ht="13.5" thickBot="1">
      <c r="A54" s="314">
        <v>37</v>
      </c>
      <c r="B54" s="315" t="s">
        <v>620</v>
      </c>
      <c r="C54" s="297">
        <f>SUM(C52:C53)</f>
        <v>13471</v>
      </c>
      <c r="D54" s="298">
        <v>0</v>
      </c>
      <c r="E54" s="298">
        <v>0</v>
      </c>
      <c r="F54" s="298">
        <v>0</v>
      </c>
      <c r="G54" s="298">
        <v>0</v>
      </c>
      <c r="H54" s="298">
        <v>0</v>
      </c>
      <c r="I54" s="297">
        <v>0</v>
      </c>
      <c r="J54" s="300">
        <f>SUM(J51:J53)</f>
        <v>10379</v>
      </c>
    </row>
    <row r="55" spans="1:10" ht="14.25" thickBot="1" thickTop="1">
      <c r="A55" s="316"/>
      <c r="B55" s="317"/>
      <c r="C55" s="889"/>
      <c r="D55" s="318"/>
      <c r="E55" s="318"/>
      <c r="F55" s="318"/>
      <c r="G55" s="318"/>
      <c r="H55" s="318"/>
      <c r="I55" s="889"/>
      <c r="J55" s="890"/>
    </row>
    <row r="56" spans="1:10" ht="16.5" thickBot="1" thickTop="1">
      <c r="A56" s="302">
        <v>38</v>
      </c>
      <c r="B56" s="1220" t="s">
        <v>492</v>
      </c>
      <c r="C56" s="1221"/>
      <c r="D56" s="1221"/>
      <c r="E56" s="1221"/>
      <c r="F56" s="1221"/>
      <c r="G56" s="1221"/>
      <c r="H56" s="1221"/>
      <c r="I56" s="1221"/>
      <c r="J56" s="1222"/>
    </row>
    <row r="57" spans="1:10" ht="12.75">
      <c r="A57" s="658">
        <v>39</v>
      </c>
      <c r="B57" s="659"/>
      <c r="C57" s="1223" t="s">
        <v>493</v>
      </c>
      <c r="D57" s="1224"/>
      <c r="E57" s="1224"/>
      <c r="F57" s="1224"/>
      <c r="G57" s="1224"/>
      <c r="H57" s="1225"/>
      <c r="I57" s="1223" t="s">
        <v>494</v>
      </c>
      <c r="J57" s="1226"/>
    </row>
    <row r="58" spans="1:10" ht="12.75">
      <c r="A58" s="658">
        <v>40</v>
      </c>
      <c r="B58" s="891" t="s">
        <v>550</v>
      </c>
      <c r="C58" s="662">
        <v>5822.7</v>
      </c>
      <c r="D58" s="669"/>
      <c r="E58" s="669"/>
      <c r="F58" s="892">
        <v>5409.84</v>
      </c>
      <c r="G58" s="892">
        <v>412.86</v>
      </c>
      <c r="H58" s="892"/>
      <c r="I58" s="893"/>
      <c r="J58" s="661"/>
    </row>
    <row r="59" spans="1:10" ht="12.75">
      <c r="A59" s="658">
        <v>41</v>
      </c>
      <c r="B59" s="891" t="s">
        <v>495</v>
      </c>
      <c r="C59" s="662">
        <v>11645.4</v>
      </c>
      <c r="D59" s="669"/>
      <c r="E59" s="669"/>
      <c r="F59" s="892">
        <v>11645.4</v>
      </c>
      <c r="G59" s="892">
        <v>0</v>
      </c>
      <c r="H59" s="894"/>
      <c r="I59" s="739">
        <v>1521</v>
      </c>
      <c r="J59" s="737"/>
    </row>
    <row r="60" spans="1:10" ht="13.5" thickBot="1">
      <c r="A60" s="658">
        <v>42</v>
      </c>
      <c r="B60" s="895" t="s">
        <v>496</v>
      </c>
      <c r="C60" s="663">
        <v>98985.9</v>
      </c>
      <c r="D60" s="670"/>
      <c r="E60" s="670"/>
      <c r="F60" s="896">
        <v>14847.89</v>
      </c>
      <c r="G60" s="896">
        <v>84138.01</v>
      </c>
      <c r="H60" s="897"/>
      <c r="I60" s="740">
        <v>12930</v>
      </c>
      <c r="J60" s="738"/>
    </row>
    <row r="61" spans="1:10" ht="13.5" thickBot="1">
      <c r="A61" s="658">
        <v>43</v>
      </c>
      <c r="B61" s="664" t="s">
        <v>552</v>
      </c>
      <c r="C61" s="665">
        <f>SUM(D61:H61)</f>
        <v>116454</v>
      </c>
      <c r="D61" s="671">
        <v>0</v>
      </c>
      <c r="E61" s="671">
        <v>0</v>
      </c>
      <c r="F61" s="671">
        <f>SUM(F58:F60)</f>
        <v>31903.129999999997</v>
      </c>
      <c r="G61" s="671">
        <f>SUM(G58:G60)</f>
        <v>84550.87</v>
      </c>
      <c r="H61" s="671">
        <f>SUM(H58:H60)</f>
        <v>0</v>
      </c>
      <c r="I61" s="666">
        <f>SUM(I58:I60)</f>
        <v>14451</v>
      </c>
      <c r="J61" s="667">
        <v>0</v>
      </c>
    </row>
    <row r="62" spans="1:10" ht="13.5" thickBot="1">
      <c r="A62" s="668"/>
      <c r="B62" s="1245"/>
      <c r="C62" s="1246"/>
      <c r="D62" s="1246"/>
      <c r="E62" s="1246"/>
      <c r="F62" s="1246"/>
      <c r="G62" s="1246"/>
      <c r="H62" s="1246"/>
      <c r="I62" s="1246"/>
      <c r="J62" s="1247"/>
    </row>
    <row r="63" spans="1:10" ht="12.75">
      <c r="A63" s="658">
        <v>44</v>
      </c>
      <c r="B63" s="898" t="s">
        <v>497</v>
      </c>
      <c r="C63" s="773">
        <v>82240</v>
      </c>
      <c r="D63" s="774"/>
      <c r="E63" s="774"/>
      <c r="F63" s="774">
        <v>30663.79</v>
      </c>
      <c r="G63" s="899">
        <v>51576.21</v>
      </c>
      <c r="H63" s="899"/>
      <c r="I63" s="775"/>
      <c r="J63" s="900"/>
    </row>
    <row r="64" spans="1:10" ht="12.75">
      <c r="A64" s="658">
        <v>45</v>
      </c>
      <c r="B64" s="891" t="s">
        <v>498</v>
      </c>
      <c r="C64" s="662">
        <v>0</v>
      </c>
      <c r="D64" s="669"/>
      <c r="E64" s="669"/>
      <c r="F64" s="669"/>
      <c r="G64" s="669"/>
      <c r="H64" s="892"/>
      <c r="I64" s="660"/>
      <c r="J64" s="901"/>
    </row>
    <row r="65" spans="1:10" ht="12.75">
      <c r="A65" s="658">
        <v>46</v>
      </c>
      <c r="B65" s="891" t="s">
        <v>499</v>
      </c>
      <c r="C65" s="662">
        <v>5140</v>
      </c>
      <c r="D65" s="669"/>
      <c r="E65" s="669"/>
      <c r="F65" s="669"/>
      <c r="G65" s="669">
        <v>5140</v>
      </c>
      <c r="H65" s="892"/>
      <c r="I65" s="660"/>
      <c r="J65" s="901"/>
    </row>
    <row r="66" spans="1:10" ht="12.75">
      <c r="A66" s="658">
        <v>47</v>
      </c>
      <c r="B66" s="891" t="s">
        <v>500</v>
      </c>
      <c r="C66" s="662">
        <v>9480</v>
      </c>
      <c r="D66" s="669"/>
      <c r="E66" s="669"/>
      <c r="F66" s="669"/>
      <c r="G66" s="669">
        <v>9480</v>
      </c>
      <c r="H66" s="892"/>
      <c r="I66" s="660"/>
      <c r="J66" s="901">
        <v>724</v>
      </c>
    </row>
    <row r="67" spans="1:10" ht="12.75">
      <c r="A67" s="658">
        <v>48</v>
      </c>
      <c r="B67" s="891" t="s">
        <v>555</v>
      </c>
      <c r="C67" s="662">
        <v>19594</v>
      </c>
      <c r="D67" s="669"/>
      <c r="E67" s="669"/>
      <c r="F67" s="669">
        <v>1239.34</v>
      </c>
      <c r="G67" s="892">
        <v>18354.66</v>
      </c>
      <c r="H67" s="892"/>
      <c r="I67" s="660"/>
      <c r="J67" s="901">
        <v>50</v>
      </c>
    </row>
    <row r="68" spans="1:10" ht="13.5" thickBot="1">
      <c r="A68" s="658">
        <v>49</v>
      </c>
      <c r="B68" s="891" t="s">
        <v>556</v>
      </c>
      <c r="C68" s="660">
        <v>0</v>
      </c>
      <c r="D68" s="669"/>
      <c r="E68" s="669"/>
      <c r="F68" s="669"/>
      <c r="G68" s="669"/>
      <c r="H68" s="892"/>
      <c r="I68" s="660"/>
      <c r="J68" s="901">
        <f>337+5</f>
        <v>342</v>
      </c>
    </row>
    <row r="69" spans="1:10" ht="13.5" thickBot="1">
      <c r="A69" s="902">
        <v>50</v>
      </c>
      <c r="B69" s="664" t="s">
        <v>620</v>
      </c>
      <c r="C69" s="665">
        <f>SUM(D69:H69)</f>
        <v>116454</v>
      </c>
      <c r="D69" s="671">
        <v>0</v>
      </c>
      <c r="E69" s="671">
        <v>0</v>
      </c>
      <c r="F69" s="671">
        <f>SUM(F63:F68)</f>
        <v>31903.13</v>
      </c>
      <c r="G69" s="671">
        <f>SUM(G63:G68)</f>
        <v>84550.87</v>
      </c>
      <c r="H69" s="671">
        <f>SUM(H63:H68)</f>
        <v>0</v>
      </c>
      <c r="I69" s="666">
        <v>0</v>
      </c>
      <c r="J69" s="667">
        <f>SUM(J63:J68)</f>
        <v>1116</v>
      </c>
    </row>
    <row r="71" spans="1:5" ht="15">
      <c r="A71" s="826" t="s">
        <v>1245</v>
      </c>
      <c r="B71" s="816"/>
      <c r="C71" s="816"/>
      <c r="D71" s="816"/>
      <c r="E71" s="816"/>
    </row>
    <row r="72" spans="1:5" ht="15">
      <c r="A72" s="818" t="s">
        <v>1244</v>
      </c>
      <c r="B72" s="819"/>
      <c r="C72" s="819"/>
      <c r="D72" s="884"/>
      <c r="E72" s="816"/>
    </row>
  </sheetData>
  <sheetProtection/>
  <mergeCells count="33">
    <mergeCell ref="B1:J1"/>
    <mergeCell ref="B4:J4"/>
    <mergeCell ref="A7:A9"/>
    <mergeCell ref="I7:I9"/>
    <mergeCell ref="B7:B9"/>
    <mergeCell ref="C7:H7"/>
    <mergeCell ref="B62:J62"/>
    <mergeCell ref="B47:J47"/>
    <mergeCell ref="B51:I51"/>
    <mergeCell ref="B56:J56"/>
    <mergeCell ref="C57:H57"/>
    <mergeCell ref="I57:J57"/>
    <mergeCell ref="D31:D32"/>
    <mergeCell ref="E31:E32"/>
    <mergeCell ref="B38:I38"/>
    <mergeCell ref="B42:I42"/>
    <mergeCell ref="B46:J46"/>
    <mergeCell ref="J7:J9"/>
    <mergeCell ref="C8:C9"/>
    <mergeCell ref="D8:H8"/>
    <mergeCell ref="B11:J11"/>
    <mergeCell ref="B12:I12"/>
    <mergeCell ref="B16:I16"/>
    <mergeCell ref="B23:J23"/>
    <mergeCell ref="B24:I24"/>
    <mergeCell ref="H25:H26"/>
    <mergeCell ref="B30:I30"/>
    <mergeCell ref="F31:F32"/>
    <mergeCell ref="B37:J37"/>
    <mergeCell ref="D25:D26"/>
    <mergeCell ref="E25:E26"/>
    <mergeCell ref="F25:F26"/>
    <mergeCell ref="G25:G26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N58"/>
  <sheetViews>
    <sheetView zoomScalePageLayoutView="0" workbookViewId="0" topLeftCell="A1">
      <selection activeCell="A7" sqref="A7:C7"/>
    </sheetView>
  </sheetViews>
  <sheetFormatPr defaultColWidth="9.00390625" defaultRowHeight="12.75"/>
  <cols>
    <col min="1" max="1" width="5.125" style="65" bestFit="1" customWidth="1"/>
    <col min="2" max="2" width="8.875" style="58" customWidth="1"/>
    <col min="3" max="3" width="65.00390625" style="58" customWidth="1"/>
    <col min="4" max="4" width="9.75390625" style="58" bestFit="1" customWidth="1"/>
    <col min="5" max="5" width="10.375" style="58" bestFit="1" customWidth="1"/>
    <col min="6" max="6" width="14.375" style="58" bestFit="1" customWidth="1"/>
    <col min="7" max="7" width="9.75390625" style="58" customWidth="1"/>
    <col min="8" max="8" width="11.25390625" style="58" customWidth="1"/>
    <col min="9" max="9" width="9.625" style="58" customWidth="1"/>
    <col min="10" max="10" width="11.25390625" style="58" customWidth="1"/>
    <col min="11" max="11" width="14.375" style="58" bestFit="1" customWidth="1"/>
    <col min="12" max="12" width="15.125" style="58" customWidth="1"/>
    <col min="13" max="13" width="9.125" style="58" customWidth="1"/>
    <col min="14" max="14" width="12.375" style="58" bestFit="1" customWidth="1"/>
    <col min="15" max="16384" width="9.125" style="58" customWidth="1"/>
  </cols>
  <sheetData>
    <row r="1" spans="9:12" ht="18">
      <c r="I1" s="638"/>
      <c r="L1" s="639" t="s">
        <v>1249</v>
      </c>
    </row>
    <row r="2" spans="1:12" s="44" customFormat="1" ht="15.75" customHeight="1">
      <c r="A2" s="1260"/>
      <c r="B2" s="1260"/>
      <c r="C2" s="1260"/>
      <c r="D2" s="1260"/>
      <c r="E2" s="1260"/>
      <c r="F2" s="1260"/>
      <c r="G2" s="1260"/>
      <c r="H2" s="1260"/>
      <c r="I2" s="1260"/>
      <c r="J2" s="1260"/>
      <c r="K2" s="1260"/>
      <c r="L2" s="43"/>
    </row>
    <row r="3" spans="1:12" s="44" customFormat="1" ht="15.75">
      <c r="A3" s="1260" t="s">
        <v>879</v>
      </c>
      <c r="B3" s="1260"/>
      <c r="C3" s="1260"/>
      <c r="D3" s="1260"/>
      <c r="E3" s="1260"/>
      <c r="F3" s="1260"/>
      <c r="G3" s="1260"/>
      <c r="H3" s="1260"/>
      <c r="I3" s="1260"/>
      <c r="J3" s="1260"/>
      <c r="K3" s="1260"/>
      <c r="L3" s="43"/>
    </row>
    <row r="4" spans="1:14" ht="15.75">
      <c r="A4" s="1250" t="s">
        <v>904</v>
      </c>
      <c r="B4" s="1250"/>
      <c r="C4" s="1250"/>
      <c r="D4" s="1250"/>
      <c r="E4" s="1250"/>
      <c r="F4" s="1250"/>
      <c r="G4" s="1250"/>
      <c r="H4" s="1250"/>
      <c r="I4" s="1250"/>
      <c r="J4" s="1250"/>
      <c r="K4" s="1250"/>
      <c r="L4" s="45"/>
      <c r="M4" s="44"/>
      <c r="N4" s="44"/>
    </row>
    <row r="5" spans="1:14" s="51" customFormat="1" ht="40.5" customHeight="1">
      <c r="A5" s="65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1:12" s="51" customFormat="1" ht="12.75" customHeight="1" thickBot="1">
      <c r="A6" s="65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1:14" s="159" customFormat="1" ht="12" customHeight="1">
      <c r="A7" s="1251" t="s">
        <v>729</v>
      </c>
      <c r="B7" s="1251"/>
      <c r="C7" s="1252"/>
      <c r="D7" s="1253" t="s">
        <v>719</v>
      </c>
      <c r="E7" s="1251"/>
      <c r="F7" s="1254"/>
      <c r="G7" s="1255" t="s">
        <v>877</v>
      </c>
      <c r="H7" s="1256"/>
      <c r="I7" s="1256"/>
      <c r="J7" s="1257"/>
      <c r="K7" s="1258"/>
      <c r="L7" s="1265" t="s">
        <v>615</v>
      </c>
      <c r="M7" s="51"/>
      <c r="N7" s="51"/>
    </row>
    <row r="8" spans="1:14" s="205" customFormat="1" ht="28.5" customHeight="1">
      <c r="A8" s="1261" t="s">
        <v>730</v>
      </c>
      <c r="B8" s="1262"/>
      <c r="C8" s="46" t="s">
        <v>731</v>
      </c>
      <c r="D8" s="47" t="s">
        <v>732</v>
      </c>
      <c r="E8" s="49" t="s">
        <v>733</v>
      </c>
      <c r="F8" s="50" t="s">
        <v>774</v>
      </c>
      <c r="G8" s="47" t="s">
        <v>735</v>
      </c>
      <c r="H8" s="48" t="s">
        <v>751</v>
      </c>
      <c r="I8" s="48" t="s">
        <v>736</v>
      </c>
      <c r="J8" s="48" t="s">
        <v>751</v>
      </c>
      <c r="K8" s="50" t="s">
        <v>734</v>
      </c>
      <c r="L8" s="1266"/>
      <c r="M8" s="159"/>
      <c r="N8" s="159"/>
    </row>
    <row r="9" spans="1:14" s="201" customFormat="1" ht="21.75" customHeight="1">
      <c r="A9" s="1259" t="s">
        <v>700</v>
      </c>
      <c r="B9" s="1259"/>
      <c r="C9" s="154" t="s">
        <v>701</v>
      </c>
      <c r="D9" s="155" t="s">
        <v>702</v>
      </c>
      <c r="E9" s="156" t="s">
        <v>703</v>
      </c>
      <c r="F9" s="157" t="s">
        <v>704</v>
      </c>
      <c r="G9" s="155" t="s">
        <v>705</v>
      </c>
      <c r="H9" s="158" t="s">
        <v>708</v>
      </c>
      <c r="I9" s="158" t="s">
        <v>709</v>
      </c>
      <c r="J9" s="158" t="s">
        <v>645</v>
      </c>
      <c r="K9" s="157" t="s">
        <v>646</v>
      </c>
      <c r="L9" s="634" t="s">
        <v>647</v>
      </c>
      <c r="M9" s="204"/>
      <c r="N9" s="682"/>
    </row>
    <row r="10" spans="1:14" s="201" customFormat="1" ht="19.5" customHeight="1">
      <c r="A10" s="209" t="s">
        <v>758</v>
      </c>
      <c r="B10" s="210"/>
      <c r="C10" s="211" t="s">
        <v>772</v>
      </c>
      <c r="D10" s="212"/>
      <c r="E10" s="213"/>
      <c r="F10" s="214">
        <f>F11+F12+F17+F18+F19+F20</f>
        <v>207920068</v>
      </c>
      <c r="G10" s="212"/>
      <c r="H10" s="215"/>
      <c r="I10" s="215"/>
      <c r="J10" s="213"/>
      <c r="K10" s="214">
        <f>K11+K12+K17+K18+K19+K20</f>
        <v>1454023</v>
      </c>
      <c r="L10" s="635">
        <f aca="true" t="shared" si="0" ref="L10:L16">F10+K10</f>
        <v>209374091</v>
      </c>
      <c r="M10" s="200"/>
      <c r="N10" s="207"/>
    </row>
    <row r="11" spans="1:14" ht="12.75">
      <c r="A11" s="193"/>
      <c r="B11" s="194" t="s">
        <v>881</v>
      </c>
      <c r="C11" s="195" t="s">
        <v>752</v>
      </c>
      <c r="D11" s="577">
        <v>26.89</v>
      </c>
      <c r="E11" s="197">
        <v>4580000</v>
      </c>
      <c r="F11" s="198">
        <f>D11*E11</f>
        <v>123156200</v>
      </c>
      <c r="G11" s="196"/>
      <c r="H11" s="199"/>
      <c r="I11" s="199"/>
      <c r="J11" s="197"/>
      <c r="K11" s="198"/>
      <c r="L11" s="636">
        <f t="shared" si="0"/>
        <v>123156200</v>
      </c>
      <c r="M11" s="200"/>
      <c r="N11" s="207"/>
    </row>
    <row r="12" spans="1:14" ht="12.75">
      <c r="A12" s="193"/>
      <c r="B12" s="194" t="s">
        <v>882</v>
      </c>
      <c r="C12" s="195" t="s">
        <v>230</v>
      </c>
      <c r="D12" s="196"/>
      <c r="E12" s="197"/>
      <c r="F12" s="198">
        <f>SUM(F13:F16)</f>
        <v>63413420</v>
      </c>
      <c r="G12" s="196"/>
      <c r="H12" s="199"/>
      <c r="I12" s="199"/>
      <c r="J12" s="197"/>
      <c r="K12" s="198"/>
      <c r="L12" s="636">
        <f t="shared" si="0"/>
        <v>63413420</v>
      </c>
      <c r="M12" s="57"/>
      <c r="N12" s="207"/>
    </row>
    <row r="13" spans="1:14" ht="12.75">
      <c r="A13" s="52"/>
      <c r="B13" s="903" t="s">
        <v>883</v>
      </c>
      <c r="C13" s="904" t="s">
        <v>753</v>
      </c>
      <c r="D13" s="53"/>
      <c r="E13" s="54"/>
      <c r="F13" s="55">
        <v>18213050</v>
      </c>
      <c r="G13" s="53"/>
      <c r="H13" s="56"/>
      <c r="I13" s="56"/>
      <c r="J13" s="54"/>
      <c r="K13" s="55"/>
      <c r="L13" s="637">
        <f t="shared" si="0"/>
        <v>18213050</v>
      </c>
      <c r="M13" s="57"/>
      <c r="N13" s="207"/>
    </row>
    <row r="14" spans="1:14" ht="12.75">
      <c r="A14" s="52"/>
      <c r="B14" s="903" t="s">
        <v>884</v>
      </c>
      <c r="C14" s="904" t="s">
        <v>754</v>
      </c>
      <c r="D14" s="53"/>
      <c r="E14" s="54"/>
      <c r="F14" s="55">
        <v>30048000</v>
      </c>
      <c r="G14" s="53"/>
      <c r="H14" s="56"/>
      <c r="I14" s="56"/>
      <c r="J14" s="54"/>
      <c r="K14" s="55"/>
      <c r="L14" s="637">
        <f t="shared" si="0"/>
        <v>30048000</v>
      </c>
      <c r="M14" s="57"/>
      <c r="N14" s="207"/>
    </row>
    <row r="15" spans="1:14" s="201" customFormat="1" ht="12.75">
      <c r="A15" s="52"/>
      <c r="B15" s="903" t="s">
        <v>885</v>
      </c>
      <c r="C15" s="904" t="s">
        <v>755</v>
      </c>
      <c r="D15" s="53"/>
      <c r="E15" s="54"/>
      <c r="F15" s="55">
        <v>100000</v>
      </c>
      <c r="G15" s="53"/>
      <c r="H15" s="56"/>
      <c r="I15" s="56"/>
      <c r="J15" s="54"/>
      <c r="K15" s="55"/>
      <c r="L15" s="637">
        <f t="shared" si="0"/>
        <v>100000</v>
      </c>
      <c r="M15" s="57"/>
      <c r="N15" s="207"/>
    </row>
    <row r="16" spans="1:14" s="201" customFormat="1" ht="12.75">
      <c r="A16" s="52"/>
      <c r="B16" s="903" t="s">
        <v>886</v>
      </c>
      <c r="C16" s="904" t="s">
        <v>756</v>
      </c>
      <c r="D16" s="53"/>
      <c r="E16" s="54"/>
      <c r="F16" s="55">
        <v>15052370</v>
      </c>
      <c r="G16" s="53"/>
      <c r="H16" s="56"/>
      <c r="I16" s="56"/>
      <c r="J16" s="54"/>
      <c r="K16" s="55"/>
      <c r="L16" s="637">
        <f t="shared" si="0"/>
        <v>15052370</v>
      </c>
      <c r="M16" s="200"/>
      <c r="N16" s="207"/>
    </row>
    <row r="17" spans="1:14" s="201" customFormat="1" ht="12.75">
      <c r="A17" s="193"/>
      <c r="B17" s="194" t="s">
        <v>887</v>
      </c>
      <c r="C17" s="202" t="s">
        <v>231</v>
      </c>
      <c r="D17" s="196"/>
      <c r="E17" s="197"/>
      <c r="F17" s="198">
        <v>16560564</v>
      </c>
      <c r="G17" s="196"/>
      <c r="H17" s="199"/>
      <c r="I17" s="199"/>
      <c r="J17" s="197"/>
      <c r="K17" s="198"/>
      <c r="L17" s="636">
        <f>F17+K17</f>
        <v>16560564</v>
      </c>
      <c r="M17" s="200"/>
      <c r="N17" s="207"/>
    </row>
    <row r="18" spans="1:14" ht="12.75">
      <c r="A18" s="193"/>
      <c r="B18" s="194" t="s">
        <v>888</v>
      </c>
      <c r="C18" s="202" t="s">
        <v>207</v>
      </c>
      <c r="D18" s="196">
        <v>300</v>
      </c>
      <c r="E18" s="197">
        <v>2550</v>
      </c>
      <c r="F18" s="198">
        <f>D18*E18</f>
        <v>765000</v>
      </c>
      <c r="G18" s="196"/>
      <c r="H18" s="199"/>
      <c r="I18" s="199"/>
      <c r="J18" s="197"/>
      <c r="K18" s="198"/>
      <c r="L18" s="636">
        <f>F18+K18</f>
        <v>765000</v>
      </c>
      <c r="M18" s="200"/>
      <c r="N18" s="207"/>
    </row>
    <row r="19" spans="1:14" s="201" customFormat="1" ht="12.75">
      <c r="A19" s="193"/>
      <c r="B19" s="194" t="s">
        <v>889</v>
      </c>
      <c r="C19" s="202" t="s">
        <v>880</v>
      </c>
      <c r="D19" s="196"/>
      <c r="E19" s="197"/>
      <c r="F19" s="198">
        <v>396113</v>
      </c>
      <c r="G19" s="196"/>
      <c r="H19" s="199"/>
      <c r="I19" s="199"/>
      <c r="J19" s="197"/>
      <c r="K19" s="198">
        <v>123444</v>
      </c>
      <c r="L19" s="636">
        <f>F19+K19</f>
        <v>519557</v>
      </c>
      <c r="M19" s="784"/>
      <c r="N19" s="207"/>
    </row>
    <row r="20" spans="1:14" ht="12.75">
      <c r="A20" s="776"/>
      <c r="B20" s="777"/>
      <c r="C20" s="778" t="s">
        <v>1107</v>
      </c>
      <c r="D20" s="779"/>
      <c r="E20" s="780"/>
      <c r="F20" s="781">
        <v>3628771</v>
      </c>
      <c r="G20" s="779"/>
      <c r="H20" s="782"/>
      <c r="I20" s="782"/>
      <c r="J20" s="780"/>
      <c r="K20" s="781">
        <v>1330579</v>
      </c>
      <c r="L20" s="783">
        <f>F20+K20</f>
        <v>4959350</v>
      </c>
      <c r="M20" s="57"/>
      <c r="N20" s="681"/>
    </row>
    <row r="21" spans="1:14" ht="25.5">
      <c r="A21" s="209" t="s">
        <v>757</v>
      </c>
      <c r="B21" s="216"/>
      <c r="C21" s="211" t="s">
        <v>232</v>
      </c>
      <c r="D21" s="217"/>
      <c r="E21" s="218"/>
      <c r="F21" s="219"/>
      <c r="G21" s="217"/>
      <c r="H21" s="220"/>
      <c r="I21" s="220"/>
      <c r="J21" s="218"/>
      <c r="K21" s="219">
        <f>K22+K26+K27+K28</f>
        <v>130224433.33333333</v>
      </c>
      <c r="L21" s="633">
        <f>F21+K21</f>
        <v>130224433.33333333</v>
      </c>
      <c r="M21" s="200"/>
      <c r="N21" s="207"/>
    </row>
    <row r="22" spans="1:14" ht="25.5">
      <c r="A22" s="206"/>
      <c r="B22" s="194" t="s">
        <v>759</v>
      </c>
      <c r="C22" s="195" t="s">
        <v>233</v>
      </c>
      <c r="D22" s="196"/>
      <c r="E22" s="197"/>
      <c r="F22" s="198"/>
      <c r="G22" s="196"/>
      <c r="H22" s="199"/>
      <c r="I22" s="199"/>
      <c r="J22" s="197"/>
      <c r="K22" s="198">
        <f>SUM(K23:K25)</f>
        <v>110979100</v>
      </c>
      <c r="L22" s="636">
        <f>SUM(K22,F22)</f>
        <v>110979100</v>
      </c>
      <c r="M22" s="57"/>
      <c r="N22" s="207"/>
    </row>
    <row r="23" spans="1:14" s="201" customFormat="1" ht="18" customHeight="1">
      <c r="A23" s="52"/>
      <c r="B23" s="903" t="s">
        <v>762</v>
      </c>
      <c r="C23" s="904" t="s">
        <v>761</v>
      </c>
      <c r="D23" s="53"/>
      <c r="E23" s="54"/>
      <c r="F23" s="55"/>
      <c r="G23" s="53">
        <v>20</v>
      </c>
      <c r="H23" s="56">
        <v>4152000</v>
      </c>
      <c r="I23" s="580">
        <v>18.9</v>
      </c>
      <c r="J23" s="54">
        <v>4152000</v>
      </c>
      <c r="K23" s="55">
        <f>(G23/12*8*H23)+(I23/12*4*J23)</f>
        <v>81517600</v>
      </c>
      <c r="L23" s="637">
        <f aca="true" t="shared" si="1" ref="L23:L43">F23+K23</f>
        <v>81517600</v>
      </c>
      <c r="M23" s="57"/>
      <c r="N23" s="207"/>
    </row>
    <row r="24" spans="1:14" s="201" customFormat="1" ht="18" customHeight="1">
      <c r="A24" s="52"/>
      <c r="B24" s="903" t="s">
        <v>763</v>
      </c>
      <c r="C24" s="904" t="s">
        <v>234</v>
      </c>
      <c r="D24" s="53"/>
      <c r="E24" s="54"/>
      <c r="F24" s="55"/>
      <c r="G24" s="53">
        <v>16</v>
      </c>
      <c r="H24" s="56">
        <v>1800000</v>
      </c>
      <c r="I24" s="56">
        <v>16</v>
      </c>
      <c r="J24" s="54">
        <v>1800000</v>
      </c>
      <c r="K24" s="55">
        <f>(G24/12*8*H24)+(I24/12*4*J24)</f>
        <v>28800000</v>
      </c>
      <c r="L24" s="637">
        <f t="shared" si="1"/>
        <v>28800000</v>
      </c>
      <c r="M24" s="57"/>
      <c r="N24" s="207"/>
    </row>
    <row r="25" spans="1:14" s="201" customFormat="1" ht="26.25" customHeight="1">
      <c r="A25" s="52"/>
      <c r="B25" s="903" t="s">
        <v>235</v>
      </c>
      <c r="C25" s="904" t="s">
        <v>890</v>
      </c>
      <c r="D25" s="53"/>
      <c r="E25" s="54"/>
      <c r="F25" s="55"/>
      <c r="G25" s="53"/>
      <c r="H25" s="56"/>
      <c r="I25" s="580">
        <v>18.9</v>
      </c>
      <c r="J25" s="54">
        <v>35000</v>
      </c>
      <c r="K25" s="55">
        <f>I25*J25</f>
        <v>661500</v>
      </c>
      <c r="L25" s="637">
        <f t="shared" si="1"/>
        <v>661500</v>
      </c>
      <c r="M25" s="200"/>
      <c r="N25" s="207"/>
    </row>
    <row r="26" spans="1:14" ht="12.75">
      <c r="A26" s="193"/>
      <c r="B26" s="194" t="s">
        <v>764</v>
      </c>
      <c r="C26" s="202" t="s">
        <v>765</v>
      </c>
      <c r="D26" s="208"/>
      <c r="E26" s="203"/>
      <c r="F26" s="198"/>
      <c r="G26" s="579">
        <v>222</v>
      </c>
      <c r="H26" s="199">
        <v>70000</v>
      </c>
      <c r="I26" s="581">
        <v>205</v>
      </c>
      <c r="J26" s="197">
        <v>70000</v>
      </c>
      <c r="K26" s="198">
        <f>(G26/12*8*H26)+(I26/12*4*J26)</f>
        <v>15143333.333333332</v>
      </c>
      <c r="L26" s="636">
        <f t="shared" si="1"/>
        <v>15143333.333333332</v>
      </c>
      <c r="M26" s="200"/>
      <c r="N26" s="207"/>
    </row>
    <row r="27" spans="1:14" ht="12.75">
      <c r="A27" s="193"/>
      <c r="B27" s="194" t="s">
        <v>891</v>
      </c>
      <c r="C27" s="202" t="s">
        <v>892</v>
      </c>
      <c r="D27" s="683"/>
      <c r="E27" s="684"/>
      <c r="F27" s="198"/>
      <c r="G27" s="579"/>
      <c r="H27" s="199"/>
      <c r="I27" s="581"/>
      <c r="J27" s="197"/>
      <c r="K27" s="198"/>
      <c r="L27" s="636">
        <f>F27+K27</f>
        <v>0</v>
      </c>
      <c r="M27" s="200"/>
      <c r="N27" s="207"/>
    </row>
    <row r="28" spans="1:14" s="201" customFormat="1" ht="25.5">
      <c r="A28" s="193"/>
      <c r="B28" s="194" t="s">
        <v>893</v>
      </c>
      <c r="C28" s="195" t="s">
        <v>894</v>
      </c>
      <c r="D28" s="208"/>
      <c r="E28" s="203"/>
      <c r="F28" s="198"/>
      <c r="G28" s="579"/>
      <c r="H28" s="199"/>
      <c r="I28" s="581"/>
      <c r="J28" s="197"/>
      <c r="K28" s="198">
        <f>SUM(K29:K30)</f>
        <v>4102000</v>
      </c>
      <c r="L28" s="636">
        <f>F28+K28</f>
        <v>4102000</v>
      </c>
      <c r="M28" s="57"/>
      <c r="N28" s="207"/>
    </row>
    <row r="29" spans="1:14" s="201" customFormat="1" ht="18" customHeight="1">
      <c r="A29" s="52"/>
      <c r="B29" s="903" t="s">
        <v>895</v>
      </c>
      <c r="C29" s="904" t="s">
        <v>896</v>
      </c>
      <c r="D29" s="53"/>
      <c r="E29" s="54"/>
      <c r="F29" s="55"/>
      <c r="G29" s="53"/>
      <c r="H29" s="56"/>
      <c r="I29" s="56">
        <v>8</v>
      </c>
      <c r="J29" s="54">
        <v>352000</v>
      </c>
      <c r="K29" s="55">
        <f>I29*J29</f>
        <v>2816000</v>
      </c>
      <c r="L29" s="637">
        <f>SUM(K29)</f>
        <v>2816000</v>
      </c>
      <c r="M29" s="57"/>
      <c r="N29" s="207"/>
    </row>
    <row r="30" spans="1:14" s="201" customFormat="1" ht="25.5" customHeight="1">
      <c r="A30" s="52"/>
      <c r="B30" s="903" t="s">
        <v>897</v>
      </c>
      <c r="C30" s="904" t="s">
        <v>898</v>
      </c>
      <c r="D30" s="53"/>
      <c r="E30" s="54"/>
      <c r="F30" s="55"/>
      <c r="G30" s="53"/>
      <c r="H30" s="56"/>
      <c r="I30" s="56">
        <v>1</v>
      </c>
      <c r="J30" s="54">
        <v>1286000</v>
      </c>
      <c r="K30" s="55">
        <f>I30*J30</f>
        <v>1286000</v>
      </c>
      <c r="L30" s="637">
        <f>SUM(K30)</f>
        <v>1286000</v>
      </c>
      <c r="M30" s="200"/>
      <c r="N30" s="681"/>
    </row>
    <row r="31" spans="1:14" s="201" customFormat="1" ht="18" customHeight="1">
      <c r="A31" s="209" t="s">
        <v>766</v>
      </c>
      <c r="B31" s="222"/>
      <c r="C31" s="211" t="s">
        <v>236</v>
      </c>
      <c r="D31" s="223"/>
      <c r="E31" s="224"/>
      <c r="F31" s="219">
        <f>SUM(F32:F34,F37)</f>
        <v>182287681</v>
      </c>
      <c r="G31" s="225"/>
      <c r="H31" s="221"/>
      <c r="I31" s="226"/>
      <c r="J31" s="224"/>
      <c r="K31" s="219">
        <f>SUM(K32:K34,K37)</f>
        <v>0</v>
      </c>
      <c r="L31" s="633">
        <f t="shared" si="1"/>
        <v>182287681</v>
      </c>
      <c r="M31" s="200"/>
      <c r="N31" s="207"/>
    </row>
    <row r="32" spans="1:14" ht="12.75">
      <c r="A32" s="193"/>
      <c r="B32" s="194" t="s">
        <v>767</v>
      </c>
      <c r="C32" s="202" t="s">
        <v>899</v>
      </c>
      <c r="D32" s="208"/>
      <c r="E32" s="203"/>
      <c r="F32" s="198">
        <f>35436000+1721000</f>
        <v>37157000</v>
      </c>
      <c r="G32" s="579"/>
      <c r="H32" s="199"/>
      <c r="I32" s="581"/>
      <c r="J32" s="197"/>
      <c r="K32" s="198"/>
      <c r="L32" s="636">
        <f t="shared" si="1"/>
        <v>37157000</v>
      </c>
      <c r="M32" s="200"/>
      <c r="N32" s="207"/>
    </row>
    <row r="33" spans="1:14" ht="12.75">
      <c r="A33" s="193"/>
      <c r="B33" s="194" t="s">
        <v>768</v>
      </c>
      <c r="C33" s="202" t="s">
        <v>900</v>
      </c>
      <c r="D33" s="208"/>
      <c r="E33" s="203"/>
      <c r="F33" s="198">
        <v>77155970</v>
      </c>
      <c r="G33" s="579"/>
      <c r="H33" s="199"/>
      <c r="I33" s="581"/>
      <c r="J33" s="197"/>
      <c r="K33" s="198"/>
      <c r="L33" s="636">
        <f t="shared" si="1"/>
        <v>77155970</v>
      </c>
      <c r="M33" s="200"/>
      <c r="N33" s="207"/>
    </row>
    <row r="34" spans="1:14" s="201" customFormat="1" ht="18" customHeight="1">
      <c r="A34" s="193"/>
      <c r="B34" s="194" t="s">
        <v>769</v>
      </c>
      <c r="C34" s="202" t="s">
        <v>770</v>
      </c>
      <c r="D34" s="208"/>
      <c r="E34" s="203"/>
      <c r="F34" s="198">
        <f>SUM(F35:F36)</f>
        <v>7275900</v>
      </c>
      <c r="G34" s="579"/>
      <c r="H34" s="199"/>
      <c r="I34" s="581"/>
      <c r="J34" s="197"/>
      <c r="K34" s="198"/>
      <c r="L34" s="636">
        <f t="shared" si="1"/>
        <v>7275900</v>
      </c>
      <c r="M34" s="57"/>
      <c r="N34" s="57"/>
    </row>
    <row r="35" spans="1:14" ht="16.5" customHeight="1">
      <c r="A35" s="52"/>
      <c r="B35" s="903" t="s">
        <v>237</v>
      </c>
      <c r="C35" s="904" t="s">
        <v>740</v>
      </c>
      <c r="D35" s="53"/>
      <c r="E35" s="54"/>
      <c r="F35" s="55">
        <v>3637950</v>
      </c>
      <c r="G35" s="61"/>
      <c r="H35" s="56"/>
      <c r="I35" s="60"/>
      <c r="J35" s="54"/>
      <c r="K35" s="55"/>
      <c r="L35" s="637">
        <f t="shared" si="1"/>
        <v>3637950</v>
      </c>
      <c r="M35" s="57"/>
      <c r="N35" s="57"/>
    </row>
    <row r="36" spans="1:14" ht="12.75">
      <c r="A36" s="52"/>
      <c r="B36" s="903" t="s">
        <v>238</v>
      </c>
      <c r="C36" s="904" t="s">
        <v>771</v>
      </c>
      <c r="D36" s="53"/>
      <c r="E36" s="54"/>
      <c r="F36" s="55">
        <v>3637950</v>
      </c>
      <c r="G36" s="61"/>
      <c r="H36" s="56"/>
      <c r="I36" s="60"/>
      <c r="J36" s="54"/>
      <c r="K36" s="55"/>
      <c r="L36" s="637">
        <f t="shared" si="1"/>
        <v>3637950</v>
      </c>
      <c r="M36" s="200"/>
      <c r="N36" s="207"/>
    </row>
    <row r="37" spans="1:14" s="201" customFormat="1" ht="12.75">
      <c r="A37" s="193"/>
      <c r="B37" s="194" t="s">
        <v>239</v>
      </c>
      <c r="C37" s="202" t="s">
        <v>240</v>
      </c>
      <c r="D37" s="208"/>
      <c r="E37" s="203"/>
      <c r="F37" s="198">
        <f>SUM(F38:F39)</f>
        <v>60698811</v>
      </c>
      <c r="G37" s="579"/>
      <c r="H37" s="199"/>
      <c r="I37" s="581"/>
      <c r="J37" s="197"/>
      <c r="K37" s="198">
        <f>SUM(K38:K39)</f>
        <v>0</v>
      </c>
      <c r="L37" s="636">
        <f t="shared" si="1"/>
        <v>60698811</v>
      </c>
      <c r="M37" s="57"/>
      <c r="N37" s="207"/>
    </row>
    <row r="38" spans="1:14" s="201" customFormat="1" ht="18" customHeight="1">
      <c r="A38" s="52"/>
      <c r="B38" s="903" t="s">
        <v>902</v>
      </c>
      <c r="C38" s="905" t="s">
        <v>901</v>
      </c>
      <c r="D38" s="582">
        <v>13.61</v>
      </c>
      <c r="E38" s="59">
        <v>1632000</v>
      </c>
      <c r="F38" s="55">
        <f>E38*D38</f>
        <v>22211520</v>
      </c>
      <c r="G38" s="578"/>
      <c r="H38" s="56"/>
      <c r="I38" s="580"/>
      <c r="J38" s="54"/>
      <c r="K38" s="55"/>
      <c r="L38" s="906">
        <f t="shared" si="1"/>
        <v>22211520</v>
      </c>
      <c r="M38" s="57"/>
      <c r="N38" s="57"/>
    </row>
    <row r="39" spans="1:14" ht="12.75">
      <c r="A39" s="52"/>
      <c r="B39" s="903" t="s">
        <v>241</v>
      </c>
      <c r="C39" s="905" t="s">
        <v>242</v>
      </c>
      <c r="D39" s="582"/>
      <c r="E39" s="54"/>
      <c r="F39" s="55">
        <v>38487291</v>
      </c>
      <c r="G39" s="53"/>
      <c r="H39" s="56"/>
      <c r="I39" s="56"/>
      <c r="J39" s="54"/>
      <c r="K39" s="55"/>
      <c r="L39" s="906">
        <f t="shared" si="1"/>
        <v>38487291</v>
      </c>
      <c r="M39" s="200"/>
      <c r="N39" s="681"/>
    </row>
    <row r="40" spans="1:14" s="64" customFormat="1" ht="15">
      <c r="A40" s="209" t="s">
        <v>773</v>
      </c>
      <c r="B40" s="222"/>
      <c r="C40" s="211" t="s">
        <v>749</v>
      </c>
      <c r="D40" s="223"/>
      <c r="E40" s="224"/>
      <c r="F40" s="219">
        <f>SUM(F42+F43)</f>
        <v>10915850</v>
      </c>
      <c r="G40" s="225"/>
      <c r="H40" s="221"/>
      <c r="I40" s="226"/>
      <c r="J40" s="224"/>
      <c r="K40" s="219"/>
      <c r="L40" s="633">
        <f t="shared" si="1"/>
        <v>10915850</v>
      </c>
      <c r="M40" s="200"/>
      <c r="N40" s="207"/>
    </row>
    <row r="41" spans="1:14" ht="15" customHeight="1">
      <c r="A41" s="193"/>
      <c r="B41" s="194" t="s">
        <v>905</v>
      </c>
      <c r="C41" s="202" t="s">
        <v>906</v>
      </c>
      <c r="D41" s="208"/>
      <c r="E41" s="203"/>
      <c r="F41" s="198"/>
      <c r="G41" s="579"/>
      <c r="H41" s="199"/>
      <c r="I41" s="581"/>
      <c r="J41" s="197"/>
      <c r="K41" s="198"/>
      <c r="L41" s="636"/>
      <c r="M41" s="57"/>
      <c r="N41" s="57"/>
    </row>
    <row r="42" spans="1:14" s="64" customFormat="1" ht="26.25">
      <c r="A42" s="52"/>
      <c r="B42" s="903" t="s">
        <v>903</v>
      </c>
      <c r="C42" s="905" t="s">
        <v>243</v>
      </c>
      <c r="D42" s="53">
        <v>9210</v>
      </c>
      <c r="E42" s="54">
        <v>1140</v>
      </c>
      <c r="F42" s="55">
        <f>D42*E42</f>
        <v>10499400</v>
      </c>
      <c r="G42" s="63"/>
      <c r="H42" s="62"/>
      <c r="I42" s="60"/>
      <c r="J42" s="59"/>
      <c r="K42" s="55"/>
      <c r="L42" s="637">
        <f t="shared" si="1"/>
        <v>10499400</v>
      </c>
      <c r="M42" s="57"/>
      <c r="N42" s="57"/>
    </row>
    <row r="43" spans="1:14" ht="15">
      <c r="A43" s="785"/>
      <c r="B43" s="903" t="s">
        <v>1108</v>
      </c>
      <c r="C43" s="907" t="s">
        <v>1109</v>
      </c>
      <c r="D43" s="786"/>
      <c r="E43" s="787"/>
      <c r="F43" s="788">
        <v>416450</v>
      </c>
      <c r="G43" s="789"/>
      <c r="H43" s="790"/>
      <c r="I43" s="791"/>
      <c r="J43" s="792"/>
      <c r="K43" s="788"/>
      <c r="L43" s="637">
        <f t="shared" si="1"/>
        <v>416450</v>
      </c>
      <c r="M43" s="798"/>
      <c r="N43" s="799"/>
    </row>
    <row r="44" spans="1:14" ht="15.75" thickBot="1">
      <c r="A44" s="1267" t="s">
        <v>775</v>
      </c>
      <c r="B44" s="1267"/>
      <c r="C44" s="1268"/>
      <c r="D44" s="793" t="s">
        <v>737</v>
      </c>
      <c r="E44" s="794" t="s">
        <v>737</v>
      </c>
      <c r="F44" s="795">
        <f>SUM(F40,F31,F21,F10)</f>
        <v>401123599</v>
      </c>
      <c r="G44" s="793" t="s">
        <v>737</v>
      </c>
      <c r="H44" s="796" t="s">
        <v>737</v>
      </c>
      <c r="I44" s="796" t="s">
        <v>737</v>
      </c>
      <c r="J44" s="794" t="s">
        <v>737</v>
      </c>
      <c r="K44" s="795">
        <f>SUM(K40,K31,K21,K10)</f>
        <v>131678456.33333333</v>
      </c>
      <c r="L44" s="797">
        <f>SUM(L40,L31,L21,L10)</f>
        <v>532802055.3333333</v>
      </c>
      <c r="M44" s="801"/>
      <c r="N44" s="801"/>
    </row>
    <row r="45" spans="1:14" ht="15.75" thickBot="1">
      <c r="A45" s="800"/>
      <c r="B45" s="801"/>
      <c r="C45" s="801"/>
      <c r="D45" s="801"/>
      <c r="E45" s="801"/>
      <c r="F45" s="801"/>
      <c r="G45" s="801"/>
      <c r="H45" s="801"/>
      <c r="I45" s="801"/>
      <c r="J45" s="801"/>
      <c r="K45" s="801"/>
      <c r="L45" s="802"/>
      <c r="M45" s="204"/>
      <c r="N45" s="682"/>
    </row>
    <row r="46" spans="1:14" ht="12.75">
      <c r="A46" s="803" t="s">
        <v>758</v>
      </c>
      <c r="B46" s="804"/>
      <c r="C46" s="805" t="s">
        <v>1110</v>
      </c>
      <c r="D46" s="806"/>
      <c r="E46" s="807"/>
      <c r="F46" s="808">
        <f>SUM(F47:F48)</f>
        <v>2549280</v>
      </c>
      <c r="G46" s="806"/>
      <c r="H46" s="809"/>
      <c r="I46" s="809"/>
      <c r="J46" s="807"/>
      <c r="K46" s="808"/>
      <c r="L46" s="810">
        <f>F46+K46</f>
        <v>2549280</v>
      </c>
      <c r="M46" s="200"/>
      <c r="N46" s="207"/>
    </row>
    <row r="47" spans="1:14" ht="25.5">
      <c r="A47" s="193"/>
      <c r="B47" s="194" t="s">
        <v>1111</v>
      </c>
      <c r="C47" s="195" t="s">
        <v>1112</v>
      </c>
      <c r="D47" s="577"/>
      <c r="E47" s="197"/>
      <c r="F47" s="198">
        <v>1589280</v>
      </c>
      <c r="G47" s="196"/>
      <c r="H47" s="199"/>
      <c r="I47" s="199"/>
      <c r="J47" s="197"/>
      <c r="K47" s="198"/>
      <c r="L47" s="636">
        <f>F47+K47</f>
        <v>1589280</v>
      </c>
      <c r="M47" s="204"/>
      <c r="N47" s="682"/>
    </row>
    <row r="48" spans="1:14" ht="25.5">
      <c r="A48" s="193"/>
      <c r="B48" s="194" t="s">
        <v>1247</v>
      </c>
      <c r="C48" s="195" t="s">
        <v>1248</v>
      </c>
      <c r="D48" s="577"/>
      <c r="E48" s="197"/>
      <c r="F48" s="198">
        <v>960000</v>
      </c>
      <c r="G48" s="196"/>
      <c r="H48" s="199"/>
      <c r="I48" s="199"/>
      <c r="J48" s="197"/>
      <c r="K48" s="198"/>
      <c r="L48" s="636">
        <f>F48+K48</f>
        <v>960000</v>
      </c>
      <c r="M48" s="200"/>
      <c r="N48" s="207"/>
    </row>
    <row r="49" spans="1:14" ht="12.75">
      <c r="A49" s="209" t="s">
        <v>757</v>
      </c>
      <c r="B49" s="210"/>
      <c r="C49" s="211" t="s">
        <v>1113</v>
      </c>
      <c r="D49" s="212"/>
      <c r="E49" s="213"/>
      <c r="F49" s="214">
        <f>SUM(F50)</f>
        <v>12749996</v>
      </c>
      <c r="G49" s="212"/>
      <c r="H49" s="215"/>
      <c r="I49" s="215"/>
      <c r="J49" s="213"/>
      <c r="K49" s="214"/>
      <c r="L49" s="635">
        <f>F49+K49</f>
        <v>12749996</v>
      </c>
      <c r="M49" s="200"/>
      <c r="N49" s="207"/>
    </row>
    <row r="50" spans="1:14" ht="12.75">
      <c r="A50" s="193"/>
      <c r="B50" s="194" t="s">
        <v>1114</v>
      </c>
      <c r="C50" s="195" t="s">
        <v>1115</v>
      </c>
      <c r="D50" s="577"/>
      <c r="E50" s="197"/>
      <c r="F50" s="198">
        <f>SUM(F51:F51)</f>
        <v>12749996</v>
      </c>
      <c r="G50" s="196"/>
      <c r="H50" s="199"/>
      <c r="I50" s="199"/>
      <c r="J50" s="197"/>
      <c r="K50" s="198"/>
      <c r="L50" s="636">
        <f>SUM(K50,F50)</f>
        <v>12749996</v>
      </c>
      <c r="M50" s="57"/>
      <c r="N50" s="57"/>
    </row>
    <row r="51" spans="1:14" ht="12.75">
      <c r="A51" s="52"/>
      <c r="B51" s="903" t="s">
        <v>1116</v>
      </c>
      <c r="C51" s="904" t="s">
        <v>1117</v>
      </c>
      <c r="D51" s="53"/>
      <c r="E51" s="54"/>
      <c r="F51" s="55">
        <v>12749996</v>
      </c>
      <c r="G51" s="61"/>
      <c r="H51" s="56"/>
      <c r="I51" s="60"/>
      <c r="J51" s="54"/>
      <c r="K51" s="55"/>
      <c r="L51" s="637">
        <f>F51+K51</f>
        <v>12749996</v>
      </c>
      <c r="M51" s="57"/>
      <c r="N51" s="57"/>
    </row>
    <row r="52" spans="1:14" ht="15.75" thickBot="1">
      <c r="A52" s="1267" t="s">
        <v>1118</v>
      </c>
      <c r="B52" s="1267"/>
      <c r="C52" s="1268"/>
      <c r="D52" s="793" t="s">
        <v>737</v>
      </c>
      <c r="E52" s="794" t="s">
        <v>737</v>
      </c>
      <c r="F52" s="795">
        <f>SUM(F46+F49)</f>
        <v>15299276</v>
      </c>
      <c r="G52" s="793" t="s">
        <v>737</v>
      </c>
      <c r="H52" s="796" t="s">
        <v>737</v>
      </c>
      <c r="I52" s="796" t="s">
        <v>737</v>
      </c>
      <c r="J52" s="794" t="s">
        <v>737</v>
      </c>
      <c r="K52" s="795">
        <f>SUM(K46+K49)</f>
        <v>0</v>
      </c>
      <c r="L52" s="797">
        <f>SUM(L46+L49)</f>
        <v>15299276</v>
      </c>
      <c r="M52" s="200"/>
      <c r="N52" s="207"/>
    </row>
    <row r="53" spans="1:14" ht="15.75" thickBot="1">
      <c r="A53" s="800"/>
      <c r="B53" s="801"/>
      <c r="C53" s="801"/>
      <c r="D53" s="801"/>
      <c r="E53" s="801"/>
      <c r="F53" s="801"/>
      <c r="G53" s="801"/>
      <c r="H53" s="801"/>
      <c r="I53" s="801"/>
      <c r="J53" s="801"/>
      <c r="K53" s="801"/>
      <c r="L53" s="802"/>
      <c r="M53" s="200"/>
      <c r="N53" s="207"/>
    </row>
    <row r="54" spans="1:14" ht="17.25" thickBot="1">
      <c r="A54" s="1263" t="s">
        <v>244</v>
      </c>
      <c r="B54" s="1263"/>
      <c r="C54" s="1264"/>
      <c r="D54" s="811" t="s">
        <v>737</v>
      </c>
      <c r="E54" s="812" t="s">
        <v>737</v>
      </c>
      <c r="F54" s="813">
        <f>SUM(F44+F52)</f>
        <v>416422875</v>
      </c>
      <c r="G54" s="811" t="s">
        <v>737</v>
      </c>
      <c r="H54" s="814" t="s">
        <v>737</v>
      </c>
      <c r="I54" s="814" t="s">
        <v>737</v>
      </c>
      <c r="J54" s="812" t="s">
        <v>737</v>
      </c>
      <c r="K54" s="813">
        <f>SUM(K44+K52)</f>
        <v>131678456.33333333</v>
      </c>
      <c r="L54" s="813">
        <f>SUM(L44+L52)</f>
        <v>548101331.3333333</v>
      </c>
      <c r="M54" s="798"/>
      <c r="N54" s="799"/>
    </row>
    <row r="55" spans="1:14" ht="15">
      <c r="A55" s="800"/>
      <c r="B55" s="801"/>
      <c r="C55" s="801"/>
      <c r="D55" s="801"/>
      <c r="E55" s="801"/>
      <c r="F55" s="801"/>
      <c r="G55" s="801"/>
      <c r="H55" s="801"/>
      <c r="I55" s="801"/>
      <c r="J55" s="801"/>
      <c r="K55" s="801"/>
      <c r="L55" s="802"/>
      <c r="M55" s="801"/>
      <c r="N55" s="801"/>
    </row>
    <row r="56" spans="2:3" ht="15">
      <c r="B56" s="908" t="s">
        <v>1251</v>
      </c>
      <c r="C56" s="909"/>
    </row>
    <row r="57" spans="2:3" ht="15">
      <c r="B57" s="910" t="s">
        <v>1252</v>
      </c>
      <c r="C57" s="909"/>
    </row>
    <row r="58" spans="2:6" ht="15">
      <c r="B58" s="818" t="s">
        <v>1250</v>
      </c>
      <c r="C58" s="819"/>
      <c r="D58" s="819"/>
      <c r="E58" s="884"/>
      <c r="F58" s="816"/>
    </row>
  </sheetData>
  <sheetProtection/>
  <mergeCells count="12">
    <mergeCell ref="A54:C54"/>
    <mergeCell ref="L7:L8"/>
    <mergeCell ref="A44:C44"/>
    <mergeCell ref="A52:C52"/>
    <mergeCell ref="A4:K4"/>
    <mergeCell ref="A7:C7"/>
    <mergeCell ref="D7:F7"/>
    <mergeCell ref="G7:K7"/>
    <mergeCell ref="A9:B9"/>
    <mergeCell ref="A2:K2"/>
    <mergeCell ref="A3:K3"/>
    <mergeCell ref="A8:B8"/>
  </mergeCells>
  <printOptions horizontalCentered="1" verticalCentered="1"/>
  <pageMargins left="0.1968503937007874" right="0.1968503937007874" top="0.5118110236220472" bottom="0.5118110236220472" header="0.5118110236220472" footer="0.5118110236220472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165"/>
  <sheetViews>
    <sheetView zoomScalePageLayoutView="0" workbookViewId="0" topLeftCell="A1">
      <selection activeCell="F163" sqref="F163"/>
    </sheetView>
  </sheetViews>
  <sheetFormatPr defaultColWidth="9.00390625" defaultRowHeight="12.75"/>
  <cols>
    <col min="1" max="1" width="6.125" style="0" customWidth="1"/>
    <col min="5" max="5" width="40.375" style="0" customWidth="1"/>
    <col min="6" max="6" width="13.625" style="0" customWidth="1"/>
    <col min="7" max="7" width="13.125" style="0" customWidth="1"/>
    <col min="8" max="8" width="14.875" style="0" customWidth="1"/>
    <col min="9" max="9" width="12.625" style="0" customWidth="1"/>
  </cols>
  <sheetData>
    <row r="1" spans="1:9" s="4" customFormat="1" ht="14.25">
      <c r="A1" s="949" t="s">
        <v>1119</v>
      </c>
      <c r="B1" s="950"/>
      <c r="C1" s="950"/>
      <c r="D1" s="950"/>
      <c r="E1" s="950"/>
      <c r="F1" s="950"/>
      <c r="G1" s="950"/>
      <c r="H1" s="950"/>
      <c r="I1" s="950"/>
    </row>
    <row r="2" spans="1:9" s="4" customFormat="1" ht="9.75" customHeight="1">
      <c r="A2" s="685"/>
      <c r="B2" s="686"/>
      <c r="C2" s="686"/>
      <c r="D2" s="686"/>
      <c r="E2" s="686"/>
      <c r="F2" s="686"/>
      <c r="G2" s="686"/>
      <c r="H2" s="686"/>
      <c r="I2" s="686"/>
    </row>
    <row r="3" spans="1:9" s="4" customFormat="1" ht="16.5">
      <c r="A3" s="948" t="s">
        <v>909</v>
      </c>
      <c r="B3" s="948"/>
      <c r="C3" s="948"/>
      <c r="D3" s="948"/>
      <c r="E3" s="948"/>
      <c r="F3" s="948"/>
      <c r="G3" s="948"/>
      <c r="H3" s="948"/>
      <c r="I3" s="948"/>
    </row>
    <row r="4" spans="1:9" s="4" customFormat="1" ht="12.75">
      <c r="A4" s="685"/>
      <c r="B4" s="686"/>
      <c r="C4" s="686"/>
      <c r="D4" s="686"/>
      <c r="E4" s="686"/>
      <c r="F4" s="686"/>
      <c r="G4" s="686"/>
      <c r="H4" s="686"/>
      <c r="I4" s="686"/>
    </row>
    <row r="5" spans="1:9" ht="48" customHeight="1">
      <c r="A5" s="940" t="s">
        <v>1</v>
      </c>
      <c r="B5" s="941"/>
      <c r="C5" s="941"/>
      <c r="D5" s="941"/>
      <c r="E5" s="942"/>
      <c r="F5" s="687" t="s">
        <v>2</v>
      </c>
      <c r="G5" s="687" t="s">
        <v>3</v>
      </c>
      <c r="H5" s="687" t="s">
        <v>877</v>
      </c>
      <c r="I5" s="687" t="s">
        <v>614</v>
      </c>
    </row>
    <row r="6" spans="1:9" ht="15">
      <c r="A6" s="688" t="s">
        <v>700</v>
      </c>
      <c r="B6" s="943" t="s">
        <v>701</v>
      </c>
      <c r="C6" s="944"/>
      <c r="D6" s="944"/>
      <c r="E6" s="945"/>
      <c r="F6" s="689" t="s">
        <v>702</v>
      </c>
      <c r="G6" s="689" t="s">
        <v>703</v>
      </c>
      <c r="H6" s="689" t="s">
        <v>704</v>
      </c>
      <c r="I6" s="689" t="s">
        <v>705</v>
      </c>
    </row>
    <row r="7" spans="1:9" ht="15" customHeight="1">
      <c r="A7" s="690" t="s">
        <v>4</v>
      </c>
      <c r="B7" s="939" t="s">
        <v>573</v>
      </c>
      <c r="C7" s="939"/>
      <c r="D7" s="939"/>
      <c r="E7" s="939"/>
      <c r="F7" s="691">
        <f>SUM(F8+F18)</f>
        <v>164395</v>
      </c>
      <c r="G7" s="691">
        <f>SUM(G8+G18)</f>
        <v>75312</v>
      </c>
      <c r="H7" s="691">
        <f>SUM(H8+H18)</f>
        <v>117428</v>
      </c>
      <c r="I7" s="691">
        <f>SUM(F7:H7)</f>
        <v>357135</v>
      </c>
    </row>
    <row r="8" spans="1:9" ht="12.75" hidden="1">
      <c r="A8" s="692"/>
      <c r="B8" s="692" t="s">
        <v>5</v>
      </c>
      <c r="C8" s="927" t="s">
        <v>6</v>
      </c>
      <c r="D8" s="927"/>
      <c r="E8" s="927"/>
      <c r="F8" s="693">
        <f>SUM(F9:F16)</f>
        <v>142495</v>
      </c>
      <c r="G8" s="693">
        <f>SUM(G9:G16)</f>
        <v>75112</v>
      </c>
      <c r="H8" s="693">
        <f>SUM(H9:H16)</f>
        <v>116978</v>
      </c>
      <c r="I8" s="694">
        <f>SUM(F8:H8)</f>
        <v>334585</v>
      </c>
    </row>
    <row r="9" spans="1:9" ht="0.75" customHeight="1" hidden="1">
      <c r="A9" s="695"/>
      <c r="B9" s="695"/>
      <c r="C9" s="695"/>
      <c r="D9" s="695" t="s">
        <v>7</v>
      </c>
      <c r="E9" s="695" t="s">
        <v>8</v>
      </c>
      <c r="F9" s="696">
        <f>199487-75649+551</f>
        <v>124389</v>
      </c>
      <c r="G9" s="696">
        <f>66563</f>
        <v>66563</v>
      </c>
      <c r="H9" s="696">
        <v>114872</v>
      </c>
      <c r="I9" s="694">
        <f aca="true" t="shared" si="0" ref="I9:I17">SUM(F9:H9)</f>
        <v>305824</v>
      </c>
    </row>
    <row r="10" spans="1:9" ht="12.75" hidden="1">
      <c r="A10" s="695"/>
      <c r="B10" s="695"/>
      <c r="C10" s="695"/>
      <c r="D10" s="695" t="s">
        <v>922</v>
      </c>
      <c r="E10" s="695" t="s">
        <v>923</v>
      </c>
      <c r="F10" s="696"/>
      <c r="G10" s="696">
        <v>464</v>
      </c>
      <c r="H10" s="696"/>
      <c r="I10" s="694">
        <f t="shared" si="0"/>
        <v>464</v>
      </c>
    </row>
    <row r="11" spans="1:9" ht="12.75" hidden="1">
      <c r="A11" s="695"/>
      <c r="B11" s="695"/>
      <c r="C11" s="695"/>
      <c r="D11" s="695" t="s">
        <v>9</v>
      </c>
      <c r="E11" s="695" t="s">
        <v>10</v>
      </c>
      <c r="F11" s="696">
        <f>9785-302</f>
        <v>9483</v>
      </c>
      <c r="G11" s="696"/>
      <c r="H11" s="696"/>
      <c r="I11" s="694">
        <f t="shared" si="0"/>
        <v>9483</v>
      </c>
    </row>
    <row r="12" spans="1:9" ht="12.75" hidden="1">
      <c r="A12" s="695"/>
      <c r="B12" s="695"/>
      <c r="C12" s="695"/>
      <c r="D12" s="695" t="s">
        <v>11</v>
      </c>
      <c r="E12" s="695" t="s">
        <v>12</v>
      </c>
      <c r="F12" s="696">
        <v>784</v>
      </c>
      <c r="G12" s="696">
        <v>681</v>
      </c>
      <c r="H12" s="696"/>
      <c r="I12" s="694">
        <f t="shared" si="0"/>
        <v>1465</v>
      </c>
    </row>
    <row r="13" spans="1:9" ht="12.75" hidden="1">
      <c r="A13" s="695"/>
      <c r="B13" s="695"/>
      <c r="C13" s="695"/>
      <c r="D13" s="695" t="s">
        <v>13</v>
      </c>
      <c r="E13" s="695" t="s">
        <v>14</v>
      </c>
      <c r="F13" s="696"/>
      <c r="G13" s="696">
        <v>5200</v>
      </c>
      <c r="H13" s="696"/>
      <c r="I13" s="694">
        <f t="shared" si="0"/>
        <v>5200</v>
      </c>
    </row>
    <row r="14" spans="1:9" ht="0.75" customHeight="1" hidden="1">
      <c r="A14" s="695"/>
      <c r="B14" s="695"/>
      <c r="C14" s="695"/>
      <c r="D14" s="695" t="s">
        <v>15</v>
      </c>
      <c r="E14" s="695" t="s">
        <v>16</v>
      </c>
      <c r="F14" s="696">
        <v>48</v>
      </c>
      <c r="G14" s="696">
        <v>100</v>
      </c>
      <c r="H14" s="696">
        <v>250</v>
      </c>
      <c r="I14" s="694">
        <f t="shared" si="0"/>
        <v>398</v>
      </c>
    </row>
    <row r="15" spans="1:9" ht="1.5" customHeight="1" hidden="1">
      <c r="A15" s="695"/>
      <c r="B15" s="695"/>
      <c r="C15" s="695"/>
      <c r="D15" s="695" t="s">
        <v>17</v>
      </c>
      <c r="E15" s="695" t="s">
        <v>18</v>
      </c>
      <c r="F15" s="696">
        <v>658</v>
      </c>
      <c r="G15" s="696">
        <v>626</v>
      </c>
      <c r="H15" s="696">
        <v>561</v>
      </c>
      <c r="I15" s="694">
        <f t="shared" si="0"/>
        <v>1845</v>
      </c>
    </row>
    <row r="16" spans="1:9" ht="12.75" hidden="1">
      <c r="A16" s="695"/>
      <c r="B16" s="695"/>
      <c r="C16" s="695"/>
      <c r="D16" s="695" t="s">
        <v>19</v>
      </c>
      <c r="E16" s="695" t="s">
        <v>20</v>
      </c>
      <c r="F16" s="696">
        <f>5341+47+54+55+21+428+664+298+197+28</f>
        <v>7133</v>
      </c>
      <c r="G16" s="696">
        <f>100+135+1243</f>
        <v>1478</v>
      </c>
      <c r="H16" s="696">
        <f>150+97+1048</f>
        <v>1295</v>
      </c>
      <c r="I16" s="694">
        <f t="shared" si="0"/>
        <v>9906</v>
      </c>
    </row>
    <row r="17" spans="1:9" ht="1.5" customHeight="1" hidden="1">
      <c r="A17" s="697"/>
      <c r="B17" s="697"/>
      <c r="C17" s="698"/>
      <c r="D17" s="699" t="s">
        <v>21</v>
      </c>
      <c r="E17" s="699" t="s">
        <v>22</v>
      </c>
      <c r="F17" s="700">
        <v>108</v>
      </c>
      <c r="G17" s="700"/>
      <c r="H17" s="700"/>
      <c r="I17" s="700">
        <f t="shared" si="0"/>
        <v>108</v>
      </c>
    </row>
    <row r="18" spans="1:9" ht="12.75" hidden="1">
      <c r="A18" s="692"/>
      <c r="B18" s="692" t="s">
        <v>23</v>
      </c>
      <c r="C18" s="927" t="s">
        <v>24</v>
      </c>
      <c r="D18" s="927"/>
      <c r="E18" s="927"/>
      <c r="F18" s="693">
        <f>SUM(F19:F21)</f>
        <v>21900</v>
      </c>
      <c r="G18" s="693">
        <f>SUM(G19:G21)</f>
        <v>200</v>
      </c>
      <c r="H18" s="693">
        <f>SUM(H19:H21)</f>
        <v>450</v>
      </c>
      <c r="I18" s="694">
        <f aca="true" t="shared" si="1" ref="I18:I28">SUM(F18:H18)</f>
        <v>22550</v>
      </c>
    </row>
    <row r="19" spans="1:9" ht="0.75" customHeight="1" hidden="1">
      <c r="A19" s="701"/>
      <c r="B19" s="701"/>
      <c r="C19" s="701" t="s">
        <v>25</v>
      </c>
      <c r="D19" s="701" t="s">
        <v>26</v>
      </c>
      <c r="E19" s="701"/>
      <c r="F19" s="702">
        <v>20648</v>
      </c>
      <c r="G19" s="702">
        <f>20648-20648</f>
        <v>0</v>
      </c>
      <c r="H19" s="702"/>
      <c r="I19" s="694">
        <f t="shared" si="1"/>
        <v>20648</v>
      </c>
    </row>
    <row r="20" spans="1:9" ht="12.75" customHeight="1" hidden="1">
      <c r="A20" s="701"/>
      <c r="B20" s="701"/>
      <c r="C20" s="701" t="s">
        <v>27</v>
      </c>
      <c r="D20" s="946" t="s">
        <v>28</v>
      </c>
      <c r="E20" s="947"/>
      <c r="F20" s="702">
        <f>192+25</f>
        <v>217</v>
      </c>
      <c r="G20" s="702"/>
      <c r="H20" s="702">
        <v>450</v>
      </c>
      <c r="I20" s="694">
        <f t="shared" si="1"/>
        <v>667</v>
      </c>
    </row>
    <row r="21" spans="1:9" ht="0.75" customHeight="1" hidden="1">
      <c r="A21" s="701"/>
      <c r="B21" s="701"/>
      <c r="C21" s="701" t="s">
        <v>29</v>
      </c>
      <c r="D21" s="925" t="s">
        <v>30</v>
      </c>
      <c r="E21" s="926"/>
      <c r="F21" s="702">
        <f>127+787+121</f>
        <v>1035</v>
      </c>
      <c r="G21" s="702">
        <v>200</v>
      </c>
      <c r="H21" s="702"/>
      <c r="I21" s="694">
        <f t="shared" si="1"/>
        <v>1235</v>
      </c>
    </row>
    <row r="22" spans="1:9" ht="12.75">
      <c r="A22" s="690" t="s">
        <v>31</v>
      </c>
      <c r="B22" s="939" t="s">
        <v>32</v>
      </c>
      <c r="C22" s="939"/>
      <c r="D22" s="939"/>
      <c r="E22" s="939"/>
      <c r="F22" s="691">
        <f>SUM(F23:F27)</f>
        <v>40887</v>
      </c>
      <c r="G22" s="691">
        <f>SUM(G23:G27)</f>
        <v>20465</v>
      </c>
      <c r="H22" s="691">
        <f>SUM(H23:H27)-198</f>
        <v>32774</v>
      </c>
      <c r="I22" s="691">
        <f t="shared" si="1"/>
        <v>94126</v>
      </c>
    </row>
    <row r="23" spans="1:9" ht="12.75" hidden="1">
      <c r="A23" s="695"/>
      <c r="B23" s="695"/>
      <c r="C23" s="695"/>
      <c r="D23" s="703" t="s">
        <v>21</v>
      </c>
      <c r="E23" s="703" t="s">
        <v>33</v>
      </c>
      <c r="F23" s="696">
        <f>42021-10213+5467+13+15+15+6+116+179+80+53+8+7-82+149</f>
        <v>37834</v>
      </c>
      <c r="G23" s="696">
        <f>23767-5467+36+335</f>
        <v>18671</v>
      </c>
      <c r="H23" s="696">
        <f>31575+26+283</f>
        <v>31884</v>
      </c>
      <c r="I23" s="704">
        <f t="shared" si="1"/>
        <v>88389</v>
      </c>
    </row>
    <row r="24" spans="1:9" ht="0.75" customHeight="1" hidden="1">
      <c r="A24" s="695"/>
      <c r="B24" s="695"/>
      <c r="C24" s="695"/>
      <c r="D24" s="703"/>
      <c r="E24" s="703" t="s">
        <v>34</v>
      </c>
      <c r="F24" s="696">
        <v>2411</v>
      </c>
      <c r="G24" s="696">
        <v>1447</v>
      </c>
      <c r="H24" s="696">
        <v>1061</v>
      </c>
      <c r="I24" s="704">
        <f t="shared" si="1"/>
        <v>4919</v>
      </c>
    </row>
    <row r="25" spans="1:9" ht="12.75" hidden="1">
      <c r="A25" s="695"/>
      <c r="B25" s="695"/>
      <c r="C25" s="695"/>
      <c r="D25" s="703"/>
      <c r="E25" s="703" t="s">
        <v>35</v>
      </c>
      <c r="F25" s="696">
        <v>73</v>
      </c>
      <c r="G25" s="696">
        <v>102</v>
      </c>
      <c r="H25" s="696"/>
      <c r="I25" s="704">
        <f t="shared" si="1"/>
        <v>175</v>
      </c>
    </row>
    <row r="26" spans="1:9" ht="0.75" customHeight="1" hidden="1">
      <c r="A26" s="695"/>
      <c r="B26" s="695"/>
      <c r="C26" s="695"/>
      <c r="D26" s="703"/>
      <c r="E26" s="703" t="s">
        <v>36</v>
      </c>
      <c r="F26" s="696">
        <f>66+253+39</f>
        <v>358</v>
      </c>
      <c r="G26" s="696">
        <v>154</v>
      </c>
      <c r="H26" s="696">
        <v>16</v>
      </c>
      <c r="I26" s="704">
        <f t="shared" si="1"/>
        <v>528</v>
      </c>
    </row>
    <row r="27" spans="1:9" ht="12.75" customHeight="1" hidden="1">
      <c r="A27" s="695"/>
      <c r="B27" s="695"/>
      <c r="C27" s="695"/>
      <c r="D27" s="703"/>
      <c r="E27" s="703" t="s">
        <v>37</v>
      </c>
      <c r="F27" s="696">
        <f>38+150+23</f>
        <v>211</v>
      </c>
      <c r="G27" s="696">
        <v>91</v>
      </c>
      <c r="H27" s="696">
        <v>11</v>
      </c>
      <c r="I27" s="704">
        <f t="shared" si="1"/>
        <v>313</v>
      </c>
    </row>
    <row r="28" spans="1:9" ht="12.75" customHeight="1">
      <c r="A28" s="690" t="s">
        <v>38</v>
      </c>
      <c r="B28" s="939" t="s">
        <v>39</v>
      </c>
      <c r="C28" s="939"/>
      <c r="D28" s="939"/>
      <c r="E28" s="939"/>
      <c r="F28" s="691">
        <f>SUM(F52+F49+F35+F32+F29)</f>
        <v>350044</v>
      </c>
      <c r="G28" s="691">
        <f>SUM(G52+G49+G35+G32+G29)</f>
        <v>27185</v>
      </c>
      <c r="H28" s="691">
        <f>SUM(H52+H49+H35+H32+H29)</f>
        <v>48564</v>
      </c>
      <c r="I28" s="691">
        <f t="shared" si="1"/>
        <v>425793</v>
      </c>
    </row>
    <row r="29" spans="1:9" ht="12.75" hidden="1">
      <c r="A29" s="692"/>
      <c r="B29" s="692" t="s">
        <v>40</v>
      </c>
      <c r="C29" s="927" t="s">
        <v>41</v>
      </c>
      <c r="D29" s="927"/>
      <c r="E29" s="927"/>
      <c r="F29" s="707">
        <f>SUM(F30:F31)</f>
        <v>87841</v>
      </c>
      <c r="G29" s="707">
        <f>SUM(G30:G31)</f>
        <v>2176</v>
      </c>
      <c r="H29" s="707">
        <f>SUM(H30:H31)</f>
        <v>3026</v>
      </c>
      <c r="I29" s="707">
        <f>SUM(I30:I31)</f>
        <v>93043</v>
      </c>
    </row>
    <row r="30" spans="1:9" ht="12.75" hidden="1">
      <c r="A30" s="701"/>
      <c r="B30" s="701"/>
      <c r="C30" s="701" t="s">
        <v>42</v>
      </c>
      <c r="D30" s="701" t="s">
        <v>43</v>
      </c>
      <c r="E30" s="701"/>
      <c r="F30" s="702">
        <f>10083-4808+296+52</f>
        <v>5623</v>
      </c>
      <c r="G30" s="702">
        <v>200</v>
      </c>
      <c r="H30" s="705">
        <v>691</v>
      </c>
      <c r="I30" s="706">
        <f>SUM(F30:H30)</f>
        <v>6514</v>
      </c>
    </row>
    <row r="31" spans="1:9" ht="12.75" hidden="1">
      <c r="A31" s="701"/>
      <c r="B31" s="701"/>
      <c r="C31" s="701" t="s">
        <v>44</v>
      </c>
      <c r="D31" s="701" t="s">
        <v>45</v>
      </c>
      <c r="E31" s="701"/>
      <c r="F31" s="702">
        <f>76136-2346+1251+4020+15+3458+8+76-400</f>
        <v>82218</v>
      </c>
      <c r="G31" s="702">
        <v>1976</v>
      </c>
      <c r="H31" s="705">
        <v>2335</v>
      </c>
      <c r="I31" s="706">
        <f>SUM(F31:H31)</f>
        <v>86529</v>
      </c>
    </row>
    <row r="32" spans="1:9" ht="12.75" hidden="1">
      <c r="A32" s="692"/>
      <c r="B32" s="692" t="s">
        <v>46</v>
      </c>
      <c r="C32" s="927" t="s">
        <v>47</v>
      </c>
      <c r="D32" s="927"/>
      <c r="E32" s="927"/>
      <c r="F32" s="707">
        <f>SUM(F33:F34)</f>
        <v>3090</v>
      </c>
      <c r="G32" s="707">
        <f>SUM(G33:G34)</f>
        <v>3837</v>
      </c>
      <c r="H32" s="707">
        <f>SUM(H33:H34)</f>
        <v>407</v>
      </c>
      <c r="I32" s="707">
        <f>SUM(I33:I34)</f>
        <v>7334</v>
      </c>
    </row>
    <row r="33" spans="1:9" ht="0.75" customHeight="1" hidden="1">
      <c r="A33" s="701"/>
      <c r="B33" s="701"/>
      <c r="C33" s="701" t="s">
        <v>48</v>
      </c>
      <c r="D33" s="701" t="s">
        <v>49</v>
      </c>
      <c r="E33" s="701"/>
      <c r="F33" s="702">
        <f>1744+466</f>
        <v>2210</v>
      </c>
      <c r="G33" s="702">
        <v>2457</v>
      </c>
      <c r="H33" s="702">
        <v>120</v>
      </c>
      <c r="I33" s="704">
        <f>SUM(F33:H33)</f>
        <v>4787</v>
      </c>
    </row>
    <row r="34" spans="1:9" ht="12.75" hidden="1">
      <c r="A34" s="701"/>
      <c r="B34" s="701"/>
      <c r="C34" s="701" t="s">
        <v>50</v>
      </c>
      <c r="D34" s="701" t="s">
        <v>51</v>
      </c>
      <c r="E34" s="701"/>
      <c r="F34" s="702">
        <v>880</v>
      </c>
      <c r="G34" s="702">
        <v>1380</v>
      </c>
      <c r="H34" s="702">
        <v>287</v>
      </c>
      <c r="I34" s="704">
        <f>SUM(F34:H34)</f>
        <v>2547</v>
      </c>
    </row>
    <row r="35" spans="1:9" ht="12.75" hidden="1">
      <c r="A35" s="692"/>
      <c r="B35" s="692" t="s">
        <v>52</v>
      </c>
      <c r="C35" s="927" t="s">
        <v>53</v>
      </c>
      <c r="D35" s="927"/>
      <c r="E35" s="927"/>
      <c r="F35" s="707">
        <f>SUM(F36+F41+F42+F43+F44+F46+F47)</f>
        <v>126349</v>
      </c>
      <c r="G35" s="707">
        <f>SUM(G36+G41+G42+G43+G44+G46+G47)</f>
        <v>16387</v>
      </c>
      <c r="H35" s="707">
        <f>SUM(H36+H41+H42+H43+H44+H46+H47)</f>
        <v>34622</v>
      </c>
      <c r="I35" s="707">
        <f>SUM(I36+I41+I42+I43+I44+I46+I47)</f>
        <v>177358</v>
      </c>
    </row>
    <row r="36" spans="1:9" ht="12.75" hidden="1">
      <c r="A36" s="701"/>
      <c r="B36" s="701"/>
      <c r="C36" s="701" t="s">
        <v>54</v>
      </c>
      <c r="D36" s="701" t="s">
        <v>55</v>
      </c>
      <c r="E36" s="701"/>
      <c r="F36" s="702">
        <f>SUM(F37:F40)</f>
        <v>37438</v>
      </c>
      <c r="G36" s="702">
        <f>SUM(G37:G40)</f>
        <v>3193</v>
      </c>
      <c r="H36" s="702">
        <v>6867</v>
      </c>
      <c r="I36" s="704">
        <f>SUM(F36:H36)</f>
        <v>47498</v>
      </c>
    </row>
    <row r="37" spans="1:9" ht="0.75" customHeight="1" hidden="1">
      <c r="A37" s="695"/>
      <c r="B37" s="695"/>
      <c r="C37" s="695"/>
      <c r="D37" s="703" t="s">
        <v>21</v>
      </c>
      <c r="E37" s="703" t="s">
        <v>56</v>
      </c>
      <c r="F37" s="696">
        <f>18358+138+1377+78+100+39</f>
        <v>20090</v>
      </c>
      <c r="G37" s="696">
        <v>1528</v>
      </c>
      <c r="H37" s="822"/>
      <c r="I37" s="706">
        <f aca="true" t="shared" si="2" ref="I37:I48">SUM(F37:H37)</f>
        <v>21618</v>
      </c>
    </row>
    <row r="38" spans="1:9" ht="12.75" hidden="1">
      <c r="A38" s="695"/>
      <c r="B38" s="695"/>
      <c r="C38" s="695"/>
      <c r="D38" s="703"/>
      <c r="E38" s="703" t="s">
        <v>57</v>
      </c>
      <c r="F38" s="696">
        <f>14102+100+500</f>
        <v>14702</v>
      </c>
      <c r="G38" s="696">
        <v>1465</v>
      </c>
      <c r="H38" s="822"/>
      <c r="I38" s="706">
        <f t="shared" si="2"/>
        <v>16167</v>
      </c>
    </row>
    <row r="39" spans="1:9" ht="12.75" hidden="1">
      <c r="A39" s="695"/>
      <c r="B39" s="695"/>
      <c r="C39" s="695"/>
      <c r="D39" s="703"/>
      <c r="E39" s="703" t="s">
        <v>58</v>
      </c>
      <c r="F39" s="696">
        <v>300</v>
      </c>
      <c r="G39" s="696"/>
      <c r="H39" s="822"/>
      <c r="I39" s="706">
        <f t="shared" si="2"/>
        <v>300</v>
      </c>
    </row>
    <row r="40" spans="1:9" ht="12.75" hidden="1">
      <c r="A40" s="695"/>
      <c r="B40" s="695"/>
      <c r="C40" s="695"/>
      <c r="D40" s="703"/>
      <c r="E40" s="703" t="s">
        <v>59</v>
      </c>
      <c r="F40" s="696">
        <v>2346</v>
      </c>
      <c r="G40" s="696">
        <v>200</v>
      </c>
      <c r="H40" s="822"/>
      <c r="I40" s="706">
        <f t="shared" si="2"/>
        <v>2546</v>
      </c>
    </row>
    <row r="41" spans="1:9" ht="0.75" customHeight="1" hidden="1">
      <c r="A41" s="701"/>
      <c r="B41" s="701"/>
      <c r="C41" s="701" t="s">
        <v>60</v>
      </c>
      <c r="D41" s="701" t="s">
        <v>61</v>
      </c>
      <c r="E41" s="701"/>
      <c r="F41" s="702">
        <f>287-227+181</f>
        <v>241</v>
      </c>
      <c r="G41" s="702">
        <v>0</v>
      </c>
      <c r="H41" s="702">
        <v>26047</v>
      </c>
      <c r="I41" s="704">
        <f t="shared" si="2"/>
        <v>26288</v>
      </c>
    </row>
    <row r="42" spans="1:9" ht="12.75" hidden="1">
      <c r="A42" s="701"/>
      <c r="B42" s="701"/>
      <c r="C42" s="701" t="s">
        <v>62</v>
      </c>
      <c r="D42" s="701" t="s">
        <v>63</v>
      </c>
      <c r="E42" s="701"/>
      <c r="F42" s="702">
        <f>917+167</f>
        <v>1084</v>
      </c>
      <c r="G42" s="702">
        <v>1591</v>
      </c>
      <c r="H42" s="702">
        <v>0</v>
      </c>
      <c r="I42" s="704">
        <f t="shared" si="2"/>
        <v>2675</v>
      </c>
    </row>
    <row r="43" spans="1:9" ht="0.75" customHeight="1" hidden="1">
      <c r="A43" s="701"/>
      <c r="B43" s="701"/>
      <c r="C43" s="701" t="s">
        <v>64</v>
      </c>
      <c r="D43" s="701" t="s">
        <v>65</v>
      </c>
      <c r="E43" s="701"/>
      <c r="F43" s="702">
        <f>2500+100+61+19-178</f>
        <v>2502</v>
      </c>
      <c r="G43" s="702">
        <v>395</v>
      </c>
      <c r="H43" s="702">
        <f>261+61</f>
        <v>322</v>
      </c>
      <c r="I43" s="704">
        <f t="shared" si="2"/>
        <v>3219</v>
      </c>
    </row>
    <row r="44" spans="1:9" ht="12.75" hidden="1">
      <c r="A44" s="701"/>
      <c r="B44" s="701"/>
      <c r="C44" s="701" t="s">
        <v>66</v>
      </c>
      <c r="D44" s="701" t="s">
        <v>67</v>
      </c>
      <c r="E44" s="701"/>
      <c r="F44" s="702">
        <f>3242+38</f>
        <v>3280</v>
      </c>
      <c r="G44" s="702">
        <v>6267</v>
      </c>
      <c r="H44" s="702">
        <v>0</v>
      </c>
      <c r="I44" s="704">
        <f t="shared" si="2"/>
        <v>9547</v>
      </c>
    </row>
    <row r="45" spans="1:9" ht="12.75" hidden="1">
      <c r="A45" s="695"/>
      <c r="B45" s="695"/>
      <c r="C45" s="695"/>
      <c r="D45" s="703" t="s">
        <v>21</v>
      </c>
      <c r="E45" s="703" t="s">
        <v>68</v>
      </c>
      <c r="F45" s="700">
        <v>2292</v>
      </c>
      <c r="G45" s="700">
        <v>3967</v>
      </c>
      <c r="H45" s="696">
        <v>0</v>
      </c>
      <c r="I45" s="704">
        <f t="shared" si="2"/>
        <v>6259</v>
      </c>
    </row>
    <row r="46" spans="1:9" ht="0.75" customHeight="1" hidden="1">
      <c r="A46" s="701"/>
      <c r="B46" s="701"/>
      <c r="C46" s="701" t="s">
        <v>69</v>
      </c>
      <c r="D46" s="701" t="s">
        <v>70</v>
      </c>
      <c r="E46" s="701"/>
      <c r="F46" s="702">
        <f>53303-1540-118+3000+205+548-183+8+343+144+756+78</f>
        <v>56544</v>
      </c>
      <c r="G46" s="702">
        <v>1075</v>
      </c>
      <c r="H46" s="702">
        <v>349</v>
      </c>
      <c r="I46" s="704">
        <f t="shared" si="2"/>
        <v>57968</v>
      </c>
    </row>
    <row r="47" spans="1:9" ht="12.75" hidden="1">
      <c r="A47" s="701"/>
      <c r="B47" s="701"/>
      <c r="C47" s="701" t="s">
        <v>71</v>
      </c>
      <c r="D47" s="701" t="s">
        <v>72</v>
      </c>
      <c r="E47" s="701"/>
      <c r="F47" s="702">
        <f>23160+581+5+2+14+300+1184+14</f>
        <v>25260</v>
      </c>
      <c r="G47" s="702">
        <v>3866</v>
      </c>
      <c r="H47" s="702">
        <v>1037</v>
      </c>
      <c r="I47" s="704">
        <f t="shared" si="2"/>
        <v>30163</v>
      </c>
    </row>
    <row r="48" spans="1:9" ht="12.75" hidden="1">
      <c r="A48" s="695"/>
      <c r="B48" s="695"/>
      <c r="C48" s="695"/>
      <c r="D48" s="703" t="s">
        <v>21</v>
      </c>
      <c r="E48" s="703" t="s">
        <v>22</v>
      </c>
      <c r="F48" s="700">
        <f>731+14+14</f>
        <v>759</v>
      </c>
      <c r="G48" s="700">
        <v>0</v>
      </c>
      <c r="H48" s="696">
        <v>0</v>
      </c>
      <c r="I48" s="704">
        <f t="shared" si="2"/>
        <v>759</v>
      </c>
    </row>
    <row r="49" spans="1:9" ht="12.75" hidden="1">
      <c r="A49" s="692"/>
      <c r="B49" s="692" t="s">
        <v>73</v>
      </c>
      <c r="C49" s="927" t="s">
        <v>74</v>
      </c>
      <c r="D49" s="927"/>
      <c r="E49" s="927"/>
      <c r="F49" s="707">
        <f>SUM(F50:F51)</f>
        <v>1027</v>
      </c>
      <c r="G49" s="707">
        <f>SUM(G50:G51)</f>
        <v>400</v>
      </c>
      <c r="H49" s="707">
        <f>SUM(H50:H51)</f>
        <v>90</v>
      </c>
      <c r="I49" s="707">
        <f>SUM(I50:I51)</f>
        <v>1517</v>
      </c>
    </row>
    <row r="50" spans="1:9" ht="0.75" customHeight="1" hidden="1">
      <c r="A50" s="701"/>
      <c r="B50" s="701"/>
      <c r="C50" s="701" t="s">
        <v>75</v>
      </c>
      <c r="D50" s="701" t="s">
        <v>76</v>
      </c>
      <c r="E50" s="701"/>
      <c r="F50" s="702">
        <f>230+250+10+340</f>
        <v>830</v>
      </c>
      <c r="G50" s="702">
        <v>400</v>
      </c>
      <c r="H50" s="702">
        <v>90</v>
      </c>
      <c r="I50" s="704">
        <f>SUM(F50:H50)</f>
        <v>1320</v>
      </c>
    </row>
    <row r="51" spans="1:9" ht="12.75" hidden="1">
      <c r="A51" s="701"/>
      <c r="B51" s="701"/>
      <c r="C51" s="701" t="s">
        <v>77</v>
      </c>
      <c r="D51" s="701" t="s">
        <v>78</v>
      </c>
      <c r="E51" s="701"/>
      <c r="F51" s="702">
        <f>79+118</f>
        <v>197</v>
      </c>
      <c r="G51" s="702">
        <v>0</v>
      </c>
      <c r="H51" s="702">
        <v>0</v>
      </c>
      <c r="I51" s="704">
        <f>SUM(F51:H51)</f>
        <v>197</v>
      </c>
    </row>
    <row r="52" spans="1:9" ht="12.75" hidden="1">
      <c r="A52" s="692"/>
      <c r="B52" s="692" t="s">
        <v>79</v>
      </c>
      <c r="C52" s="927" t="s">
        <v>80</v>
      </c>
      <c r="D52" s="927"/>
      <c r="E52" s="927"/>
      <c r="F52" s="707">
        <f>SUM(F53:F56)</f>
        <v>131737</v>
      </c>
      <c r="G52" s="707">
        <f>SUM(G53:G56)</f>
        <v>4385</v>
      </c>
      <c r="H52" s="707">
        <f>SUM(H53:H56)</f>
        <v>10419</v>
      </c>
      <c r="I52" s="707">
        <f>SUM(I53:I56)</f>
        <v>146541</v>
      </c>
    </row>
    <row r="53" spans="1:9" ht="12.75" hidden="1">
      <c r="A53" s="701"/>
      <c r="B53" s="701"/>
      <c r="C53" s="701" t="s">
        <v>81</v>
      </c>
      <c r="D53" s="701" t="s">
        <v>82</v>
      </c>
      <c r="E53" s="701"/>
      <c r="F53" s="702">
        <f>45457-2409+32-32+338+1179+1085+181+31+1592+27+92+49+42+10+14+204+16+5+126+44-279</f>
        <v>47804</v>
      </c>
      <c r="G53" s="702">
        <v>4175</v>
      </c>
      <c r="H53" s="702">
        <f>10303+16</f>
        <v>10319</v>
      </c>
      <c r="I53" s="704">
        <f aca="true" t="shared" si="3" ref="I53:I58">SUM(F53:H53)</f>
        <v>62298</v>
      </c>
    </row>
    <row r="54" spans="1:9" ht="12.75" hidden="1">
      <c r="A54" s="701"/>
      <c r="B54" s="701"/>
      <c r="C54" s="701" t="s">
        <v>83</v>
      </c>
      <c r="D54" s="701" t="s">
        <v>84</v>
      </c>
      <c r="E54" s="701"/>
      <c r="F54" s="702">
        <f>284708+22+61-284628+79421+279+594+149+53-53+27-27</f>
        <v>80606</v>
      </c>
      <c r="G54" s="702">
        <v>0</v>
      </c>
      <c r="H54" s="702">
        <v>0</v>
      </c>
      <c r="I54" s="704">
        <f t="shared" si="3"/>
        <v>80606</v>
      </c>
    </row>
    <row r="55" spans="1:9" ht="12.75" hidden="1">
      <c r="A55" s="701"/>
      <c r="B55" s="701"/>
      <c r="C55" s="701" t="s">
        <v>1121</v>
      </c>
      <c r="D55" s="934" t="s">
        <v>1122</v>
      </c>
      <c r="E55" s="935"/>
      <c r="F55" s="702">
        <v>1052</v>
      </c>
      <c r="G55" s="702">
        <v>0</v>
      </c>
      <c r="H55" s="702">
        <v>0</v>
      </c>
      <c r="I55" s="704">
        <f t="shared" si="3"/>
        <v>1052</v>
      </c>
    </row>
    <row r="56" spans="1:9" ht="4.5" customHeight="1" hidden="1">
      <c r="A56" s="701"/>
      <c r="B56" s="701"/>
      <c r="C56" s="701" t="s">
        <v>85</v>
      </c>
      <c r="D56" s="701" t="s">
        <v>86</v>
      </c>
      <c r="E56" s="701"/>
      <c r="F56" s="702">
        <f>1495+50+269+1+20+440</f>
        <v>2275</v>
      </c>
      <c r="G56" s="702">
        <f>650-440</f>
        <v>210</v>
      </c>
      <c r="H56" s="702">
        <v>100</v>
      </c>
      <c r="I56" s="704">
        <f t="shared" si="3"/>
        <v>2585</v>
      </c>
    </row>
    <row r="57" spans="1:9" ht="12.75">
      <c r="A57" s="690" t="s">
        <v>87</v>
      </c>
      <c r="B57" s="939" t="s">
        <v>88</v>
      </c>
      <c r="C57" s="939"/>
      <c r="D57" s="939"/>
      <c r="E57" s="939"/>
      <c r="F57" s="691">
        <f>SUM(F72+F71+F69+F67+F64+F63+F59+F58)</f>
        <v>4130</v>
      </c>
      <c r="G57" s="691">
        <f>SUM(G72+G71+G69+G67+G64+G63+G59+G58)</f>
        <v>57369</v>
      </c>
      <c r="H57" s="691">
        <f>SUM(H72+H71+H69+H67+H64+H63+H59+H58)</f>
        <v>0</v>
      </c>
      <c r="I57" s="691">
        <f t="shared" si="3"/>
        <v>61499</v>
      </c>
    </row>
    <row r="58" spans="1:9" ht="12.75">
      <c r="A58" s="692"/>
      <c r="B58" s="692" t="s">
        <v>89</v>
      </c>
      <c r="C58" s="936" t="s">
        <v>90</v>
      </c>
      <c r="D58" s="937"/>
      <c r="E58" s="938"/>
      <c r="F58" s="693">
        <v>0</v>
      </c>
      <c r="G58" s="693">
        <v>0</v>
      </c>
      <c r="H58" s="693">
        <v>0</v>
      </c>
      <c r="I58" s="694">
        <f t="shared" si="3"/>
        <v>0</v>
      </c>
    </row>
    <row r="59" spans="1:9" ht="12.75">
      <c r="A59" s="692"/>
      <c r="B59" s="692" t="s">
        <v>91</v>
      </c>
      <c r="C59" s="927" t="s">
        <v>92</v>
      </c>
      <c r="D59" s="927"/>
      <c r="E59" s="927"/>
      <c r="F59" s="693">
        <f>SUM(F60:F62)</f>
        <v>0</v>
      </c>
      <c r="G59" s="693">
        <f>SUM(G60:G62)</f>
        <v>12626</v>
      </c>
      <c r="H59" s="693">
        <f>SUM(H60:H62)</f>
        <v>0</v>
      </c>
      <c r="I59" s="694">
        <f aca="true" t="shared" si="4" ref="I59:I76">SUM(F59:H59)</f>
        <v>12626</v>
      </c>
    </row>
    <row r="60" spans="1:9" ht="12.75">
      <c r="A60" s="701"/>
      <c r="B60" s="701"/>
      <c r="C60" s="701"/>
      <c r="D60" s="934" t="s">
        <v>93</v>
      </c>
      <c r="E60" s="935"/>
      <c r="F60" s="702">
        <v>0</v>
      </c>
      <c r="G60" s="702">
        <v>12000</v>
      </c>
      <c r="H60" s="702">
        <v>0</v>
      </c>
      <c r="I60" s="694">
        <f t="shared" si="4"/>
        <v>12000</v>
      </c>
    </row>
    <row r="61" spans="1:9" ht="20.25" customHeight="1">
      <c r="A61" s="701"/>
      <c r="B61" s="701"/>
      <c r="C61" s="701"/>
      <c r="D61" s="946" t="s">
        <v>1123</v>
      </c>
      <c r="E61" s="947"/>
      <c r="F61" s="702">
        <v>0</v>
      </c>
      <c r="G61" s="702">
        <v>276</v>
      </c>
      <c r="H61" s="702">
        <v>0</v>
      </c>
      <c r="I61" s="694">
        <f t="shared" si="4"/>
        <v>276</v>
      </c>
    </row>
    <row r="62" spans="1:9" ht="12.75">
      <c r="A62" s="701"/>
      <c r="B62" s="701"/>
      <c r="C62" s="701"/>
      <c r="D62" s="934" t="s">
        <v>820</v>
      </c>
      <c r="E62" s="935"/>
      <c r="F62" s="702">
        <v>0</v>
      </c>
      <c r="G62" s="702">
        <v>350</v>
      </c>
      <c r="H62" s="702">
        <v>0</v>
      </c>
      <c r="I62" s="694">
        <f t="shared" si="4"/>
        <v>350</v>
      </c>
    </row>
    <row r="63" spans="1:9" ht="12.75">
      <c r="A63" s="692"/>
      <c r="B63" s="692" t="s">
        <v>261</v>
      </c>
      <c r="C63" s="927" t="s">
        <v>262</v>
      </c>
      <c r="D63" s="927"/>
      <c r="E63" s="927"/>
      <c r="F63" s="693">
        <v>0</v>
      </c>
      <c r="G63" s="693">
        <v>15</v>
      </c>
      <c r="H63" s="693">
        <v>0</v>
      </c>
      <c r="I63" s="694">
        <f t="shared" si="4"/>
        <v>15</v>
      </c>
    </row>
    <row r="64" spans="1:9" ht="11.25" customHeight="1">
      <c r="A64" s="692"/>
      <c r="B64" s="692" t="s">
        <v>263</v>
      </c>
      <c r="C64" s="936" t="s">
        <v>264</v>
      </c>
      <c r="D64" s="937"/>
      <c r="E64" s="938"/>
      <c r="F64" s="693">
        <f>SUM(F65:F66)</f>
        <v>0</v>
      </c>
      <c r="G64" s="693">
        <f>SUM(G65:G66)</f>
        <v>0</v>
      </c>
      <c r="H64" s="693">
        <f>SUM(H65:H66)</f>
        <v>0</v>
      </c>
      <c r="I64" s="694">
        <f t="shared" si="4"/>
        <v>0</v>
      </c>
    </row>
    <row r="65" spans="1:9" ht="12.75" customHeight="1" hidden="1">
      <c r="A65" s="701"/>
      <c r="B65" s="701"/>
      <c r="C65" s="701"/>
      <c r="D65" s="946" t="s">
        <v>265</v>
      </c>
      <c r="E65" s="947"/>
      <c r="F65" s="702">
        <v>0</v>
      </c>
      <c r="G65" s="702">
        <v>0</v>
      </c>
      <c r="H65" s="702">
        <v>0</v>
      </c>
      <c r="I65" s="694">
        <f t="shared" si="4"/>
        <v>0</v>
      </c>
    </row>
    <row r="66" spans="1:9" ht="12.75" hidden="1">
      <c r="A66" s="701"/>
      <c r="B66" s="701"/>
      <c r="C66" s="701"/>
      <c r="D66" s="934" t="s">
        <v>266</v>
      </c>
      <c r="E66" s="935"/>
      <c r="F66" s="702">
        <v>0</v>
      </c>
      <c r="G66" s="702">
        <v>0</v>
      </c>
      <c r="H66" s="702">
        <v>0</v>
      </c>
      <c r="I66" s="694">
        <f t="shared" si="4"/>
        <v>0</v>
      </c>
    </row>
    <row r="67" spans="1:9" ht="12.75">
      <c r="A67" s="692"/>
      <c r="B67" s="692" t="s">
        <v>267</v>
      </c>
      <c r="C67" s="936" t="s">
        <v>268</v>
      </c>
      <c r="D67" s="937"/>
      <c r="E67" s="938"/>
      <c r="F67" s="693">
        <f>SUM(F68)</f>
        <v>0</v>
      </c>
      <c r="G67" s="693">
        <f>SUM(G68)</f>
        <v>24863</v>
      </c>
      <c r="H67" s="693">
        <f>SUM(H68)</f>
        <v>0</v>
      </c>
      <c r="I67" s="694">
        <f t="shared" si="4"/>
        <v>24863</v>
      </c>
    </row>
    <row r="68" spans="1:9" ht="12.75">
      <c r="A68" s="701"/>
      <c r="B68" s="701"/>
      <c r="C68" s="701"/>
      <c r="D68" s="934" t="s">
        <v>1124</v>
      </c>
      <c r="E68" s="935"/>
      <c r="F68" s="702">
        <v>0</v>
      </c>
      <c r="G68" s="702">
        <f>23940+923</f>
        <v>24863</v>
      </c>
      <c r="H68" s="702">
        <v>0</v>
      </c>
      <c r="I68" s="694">
        <f t="shared" si="4"/>
        <v>24863</v>
      </c>
    </row>
    <row r="69" spans="1:9" ht="12.75">
      <c r="A69" s="692"/>
      <c r="B69" s="692" t="s">
        <v>269</v>
      </c>
      <c r="C69" s="936" t="s">
        <v>270</v>
      </c>
      <c r="D69" s="937"/>
      <c r="E69" s="938"/>
      <c r="F69" s="693">
        <f>SUM(F70)</f>
        <v>0</v>
      </c>
      <c r="G69" s="693">
        <f>SUM(G70)</f>
        <v>14669</v>
      </c>
      <c r="H69" s="693">
        <f>SUM(H70)</f>
        <v>0</v>
      </c>
      <c r="I69" s="694">
        <f t="shared" si="4"/>
        <v>14669</v>
      </c>
    </row>
    <row r="70" spans="1:9" ht="12.75">
      <c r="A70" s="701"/>
      <c r="B70" s="701"/>
      <c r="C70" s="701"/>
      <c r="D70" s="934" t="s">
        <v>1125</v>
      </c>
      <c r="E70" s="935"/>
      <c r="F70" s="702">
        <v>0</v>
      </c>
      <c r="G70" s="702">
        <v>14669</v>
      </c>
      <c r="H70" s="702">
        <v>0</v>
      </c>
      <c r="I70" s="694">
        <f t="shared" si="4"/>
        <v>14669</v>
      </c>
    </row>
    <row r="71" spans="1:9" ht="12.75">
      <c r="A71" s="692"/>
      <c r="B71" s="692" t="s">
        <v>271</v>
      </c>
      <c r="C71" s="927" t="s">
        <v>94</v>
      </c>
      <c r="D71" s="927"/>
      <c r="E71" s="927"/>
      <c r="F71" s="693">
        <v>0</v>
      </c>
      <c r="G71" s="693">
        <v>0</v>
      </c>
      <c r="H71" s="693">
        <v>0</v>
      </c>
      <c r="I71" s="694">
        <f t="shared" si="4"/>
        <v>0</v>
      </c>
    </row>
    <row r="72" spans="1:9" ht="12.75">
      <c r="A72" s="692"/>
      <c r="B72" s="692" t="s">
        <v>272</v>
      </c>
      <c r="C72" s="936" t="s">
        <v>273</v>
      </c>
      <c r="D72" s="937"/>
      <c r="E72" s="938"/>
      <c r="F72" s="693">
        <f>SUM(F73:F76)</f>
        <v>4130</v>
      </c>
      <c r="G72" s="693">
        <f>SUM(G73:G76)</f>
        <v>5196</v>
      </c>
      <c r="H72" s="693">
        <f>SUM(H73:H76)</f>
        <v>0</v>
      </c>
      <c r="I72" s="694">
        <f t="shared" si="4"/>
        <v>9326</v>
      </c>
    </row>
    <row r="73" spans="1:9" ht="12.75">
      <c r="A73" s="701"/>
      <c r="B73" s="701"/>
      <c r="C73" s="701"/>
      <c r="D73" s="934" t="s">
        <v>1126</v>
      </c>
      <c r="E73" s="935"/>
      <c r="F73" s="702">
        <v>0</v>
      </c>
      <c r="G73" s="702">
        <f>3019+1657</f>
        <v>4676</v>
      </c>
      <c r="H73" s="702">
        <v>0</v>
      </c>
      <c r="I73" s="694">
        <f t="shared" si="4"/>
        <v>4676</v>
      </c>
    </row>
    <row r="74" spans="1:9" ht="12.75">
      <c r="A74" s="701"/>
      <c r="B74" s="701"/>
      <c r="C74" s="701"/>
      <c r="D74" s="934" t="s">
        <v>924</v>
      </c>
      <c r="E74" s="935"/>
      <c r="F74" s="702">
        <v>0</v>
      </c>
      <c r="G74" s="702">
        <v>520</v>
      </c>
      <c r="H74" s="702">
        <v>0</v>
      </c>
      <c r="I74" s="694">
        <f t="shared" si="4"/>
        <v>520</v>
      </c>
    </row>
    <row r="75" spans="1:9" ht="12.75">
      <c r="A75" s="701"/>
      <c r="B75" s="701"/>
      <c r="C75" s="701"/>
      <c r="D75" s="934" t="s">
        <v>1127</v>
      </c>
      <c r="E75" s="935"/>
      <c r="F75" s="702">
        <v>1500</v>
      </c>
      <c r="G75" s="702">
        <v>0</v>
      </c>
      <c r="H75" s="702">
        <v>0</v>
      </c>
      <c r="I75" s="694">
        <f t="shared" si="4"/>
        <v>1500</v>
      </c>
    </row>
    <row r="76" spans="1:9" ht="12.75">
      <c r="A76" s="701"/>
      <c r="B76" s="701"/>
      <c r="C76" s="701"/>
      <c r="D76" s="934" t="s">
        <v>1128</v>
      </c>
      <c r="E76" s="935"/>
      <c r="F76" s="702">
        <f>1300+1330</f>
        <v>2630</v>
      </c>
      <c r="G76" s="702">
        <v>0</v>
      </c>
      <c r="H76" s="702">
        <v>0</v>
      </c>
      <c r="I76" s="694">
        <f t="shared" si="4"/>
        <v>2630</v>
      </c>
    </row>
    <row r="77" spans="1:9" ht="13.5" customHeight="1">
      <c r="A77" s="690" t="s">
        <v>274</v>
      </c>
      <c r="B77" s="931" t="s">
        <v>275</v>
      </c>
      <c r="C77" s="932"/>
      <c r="D77" s="932"/>
      <c r="E77" s="933"/>
      <c r="F77" s="691">
        <f>SUM(F112+F101+F99+F98+F95+F94+F83+F82+F81+F80+F78+F79)</f>
        <v>333288</v>
      </c>
      <c r="G77" s="691">
        <f>SUM(G112+G101+G99+G98+G95+G94+G83+G82+G81+G80+G78+G79)</f>
        <v>3234</v>
      </c>
      <c r="H77" s="691">
        <f>SUM(H112+H101+H99+H98+H95+H94+H83+H82+H81+H80+H78+H79)</f>
        <v>9549</v>
      </c>
      <c r="I77" s="691">
        <f>SUM(F77:H77)</f>
        <v>346071</v>
      </c>
    </row>
    <row r="78" spans="1:9" ht="12.75" hidden="1">
      <c r="A78" s="701"/>
      <c r="B78" s="701"/>
      <c r="C78" s="701" t="s">
        <v>276</v>
      </c>
      <c r="D78" s="701" t="s">
        <v>277</v>
      </c>
      <c r="E78" s="701"/>
      <c r="F78" s="702">
        <v>0</v>
      </c>
      <c r="G78" s="702">
        <v>0</v>
      </c>
      <c r="H78" s="702">
        <v>0</v>
      </c>
      <c r="I78" s="704">
        <f>SUM(F78:H78)</f>
        <v>0</v>
      </c>
    </row>
    <row r="79" spans="1:9" ht="0.75" customHeight="1" hidden="1">
      <c r="A79" s="701"/>
      <c r="B79" s="701"/>
      <c r="C79" s="701" t="s">
        <v>278</v>
      </c>
      <c r="D79" s="701" t="s">
        <v>279</v>
      </c>
      <c r="E79" s="701"/>
      <c r="F79" s="702">
        <f>13962+18+447</f>
        <v>14427</v>
      </c>
      <c r="G79" s="702">
        <v>3234</v>
      </c>
      <c r="H79" s="702">
        <v>9549</v>
      </c>
      <c r="I79" s="704">
        <f aca="true" t="shared" si="5" ref="I79:I120">SUM(F79:H79)</f>
        <v>27210</v>
      </c>
    </row>
    <row r="80" spans="1:9" ht="0.75" customHeight="1" hidden="1">
      <c r="A80" s="701"/>
      <c r="B80" s="701"/>
      <c r="C80" s="701" t="s">
        <v>280</v>
      </c>
      <c r="D80" s="925" t="s">
        <v>281</v>
      </c>
      <c r="E80" s="926"/>
      <c r="F80" s="702">
        <v>0</v>
      </c>
      <c r="G80" s="702">
        <v>0</v>
      </c>
      <c r="H80" s="702">
        <v>0</v>
      </c>
      <c r="I80" s="704">
        <f t="shared" si="5"/>
        <v>0</v>
      </c>
    </row>
    <row r="81" spans="1:9" ht="12.75" hidden="1">
      <c r="A81" s="701"/>
      <c r="B81" s="701"/>
      <c r="C81" s="701" t="s">
        <v>282</v>
      </c>
      <c r="D81" s="925" t="s">
        <v>283</v>
      </c>
      <c r="E81" s="926"/>
      <c r="F81" s="702">
        <f>39900+1455</f>
        <v>41355</v>
      </c>
      <c r="G81" s="702">
        <v>0</v>
      </c>
      <c r="H81" s="702">
        <v>0</v>
      </c>
      <c r="I81" s="704">
        <f t="shared" si="5"/>
        <v>41355</v>
      </c>
    </row>
    <row r="82" spans="1:9" ht="12.75" customHeight="1" hidden="1">
      <c r="A82" s="701"/>
      <c r="B82" s="701"/>
      <c r="C82" s="701" t="s">
        <v>304</v>
      </c>
      <c r="D82" s="925" t="s">
        <v>305</v>
      </c>
      <c r="E82" s="926"/>
      <c r="F82" s="702">
        <v>0</v>
      </c>
      <c r="G82" s="702">
        <v>0</v>
      </c>
      <c r="H82" s="702">
        <v>0</v>
      </c>
      <c r="I82" s="704">
        <f t="shared" si="5"/>
        <v>0</v>
      </c>
    </row>
    <row r="83" spans="1:9" ht="12.75" customHeight="1" hidden="1">
      <c r="A83" s="701"/>
      <c r="B83" s="701"/>
      <c r="C83" s="701" t="s">
        <v>306</v>
      </c>
      <c r="D83" s="925" t="s">
        <v>307</v>
      </c>
      <c r="E83" s="926"/>
      <c r="F83" s="702">
        <f>SUM(F84:F93)</f>
        <v>436</v>
      </c>
      <c r="G83" s="702">
        <f>SUM(G84:G93)</f>
        <v>0</v>
      </c>
      <c r="H83" s="702">
        <f>SUM(H84:H93)</f>
        <v>0</v>
      </c>
      <c r="I83" s="704">
        <f t="shared" si="5"/>
        <v>436</v>
      </c>
    </row>
    <row r="84" spans="1:9" ht="0.75" customHeight="1" hidden="1">
      <c r="A84" s="708"/>
      <c r="B84" s="708"/>
      <c r="C84" s="703" t="s">
        <v>21</v>
      </c>
      <c r="D84" s="703" t="s">
        <v>284</v>
      </c>
      <c r="E84" s="703" t="s">
        <v>285</v>
      </c>
      <c r="F84" s="709">
        <v>0</v>
      </c>
      <c r="G84" s="709">
        <v>0</v>
      </c>
      <c r="H84" s="709">
        <v>0</v>
      </c>
      <c r="I84" s="704">
        <f t="shared" si="5"/>
        <v>0</v>
      </c>
    </row>
    <row r="85" spans="1:9" ht="12.75" hidden="1">
      <c r="A85" s="708"/>
      <c r="B85" s="708"/>
      <c r="C85" s="703"/>
      <c r="D85" s="703" t="s">
        <v>286</v>
      </c>
      <c r="E85" s="703" t="s">
        <v>287</v>
      </c>
      <c r="F85" s="709">
        <v>0</v>
      </c>
      <c r="G85" s="709">
        <v>0</v>
      </c>
      <c r="H85" s="709">
        <v>0</v>
      </c>
      <c r="I85" s="704">
        <f t="shared" si="5"/>
        <v>0</v>
      </c>
    </row>
    <row r="86" spans="1:9" ht="0.75" customHeight="1" hidden="1">
      <c r="A86" s="708"/>
      <c r="B86" s="708"/>
      <c r="C86" s="703"/>
      <c r="D86" s="703" t="s">
        <v>288</v>
      </c>
      <c r="E86" s="703" t="s">
        <v>289</v>
      </c>
      <c r="F86" s="709">
        <v>0</v>
      </c>
      <c r="G86" s="709">
        <v>0</v>
      </c>
      <c r="H86" s="709">
        <v>0</v>
      </c>
      <c r="I86" s="704">
        <f t="shared" si="5"/>
        <v>0</v>
      </c>
    </row>
    <row r="87" spans="1:9" ht="12.75" hidden="1">
      <c r="A87" s="708"/>
      <c r="B87" s="708"/>
      <c r="C87" s="703"/>
      <c r="D87" s="703" t="s">
        <v>290</v>
      </c>
      <c r="E87" s="703" t="s">
        <v>291</v>
      </c>
      <c r="F87" s="709">
        <v>0</v>
      </c>
      <c r="G87" s="709">
        <v>0</v>
      </c>
      <c r="H87" s="709">
        <v>0</v>
      </c>
      <c r="I87" s="704">
        <f t="shared" si="5"/>
        <v>0</v>
      </c>
    </row>
    <row r="88" spans="1:9" ht="0.75" customHeight="1" hidden="1">
      <c r="A88" s="708"/>
      <c r="B88" s="708"/>
      <c r="C88" s="703"/>
      <c r="D88" s="703" t="s">
        <v>292</v>
      </c>
      <c r="E88" s="703" t="s">
        <v>293</v>
      </c>
      <c r="F88" s="709">
        <v>0</v>
      </c>
      <c r="G88" s="709">
        <v>0</v>
      </c>
      <c r="H88" s="709">
        <v>0</v>
      </c>
      <c r="I88" s="704">
        <f t="shared" si="5"/>
        <v>0</v>
      </c>
    </row>
    <row r="89" spans="1:9" ht="12.75" hidden="1">
      <c r="A89" s="708"/>
      <c r="B89" s="708"/>
      <c r="C89" s="703"/>
      <c r="D89" s="703" t="s">
        <v>294</v>
      </c>
      <c r="E89" s="703" t="s">
        <v>295</v>
      </c>
      <c r="F89" s="709">
        <v>0</v>
      </c>
      <c r="G89" s="709">
        <v>0</v>
      </c>
      <c r="H89" s="709">
        <v>0</v>
      </c>
      <c r="I89" s="704">
        <f t="shared" si="5"/>
        <v>0</v>
      </c>
    </row>
    <row r="90" spans="1:9" ht="12.75" hidden="1">
      <c r="A90" s="708"/>
      <c r="B90" s="708"/>
      <c r="C90" s="703"/>
      <c r="D90" s="703" t="s">
        <v>296</v>
      </c>
      <c r="E90" s="703" t="s">
        <v>297</v>
      </c>
      <c r="F90" s="709">
        <v>250</v>
      </c>
      <c r="G90" s="709">
        <v>0</v>
      </c>
      <c r="H90" s="709">
        <v>0</v>
      </c>
      <c r="I90" s="704">
        <f t="shared" si="5"/>
        <v>250</v>
      </c>
    </row>
    <row r="91" spans="1:9" ht="12.75" hidden="1">
      <c r="A91" s="708"/>
      <c r="B91" s="708"/>
      <c r="C91" s="703"/>
      <c r="D91" s="703" t="s">
        <v>298</v>
      </c>
      <c r="E91" s="703" t="s">
        <v>299</v>
      </c>
      <c r="F91" s="709">
        <v>186</v>
      </c>
      <c r="G91" s="709">
        <v>0</v>
      </c>
      <c r="H91" s="709">
        <v>0</v>
      </c>
      <c r="I91" s="704">
        <f t="shared" si="5"/>
        <v>186</v>
      </c>
    </row>
    <row r="92" spans="1:9" ht="12.75" hidden="1">
      <c r="A92" s="708"/>
      <c r="B92" s="708"/>
      <c r="C92" s="703"/>
      <c r="D92" s="703" t="s">
        <v>300</v>
      </c>
      <c r="E92" s="703" t="s">
        <v>301</v>
      </c>
      <c r="F92" s="709">
        <v>0</v>
      </c>
      <c r="G92" s="709">
        <v>0</v>
      </c>
      <c r="H92" s="709">
        <v>0</v>
      </c>
      <c r="I92" s="704">
        <f t="shared" si="5"/>
        <v>0</v>
      </c>
    </row>
    <row r="93" spans="1:9" ht="0.75" customHeight="1" hidden="1">
      <c r="A93" s="708"/>
      <c r="B93" s="708"/>
      <c r="C93" s="703"/>
      <c r="D93" s="703" t="s">
        <v>302</v>
      </c>
      <c r="E93" s="703" t="s">
        <v>303</v>
      </c>
      <c r="F93" s="709">
        <v>0</v>
      </c>
      <c r="G93" s="709">
        <v>0</v>
      </c>
      <c r="H93" s="709">
        <v>0</v>
      </c>
      <c r="I93" s="704">
        <f t="shared" si="5"/>
        <v>0</v>
      </c>
    </row>
    <row r="94" spans="1:9" ht="12.75" customHeight="1" hidden="1">
      <c r="A94" s="701"/>
      <c r="B94" s="701"/>
      <c r="C94" s="701" t="s">
        <v>308</v>
      </c>
      <c r="D94" s="925" t="s">
        <v>309</v>
      </c>
      <c r="E94" s="926"/>
      <c r="F94" s="702">
        <v>0</v>
      </c>
      <c r="G94" s="702">
        <v>0</v>
      </c>
      <c r="H94" s="702">
        <v>0</v>
      </c>
      <c r="I94" s="704">
        <f t="shared" si="5"/>
        <v>0</v>
      </c>
    </row>
    <row r="95" spans="1:9" ht="0.75" customHeight="1" hidden="1">
      <c r="A95" s="701"/>
      <c r="B95" s="701"/>
      <c r="C95" s="701" t="s">
        <v>310</v>
      </c>
      <c r="D95" s="925" t="s">
        <v>925</v>
      </c>
      <c r="E95" s="926"/>
      <c r="F95" s="702">
        <f>SUM(F96:F97)</f>
        <v>21668</v>
      </c>
      <c r="G95" s="702">
        <f>SUM(G96:G97)</f>
        <v>0</v>
      </c>
      <c r="H95" s="702">
        <f>SUM(H96:H97)</f>
        <v>0</v>
      </c>
      <c r="I95" s="704">
        <f t="shared" si="5"/>
        <v>21668</v>
      </c>
    </row>
    <row r="96" spans="1:9" ht="12.75" hidden="1">
      <c r="A96" s="701"/>
      <c r="B96" s="701"/>
      <c r="C96" s="701"/>
      <c r="D96" s="703" t="s">
        <v>286</v>
      </c>
      <c r="E96" s="703" t="s">
        <v>1026</v>
      </c>
      <c r="F96" s="702">
        <v>7000</v>
      </c>
      <c r="G96" s="702"/>
      <c r="H96" s="702"/>
      <c r="I96" s="704"/>
    </row>
    <row r="97" spans="1:9" ht="12.75" hidden="1">
      <c r="A97" s="701"/>
      <c r="B97" s="701"/>
      <c r="C97" s="701"/>
      <c r="D97" s="703" t="s">
        <v>298</v>
      </c>
      <c r="E97" s="703" t="s">
        <v>317</v>
      </c>
      <c r="F97" s="702">
        <v>14668</v>
      </c>
      <c r="G97" s="702"/>
      <c r="H97" s="702"/>
      <c r="I97" s="704"/>
    </row>
    <row r="98" spans="1:9" ht="12.75" customHeight="1" hidden="1">
      <c r="A98" s="701"/>
      <c r="B98" s="701"/>
      <c r="C98" s="701" t="s">
        <v>321</v>
      </c>
      <c r="D98" s="925" t="s">
        <v>322</v>
      </c>
      <c r="E98" s="926"/>
      <c r="F98" s="702">
        <v>0</v>
      </c>
      <c r="G98" s="702">
        <v>0</v>
      </c>
      <c r="H98" s="702">
        <v>0</v>
      </c>
      <c r="I98" s="704">
        <f t="shared" si="5"/>
        <v>0</v>
      </c>
    </row>
    <row r="99" spans="1:9" ht="12.75" customHeight="1" hidden="1">
      <c r="A99" s="701"/>
      <c r="B99" s="701"/>
      <c r="C99" s="701" t="s">
        <v>323</v>
      </c>
      <c r="D99" s="925" t="s">
        <v>324</v>
      </c>
      <c r="E99" s="926"/>
      <c r="F99" s="702">
        <v>0</v>
      </c>
      <c r="G99" s="702">
        <v>0</v>
      </c>
      <c r="H99" s="702">
        <v>0</v>
      </c>
      <c r="I99" s="704">
        <f t="shared" si="5"/>
        <v>0</v>
      </c>
    </row>
    <row r="100" spans="1:9" ht="12.75" customHeight="1" hidden="1">
      <c r="A100" s="701"/>
      <c r="B100" s="701"/>
      <c r="C100" s="701" t="s">
        <v>325</v>
      </c>
      <c r="D100" s="925" t="s">
        <v>1029</v>
      </c>
      <c r="E100" s="926"/>
      <c r="F100" s="702">
        <v>0</v>
      </c>
      <c r="G100" s="702">
        <v>0</v>
      </c>
      <c r="H100" s="702">
        <v>0</v>
      </c>
      <c r="I100" s="704">
        <f t="shared" si="5"/>
        <v>0</v>
      </c>
    </row>
    <row r="101" spans="1:9" ht="1.5" customHeight="1" hidden="1">
      <c r="A101" s="701"/>
      <c r="B101" s="701"/>
      <c r="C101" s="701" t="s">
        <v>327</v>
      </c>
      <c r="D101" s="925" t="s">
        <v>326</v>
      </c>
      <c r="E101" s="926"/>
      <c r="F101" s="702">
        <f>SUM(F102:F111)</f>
        <v>201128</v>
      </c>
      <c r="G101" s="702">
        <f>SUM(G102:G111)</f>
        <v>0</v>
      </c>
      <c r="H101" s="702">
        <f>SUM(H102:H111)</f>
        <v>0</v>
      </c>
      <c r="I101" s="704">
        <f t="shared" si="5"/>
        <v>201128</v>
      </c>
    </row>
    <row r="102" spans="1:9" ht="0.75" customHeight="1" hidden="1">
      <c r="A102" s="710"/>
      <c r="B102" s="710"/>
      <c r="C102" s="703" t="s">
        <v>21</v>
      </c>
      <c r="D102" s="703" t="s">
        <v>284</v>
      </c>
      <c r="E102" s="703" t="s">
        <v>311</v>
      </c>
      <c r="F102" s="709">
        <v>0</v>
      </c>
      <c r="G102" s="709">
        <v>0</v>
      </c>
      <c r="H102" s="709">
        <v>0</v>
      </c>
      <c r="I102" s="704">
        <f t="shared" si="5"/>
        <v>0</v>
      </c>
    </row>
    <row r="103" spans="1:9" ht="12.75" hidden="1">
      <c r="A103" s="710"/>
      <c r="B103" s="710"/>
      <c r="C103" s="703"/>
      <c r="D103" s="703" t="s">
        <v>286</v>
      </c>
      <c r="E103" s="703" t="s">
        <v>1026</v>
      </c>
      <c r="F103" s="709">
        <v>9137</v>
      </c>
      <c r="G103" s="709">
        <v>0</v>
      </c>
      <c r="H103" s="709">
        <v>0</v>
      </c>
      <c r="I103" s="704">
        <f t="shared" si="5"/>
        <v>9137</v>
      </c>
    </row>
    <row r="104" spans="1:9" ht="12.75" hidden="1">
      <c r="A104" s="710"/>
      <c r="B104" s="710"/>
      <c r="C104" s="703"/>
      <c r="D104" s="703" t="s">
        <v>288</v>
      </c>
      <c r="E104" s="703" t="s">
        <v>312</v>
      </c>
      <c r="F104" s="709">
        <f>100+67</f>
        <v>167</v>
      </c>
      <c r="G104" s="709">
        <v>0</v>
      </c>
      <c r="H104" s="709">
        <v>0</v>
      </c>
      <c r="I104" s="704">
        <f t="shared" si="5"/>
        <v>167</v>
      </c>
    </row>
    <row r="105" spans="1:9" ht="12.75" hidden="1">
      <c r="A105" s="710"/>
      <c r="B105" s="710"/>
      <c r="C105" s="703"/>
      <c r="D105" s="703" t="s">
        <v>290</v>
      </c>
      <c r="E105" s="703" t="s">
        <v>313</v>
      </c>
      <c r="F105" s="709">
        <v>0</v>
      </c>
      <c r="G105" s="709">
        <v>0</v>
      </c>
      <c r="H105" s="709">
        <v>0</v>
      </c>
      <c r="I105" s="704">
        <f t="shared" si="5"/>
        <v>0</v>
      </c>
    </row>
    <row r="106" spans="1:9" ht="12.75" hidden="1">
      <c r="A106" s="710"/>
      <c r="B106" s="710"/>
      <c r="C106" s="703"/>
      <c r="D106" s="703" t="s">
        <v>292</v>
      </c>
      <c r="E106" s="703" t="s">
        <v>314</v>
      </c>
      <c r="F106" s="709">
        <v>0</v>
      </c>
      <c r="G106" s="709">
        <v>0</v>
      </c>
      <c r="H106" s="709">
        <v>0</v>
      </c>
      <c r="I106" s="704">
        <f t="shared" si="5"/>
        <v>0</v>
      </c>
    </row>
    <row r="107" spans="1:9" ht="1.5" customHeight="1" hidden="1">
      <c r="A107" s="710"/>
      <c r="B107" s="710"/>
      <c r="C107" s="703"/>
      <c r="D107" s="703" t="s">
        <v>294</v>
      </c>
      <c r="E107" s="703" t="s">
        <v>315</v>
      </c>
      <c r="F107" s="709">
        <v>0</v>
      </c>
      <c r="G107" s="709">
        <v>0</v>
      </c>
      <c r="H107" s="709">
        <v>0</v>
      </c>
      <c r="I107" s="704">
        <f t="shared" si="5"/>
        <v>0</v>
      </c>
    </row>
    <row r="108" spans="1:9" ht="12.75" hidden="1">
      <c r="A108" s="708"/>
      <c r="B108" s="708"/>
      <c r="C108" s="703"/>
      <c r="D108" s="703" t="s">
        <v>296</v>
      </c>
      <c r="E108" s="703" t="s">
        <v>316</v>
      </c>
      <c r="F108" s="709">
        <f>185178+416</f>
        <v>185594</v>
      </c>
      <c r="G108" s="709">
        <v>0</v>
      </c>
      <c r="H108" s="709">
        <v>0</v>
      </c>
      <c r="I108" s="704">
        <f t="shared" si="5"/>
        <v>185594</v>
      </c>
    </row>
    <row r="109" spans="1:9" ht="12.75" hidden="1">
      <c r="A109" s="708"/>
      <c r="B109" s="708"/>
      <c r="C109" s="703"/>
      <c r="D109" s="703" t="s">
        <v>298</v>
      </c>
      <c r="E109" s="703" t="s">
        <v>317</v>
      </c>
      <c r="F109" s="709">
        <f>9230-5429+3+20</f>
        <v>3824</v>
      </c>
      <c r="G109" s="709">
        <v>0</v>
      </c>
      <c r="H109" s="709">
        <v>0</v>
      </c>
      <c r="I109" s="704">
        <f t="shared" si="5"/>
        <v>3824</v>
      </c>
    </row>
    <row r="110" spans="1:9" ht="0.75" customHeight="1" hidden="1">
      <c r="A110" s="710"/>
      <c r="B110" s="710"/>
      <c r="C110" s="703"/>
      <c r="D110" s="703" t="s">
        <v>300</v>
      </c>
      <c r="E110" s="703" t="s">
        <v>319</v>
      </c>
      <c r="F110" s="709">
        <v>0</v>
      </c>
      <c r="G110" s="709">
        <v>0</v>
      </c>
      <c r="H110" s="709">
        <v>0</v>
      </c>
      <c r="I110" s="704">
        <f t="shared" si="5"/>
        <v>0</v>
      </c>
    </row>
    <row r="111" spans="1:9" ht="12.75" hidden="1">
      <c r="A111" s="710"/>
      <c r="B111" s="710"/>
      <c r="C111" s="703"/>
      <c r="D111" s="703" t="s">
        <v>302</v>
      </c>
      <c r="E111" s="703" t="s">
        <v>320</v>
      </c>
      <c r="F111" s="709">
        <f>999+1407</f>
        <v>2406</v>
      </c>
      <c r="G111" s="709">
        <v>0</v>
      </c>
      <c r="H111" s="709">
        <v>0</v>
      </c>
      <c r="I111" s="704">
        <f t="shared" si="5"/>
        <v>2406</v>
      </c>
    </row>
    <row r="112" spans="1:9" ht="12.75">
      <c r="A112" s="710"/>
      <c r="B112" s="743" t="s">
        <v>21</v>
      </c>
      <c r="C112" s="701" t="s">
        <v>1030</v>
      </c>
      <c r="D112" s="925" t="s">
        <v>328</v>
      </c>
      <c r="E112" s="926"/>
      <c r="F112" s="702">
        <f>SUM(F113:F120)</f>
        <v>54274</v>
      </c>
      <c r="G112" s="702">
        <f>SUM(G113:G120)</f>
        <v>0</v>
      </c>
      <c r="H112" s="702">
        <f>SUM(H113:H120)</f>
        <v>0</v>
      </c>
      <c r="I112" s="704">
        <f t="shared" si="5"/>
        <v>54274</v>
      </c>
    </row>
    <row r="113" spans="1:9" ht="12.75">
      <c r="A113" s="708"/>
      <c r="B113" s="708"/>
      <c r="C113" s="703"/>
      <c r="D113" s="711"/>
      <c r="E113" s="712" t="s">
        <v>699</v>
      </c>
      <c r="F113" s="709">
        <f>1000-1000</f>
        <v>0</v>
      </c>
      <c r="G113" s="709">
        <v>0</v>
      </c>
      <c r="H113" s="709">
        <v>0</v>
      </c>
      <c r="I113" s="704">
        <f t="shared" si="5"/>
        <v>0</v>
      </c>
    </row>
    <row r="114" spans="1:9" ht="12.75">
      <c r="A114" s="708"/>
      <c r="B114" s="708"/>
      <c r="C114" s="703"/>
      <c r="D114" s="711"/>
      <c r="E114" s="712" t="s">
        <v>1129</v>
      </c>
      <c r="F114" s="709">
        <f>200+2611</f>
        <v>2811</v>
      </c>
      <c r="G114" s="709">
        <v>0</v>
      </c>
      <c r="H114" s="709">
        <v>0</v>
      </c>
      <c r="I114" s="704">
        <f t="shared" si="5"/>
        <v>2811</v>
      </c>
    </row>
    <row r="115" spans="1:9" ht="12.75">
      <c r="A115" s="708"/>
      <c r="B115" s="708"/>
      <c r="C115" s="703"/>
      <c r="D115" s="711"/>
      <c r="E115" s="712" t="s">
        <v>1130</v>
      </c>
      <c r="F115" s="709">
        <f>1519-323+714+2900-127</f>
        <v>4683</v>
      </c>
      <c r="G115" s="709">
        <v>0</v>
      </c>
      <c r="H115" s="709">
        <v>0</v>
      </c>
      <c r="I115" s="704">
        <f t="shared" si="5"/>
        <v>4683</v>
      </c>
    </row>
    <row r="116" spans="1:9" ht="12.75">
      <c r="A116" s="708"/>
      <c r="B116" s="708"/>
      <c r="C116" s="703"/>
      <c r="D116" s="711"/>
      <c r="E116" s="712" t="s">
        <v>1131</v>
      </c>
      <c r="F116" s="709">
        <f>3000-1000-207</f>
        <v>1793</v>
      </c>
      <c r="G116" s="709">
        <v>0</v>
      </c>
      <c r="H116" s="709">
        <v>0</v>
      </c>
      <c r="I116" s="704">
        <f>SUM(F116:H116)</f>
        <v>1793</v>
      </c>
    </row>
    <row r="117" spans="1:9" ht="12.75">
      <c r="A117" s="708"/>
      <c r="B117" s="708"/>
      <c r="C117" s="703"/>
      <c r="D117" s="711"/>
      <c r="E117" s="712" t="s">
        <v>747</v>
      </c>
      <c r="F117" s="709">
        <f>1000-3517-100-859+720+3517-250+10-70-350-2250-2250-6000+12783-1000+410-1204-67-8-218-360+63</f>
        <v>0</v>
      </c>
      <c r="G117" s="709">
        <v>0</v>
      </c>
      <c r="H117" s="709">
        <v>0</v>
      </c>
      <c r="I117" s="704">
        <f t="shared" si="5"/>
        <v>0</v>
      </c>
    </row>
    <row r="118" spans="1:9" ht="12.75">
      <c r="A118" s="708"/>
      <c r="B118" s="708"/>
      <c r="C118" s="703"/>
      <c r="D118" s="711"/>
      <c r="E118" s="712" t="s">
        <v>1048</v>
      </c>
      <c r="F118" s="709">
        <f>-882-8489+122146-13962-41870-714-146-3-7982-9122-2900-2611-4252-16238-18-10330-1499-385-594-149</f>
        <v>0</v>
      </c>
      <c r="G118" s="709">
        <f>3234-3234</f>
        <v>0</v>
      </c>
      <c r="H118" s="709">
        <f>9549-9549</f>
        <v>0</v>
      </c>
      <c r="I118" s="704">
        <f t="shared" si="5"/>
        <v>0</v>
      </c>
    </row>
    <row r="119" spans="1:9" ht="12.75">
      <c r="A119" s="708"/>
      <c r="B119" s="708"/>
      <c r="C119" s="703"/>
      <c r="D119" s="711"/>
      <c r="E119" s="712" t="s">
        <v>1132</v>
      </c>
      <c r="F119" s="709">
        <v>40540</v>
      </c>
      <c r="G119" s="709">
        <v>0</v>
      </c>
      <c r="H119" s="709">
        <v>0</v>
      </c>
      <c r="I119" s="704">
        <f t="shared" si="5"/>
        <v>40540</v>
      </c>
    </row>
    <row r="120" spans="1:9" ht="12.75">
      <c r="A120" s="708"/>
      <c r="B120" s="708"/>
      <c r="C120" s="703"/>
      <c r="D120" s="711"/>
      <c r="E120" s="712" t="s">
        <v>329</v>
      </c>
      <c r="F120" s="709">
        <f>195+4252</f>
        <v>4447</v>
      </c>
      <c r="G120" s="709">
        <v>0</v>
      </c>
      <c r="H120" s="709">
        <v>0</v>
      </c>
      <c r="I120" s="704">
        <f t="shared" si="5"/>
        <v>4447</v>
      </c>
    </row>
    <row r="121" spans="1:9" ht="12" customHeight="1">
      <c r="A121" s="690" t="s">
        <v>251</v>
      </c>
      <c r="B121" s="931" t="s">
        <v>617</v>
      </c>
      <c r="C121" s="932"/>
      <c r="D121" s="932"/>
      <c r="E121" s="933"/>
      <c r="F121" s="691">
        <f>SUM(F122:F128)</f>
        <v>1196425</v>
      </c>
      <c r="G121" s="691">
        <f>SUM(G122:G128)</f>
        <v>615</v>
      </c>
      <c r="H121" s="691">
        <f>SUM(H122:H128)</f>
        <v>537</v>
      </c>
      <c r="I121" s="691">
        <f>SUM(F121:H121)</f>
        <v>1197577</v>
      </c>
    </row>
    <row r="122" spans="1:9" ht="12.75" hidden="1">
      <c r="A122" s="692"/>
      <c r="B122" s="692" t="s">
        <v>330</v>
      </c>
      <c r="C122" s="927" t="s">
        <v>331</v>
      </c>
      <c r="D122" s="927"/>
      <c r="E122" s="927"/>
      <c r="F122" s="693">
        <v>0</v>
      </c>
      <c r="G122" s="693">
        <v>0</v>
      </c>
      <c r="H122" s="693">
        <v>0</v>
      </c>
      <c r="I122" s="694">
        <f>SUM(F122:H122)</f>
        <v>0</v>
      </c>
    </row>
    <row r="123" spans="1:9" ht="12.75" hidden="1">
      <c r="A123" s="692"/>
      <c r="B123" s="692" t="s">
        <v>332</v>
      </c>
      <c r="C123" s="927" t="s">
        <v>333</v>
      </c>
      <c r="D123" s="927"/>
      <c r="E123" s="927"/>
      <c r="F123" s="693">
        <f>780343-1809+6550+28258+283+77</f>
        <v>813702</v>
      </c>
      <c r="G123" s="693">
        <v>0</v>
      </c>
      <c r="H123" s="693">
        <v>262</v>
      </c>
      <c r="I123" s="694">
        <f aca="true" t="shared" si="6" ref="I123:I128">SUM(F123:H123)</f>
        <v>813964</v>
      </c>
    </row>
    <row r="124" spans="1:9" ht="12.75" hidden="1">
      <c r="A124" s="692" t="s">
        <v>334</v>
      </c>
      <c r="B124" s="692" t="s">
        <v>335</v>
      </c>
      <c r="C124" s="927" t="s">
        <v>336</v>
      </c>
      <c r="D124" s="927"/>
      <c r="E124" s="927"/>
      <c r="F124" s="693">
        <f>315+134-134</f>
        <v>315</v>
      </c>
      <c r="G124" s="693">
        <v>134</v>
      </c>
      <c r="H124" s="693">
        <v>0</v>
      </c>
      <c r="I124" s="694">
        <f t="shared" si="6"/>
        <v>449</v>
      </c>
    </row>
    <row r="125" spans="1:9" ht="0.75" customHeight="1" hidden="1">
      <c r="A125" s="692"/>
      <c r="B125" s="692" t="s">
        <v>337</v>
      </c>
      <c r="C125" s="927" t="s">
        <v>338</v>
      </c>
      <c r="D125" s="927"/>
      <c r="E125" s="927"/>
      <c r="F125" s="693">
        <f>336605-4635+55+1063+4444+5+39+195+6949+8134</f>
        <v>352854</v>
      </c>
      <c r="G125" s="693">
        <v>350</v>
      </c>
      <c r="H125" s="693">
        <v>161</v>
      </c>
      <c r="I125" s="694">
        <f t="shared" si="6"/>
        <v>353365</v>
      </c>
    </row>
    <row r="126" spans="1:9" ht="12.75" hidden="1">
      <c r="A126" s="692"/>
      <c r="B126" s="692" t="s">
        <v>339</v>
      </c>
      <c r="C126" s="927" t="s">
        <v>340</v>
      </c>
      <c r="D126" s="927"/>
      <c r="E126" s="927"/>
      <c r="F126" s="693">
        <v>3000</v>
      </c>
      <c r="G126" s="693">
        <v>0</v>
      </c>
      <c r="H126" s="693">
        <v>0</v>
      </c>
      <c r="I126" s="694">
        <f t="shared" si="6"/>
        <v>3000</v>
      </c>
    </row>
    <row r="127" spans="1:9" ht="12.75" hidden="1">
      <c r="A127" s="692"/>
      <c r="B127" s="692" t="s">
        <v>341</v>
      </c>
      <c r="C127" s="927" t="s">
        <v>342</v>
      </c>
      <c r="D127" s="927"/>
      <c r="E127" s="927"/>
      <c r="F127" s="693">
        <v>0</v>
      </c>
      <c r="G127" s="693">
        <v>0</v>
      </c>
      <c r="H127" s="693">
        <v>0</v>
      </c>
      <c r="I127" s="694">
        <f t="shared" si="6"/>
        <v>0</v>
      </c>
    </row>
    <row r="128" spans="1:9" ht="12.75" hidden="1">
      <c r="A128" s="692"/>
      <c r="B128" s="692" t="s">
        <v>343</v>
      </c>
      <c r="C128" s="927" t="s">
        <v>344</v>
      </c>
      <c r="D128" s="927"/>
      <c r="E128" s="927"/>
      <c r="F128" s="693">
        <f>92678-1740+15+287+1200+1769+36+7630+1+10+53+1876+2196-36-79421</f>
        <v>26554</v>
      </c>
      <c r="G128" s="693">
        <f>95+36</f>
        <v>131</v>
      </c>
      <c r="H128" s="693">
        <f>43+71</f>
        <v>114</v>
      </c>
      <c r="I128" s="694">
        <f t="shared" si="6"/>
        <v>26799</v>
      </c>
    </row>
    <row r="129" spans="1:9" ht="12" customHeight="1">
      <c r="A129" s="690" t="s">
        <v>253</v>
      </c>
      <c r="B129" s="931" t="s">
        <v>252</v>
      </c>
      <c r="C129" s="932"/>
      <c r="D129" s="932"/>
      <c r="E129" s="933"/>
      <c r="F129" s="691">
        <f>SUM(F130:F133)</f>
        <v>18179</v>
      </c>
      <c r="G129" s="691">
        <f>SUM(G130:G133)</f>
        <v>0</v>
      </c>
      <c r="H129" s="691">
        <f>SUM(H130:H133)</f>
        <v>667</v>
      </c>
      <c r="I129" s="691">
        <f aca="true" t="shared" si="7" ref="I129:I135">SUM(F129:H129)</f>
        <v>18846</v>
      </c>
    </row>
    <row r="130" spans="1:9" ht="12.75" hidden="1">
      <c r="A130" s="692"/>
      <c r="B130" s="692" t="s">
        <v>345</v>
      </c>
      <c r="C130" s="927" t="s">
        <v>346</v>
      </c>
      <c r="D130" s="927"/>
      <c r="E130" s="927"/>
      <c r="F130" s="693">
        <f>969-237+1772+1772+10039</f>
        <v>14315</v>
      </c>
      <c r="G130" s="693">
        <v>0</v>
      </c>
      <c r="H130" s="693">
        <v>525</v>
      </c>
      <c r="I130" s="694">
        <f t="shared" si="7"/>
        <v>14840</v>
      </c>
    </row>
    <row r="131" spans="1:9" ht="12.75" hidden="1">
      <c r="A131" s="692"/>
      <c r="B131" s="692" t="s">
        <v>347</v>
      </c>
      <c r="C131" s="927" t="s">
        <v>348</v>
      </c>
      <c r="D131" s="927"/>
      <c r="E131" s="927"/>
      <c r="F131" s="693">
        <v>0</v>
      </c>
      <c r="G131" s="693">
        <v>0</v>
      </c>
      <c r="H131" s="693">
        <v>0</v>
      </c>
      <c r="I131" s="694">
        <f t="shared" si="7"/>
        <v>0</v>
      </c>
    </row>
    <row r="132" spans="1:9" ht="0.75" customHeight="1" hidden="1">
      <c r="A132" s="692" t="s">
        <v>334</v>
      </c>
      <c r="B132" s="692" t="s">
        <v>349</v>
      </c>
      <c r="C132" s="927" t="s">
        <v>350</v>
      </c>
      <c r="D132" s="927"/>
      <c r="E132" s="927"/>
      <c r="F132" s="693">
        <v>0</v>
      </c>
      <c r="G132" s="693">
        <v>0</v>
      </c>
      <c r="H132" s="693">
        <v>0</v>
      </c>
      <c r="I132" s="694">
        <f t="shared" si="7"/>
        <v>0</v>
      </c>
    </row>
    <row r="133" spans="1:9" ht="0.75" customHeight="1">
      <c r="A133" s="692"/>
      <c r="B133" s="692" t="s">
        <v>351</v>
      </c>
      <c r="C133" s="927" t="s">
        <v>352</v>
      </c>
      <c r="D133" s="927"/>
      <c r="E133" s="927"/>
      <c r="F133" s="693">
        <f>261-64+478+478+2711</f>
        <v>3864</v>
      </c>
      <c r="G133" s="693">
        <v>0</v>
      </c>
      <c r="H133" s="693">
        <v>142</v>
      </c>
      <c r="I133" s="694">
        <f t="shared" si="7"/>
        <v>4006</v>
      </c>
    </row>
    <row r="134" spans="1:9" ht="12.75" customHeight="1">
      <c r="A134" s="690" t="s">
        <v>255</v>
      </c>
      <c r="B134" s="931" t="s">
        <v>254</v>
      </c>
      <c r="C134" s="932"/>
      <c r="D134" s="932"/>
      <c r="E134" s="933"/>
      <c r="F134" s="691">
        <f>SUM(F135:F143)</f>
        <v>12290</v>
      </c>
      <c r="G134" s="691">
        <f>SUM(G135:G143)</f>
        <v>0</v>
      </c>
      <c r="H134" s="691">
        <f>SUM(H135:H143)</f>
        <v>0</v>
      </c>
      <c r="I134" s="691">
        <f t="shared" si="7"/>
        <v>12290</v>
      </c>
    </row>
    <row r="135" spans="1:9" ht="12.75" hidden="1">
      <c r="A135" s="692"/>
      <c r="B135" s="692" t="s">
        <v>353</v>
      </c>
      <c r="C135" s="927" t="s">
        <v>354</v>
      </c>
      <c r="D135" s="927"/>
      <c r="E135" s="927"/>
      <c r="F135" s="693">
        <v>0</v>
      </c>
      <c r="G135" s="693">
        <v>0</v>
      </c>
      <c r="H135" s="693">
        <v>0</v>
      </c>
      <c r="I135" s="694">
        <f t="shared" si="7"/>
        <v>0</v>
      </c>
    </row>
    <row r="136" spans="1:9" ht="12.75" hidden="1">
      <c r="A136" s="692"/>
      <c r="B136" s="692" t="s">
        <v>355</v>
      </c>
      <c r="C136" s="927" t="s">
        <v>356</v>
      </c>
      <c r="D136" s="927"/>
      <c r="E136" s="927"/>
      <c r="F136" s="693">
        <v>0</v>
      </c>
      <c r="G136" s="693">
        <v>0</v>
      </c>
      <c r="H136" s="693">
        <v>0</v>
      </c>
      <c r="I136" s="694">
        <f aca="true" t="shared" si="8" ref="I136:I157">SUM(F136:H136)</f>
        <v>0</v>
      </c>
    </row>
    <row r="137" spans="1:9" ht="12.75" hidden="1">
      <c r="A137" s="692" t="s">
        <v>334</v>
      </c>
      <c r="B137" s="692" t="s">
        <v>357</v>
      </c>
      <c r="C137" s="927" t="s">
        <v>358</v>
      </c>
      <c r="D137" s="927"/>
      <c r="E137" s="927"/>
      <c r="F137" s="693">
        <v>0</v>
      </c>
      <c r="G137" s="693">
        <v>0</v>
      </c>
      <c r="H137" s="693">
        <v>0</v>
      </c>
      <c r="I137" s="694">
        <f t="shared" si="8"/>
        <v>0</v>
      </c>
    </row>
    <row r="138" spans="1:9" ht="0.75" customHeight="1" hidden="1">
      <c r="A138" s="692"/>
      <c r="B138" s="692" t="s">
        <v>359</v>
      </c>
      <c r="C138" s="927" t="s">
        <v>360</v>
      </c>
      <c r="D138" s="927"/>
      <c r="E138" s="927"/>
      <c r="F138" s="693">
        <v>0</v>
      </c>
      <c r="G138" s="693">
        <v>0</v>
      </c>
      <c r="H138" s="693">
        <v>0</v>
      </c>
      <c r="I138" s="694">
        <f t="shared" si="8"/>
        <v>0</v>
      </c>
    </row>
    <row r="139" spans="1:9" ht="0.75" customHeight="1" hidden="1">
      <c r="A139" s="692"/>
      <c r="B139" s="692" t="s">
        <v>361</v>
      </c>
      <c r="C139" s="927" t="s">
        <v>362</v>
      </c>
      <c r="D139" s="927"/>
      <c r="E139" s="927"/>
      <c r="F139" s="693">
        <v>0</v>
      </c>
      <c r="G139" s="693">
        <v>0</v>
      </c>
      <c r="H139" s="693">
        <v>0</v>
      </c>
      <c r="I139" s="694">
        <f t="shared" si="8"/>
        <v>0</v>
      </c>
    </row>
    <row r="140" spans="1:9" ht="12.75" hidden="1">
      <c r="A140" s="692"/>
      <c r="B140" s="692" t="s">
        <v>363</v>
      </c>
      <c r="C140" s="927" t="s">
        <v>364</v>
      </c>
      <c r="D140" s="927"/>
      <c r="E140" s="927"/>
      <c r="F140" s="693">
        <v>0</v>
      </c>
      <c r="G140" s="693">
        <v>0</v>
      </c>
      <c r="H140" s="693">
        <v>0</v>
      </c>
      <c r="I140" s="694">
        <f t="shared" si="8"/>
        <v>0</v>
      </c>
    </row>
    <row r="141" spans="1:9" ht="12.75" hidden="1">
      <c r="A141" s="692"/>
      <c r="B141" s="692" t="s">
        <v>365</v>
      </c>
      <c r="C141" s="927" t="s">
        <v>366</v>
      </c>
      <c r="D141" s="927"/>
      <c r="E141" s="927"/>
      <c r="F141" s="693">
        <v>0</v>
      </c>
      <c r="G141" s="693">
        <v>0</v>
      </c>
      <c r="H141" s="693">
        <v>0</v>
      </c>
      <c r="I141" s="694">
        <f t="shared" si="8"/>
        <v>0</v>
      </c>
    </row>
    <row r="142" spans="1:9" ht="12.75" hidden="1">
      <c r="A142" s="692"/>
      <c r="B142" s="692" t="s">
        <v>367</v>
      </c>
      <c r="C142" s="927" t="s">
        <v>1032</v>
      </c>
      <c r="D142" s="927"/>
      <c r="E142" s="927"/>
      <c r="F142" s="693">
        <v>0</v>
      </c>
      <c r="G142" s="693">
        <v>0</v>
      </c>
      <c r="H142" s="693">
        <v>0</v>
      </c>
      <c r="I142" s="694">
        <f>SUM(F142:H142)</f>
        <v>0</v>
      </c>
    </row>
    <row r="143" spans="1:9" ht="0.75" customHeight="1" hidden="1">
      <c r="A143" s="692"/>
      <c r="B143" s="692" t="s">
        <v>1031</v>
      </c>
      <c r="C143" s="927" t="s">
        <v>368</v>
      </c>
      <c r="D143" s="927"/>
      <c r="E143" s="927"/>
      <c r="F143" s="693">
        <f>SUM(F144:F153)</f>
        <v>12290</v>
      </c>
      <c r="G143" s="693">
        <f>SUM(G144:G153)</f>
        <v>0</v>
      </c>
      <c r="H143" s="693">
        <f>SUM(H144:H153)</f>
        <v>0</v>
      </c>
      <c r="I143" s="694">
        <f t="shared" si="8"/>
        <v>12290</v>
      </c>
    </row>
    <row r="144" spans="1:9" ht="12.75" hidden="1">
      <c r="A144" s="710"/>
      <c r="B144" s="710"/>
      <c r="C144" s="703" t="s">
        <v>21</v>
      </c>
      <c r="D144" s="703" t="s">
        <v>284</v>
      </c>
      <c r="E144" s="703" t="s">
        <v>311</v>
      </c>
      <c r="F144" s="709">
        <v>0</v>
      </c>
      <c r="G144" s="709">
        <v>0</v>
      </c>
      <c r="H144" s="709">
        <v>0</v>
      </c>
      <c r="I144" s="694">
        <f t="shared" si="8"/>
        <v>0</v>
      </c>
    </row>
    <row r="145" spans="1:9" ht="12.75" hidden="1">
      <c r="A145" s="710"/>
      <c r="B145" s="710"/>
      <c r="C145" s="703"/>
      <c r="D145" s="703" t="s">
        <v>286</v>
      </c>
      <c r="E145" s="703" t="s">
        <v>1026</v>
      </c>
      <c r="F145" s="709">
        <v>399</v>
      </c>
      <c r="G145" s="709"/>
      <c r="H145" s="709"/>
      <c r="I145" s="694">
        <f t="shared" si="8"/>
        <v>399</v>
      </c>
    </row>
    <row r="146" spans="1:9" ht="12.75" hidden="1">
      <c r="A146" s="710"/>
      <c r="B146" s="710"/>
      <c r="C146" s="703"/>
      <c r="D146" s="703" t="s">
        <v>288</v>
      </c>
      <c r="E146" s="703" t="s">
        <v>312</v>
      </c>
      <c r="F146" s="709">
        <v>0</v>
      </c>
      <c r="G146" s="709">
        <v>0</v>
      </c>
      <c r="H146" s="709">
        <v>0</v>
      </c>
      <c r="I146" s="694">
        <f t="shared" si="8"/>
        <v>0</v>
      </c>
    </row>
    <row r="147" spans="1:9" ht="12.75" hidden="1">
      <c r="A147" s="710"/>
      <c r="B147" s="710"/>
      <c r="C147" s="703"/>
      <c r="D147" s="703" t="s">
        <v>290</v>
      </c>
      <c r="E147" s="703" t="s">
        <v>313</v>
      </c>
      <c r="F147" s="709">
        <v>0</v>
      </c>
      <c r="G147" s="709">
        <v>0</v>
      </c>
      <c r="H147" s="709">
        <v>0</v>
      </c>
      <c r="I147" s="694">
        <f t="shared" si="8"/>
        <v>0</v>
      </c>
    </row>
    <row r="148" spans="1:9" ht="12.75" hidden="1">
      <c r="A148" s="710"/>
      <c r="B148" s="710"/>
      <c r="C148" s="703"/>
      <c r="D148" s="703" t="s">
        <v>292</v>
      </c>
      <c r="E148" s="703" t="s">
        <v>314</v>
      </c>
      <c r="F148" s="709">
        <v>0</v>
      </c>
      <c r="G148" s="709">
        <v>0</v>
      </c>
      <c r="H148" s="709">
        <v>0</v>
      </c>
      <c r="I148" s="694">
        <f t="shared" si="8"/>
        <v>0</v>
      </c>
    </row>
    <row r="149" spans="1:9" ht="12.75" hidden="1">
      <c r="A149" s="710"/>
      <c r="B149" s="710"/>
      <c r="C149" s="703"/>
      <c r="D149" s="703" t="s">
        <v>294</v>
      </c>
      <c r="E149" s="703" t="s">
        <v>315</v>
      </c>
      <c r="F149" s="709">
        <v>0</v>
      </c>
      <c r="G149" s="709">
        <v>0</v>
      </c>
      <c r="H149" s="709">
        <v>0</v>
      </c>
      <c r="I149" s="694">
        <f t="shared" si="8"/>
        <v>0</v>
      </c>
    </row>
    <row r="150" spans="1:9" ht="12.75" hidden="1">
      <c r="A150" s="710"/>
      <c r="B150" s="710"/>
      <c r="C150" s="703"/>
      <c r="D150" s="703" t="s">
        <v>296</v>
      </c>
      <c r="E150" s="703" t="s">
        <v>316</v>
      </c>
      <c r="F150" s="709">
        <v>500</v>
      </c>
      <c r="G150" s="709">
        <v>0</v>
      </c>
      <c r="H150" s="709">
        <v>0</v>
      </c>
      <c r="I150" s="694">
        <f t="shared" si="8"/>
        <v>500</v>
      </c>
    </row>
    <row r="151" spans="1:9" ht="0.75" customHeight="1" hidden="1">
      <c r="A151" s="710"/>
      <c r="B151" s="710"/>
      <c r="C151" s="703"/>
      <c r="D151" s="703" t="s">
        <v>298</v>
      </c>
      <c r="E151" s="703" t="s">
        <v>317</v>
      </c>
      <c r="F151" s="709">
        <v>0</v>
      </c>
      <c r="G151" s="709">
        <v>0</v>
      </c>
      <c r="H151" s="709">
        <v>0</v>
      </c>
      <c r="I151" s="694">
        <f t="shared" si="8"/>
        <v>0</v>
      </c>
    </row>
    <row r="152" spans="1:9" ht="12.75" hidden="1">
      <c r="A152" s="710"/>
      <c r="B152" s="710"/>
      <c r="C152" s="703"/>
      <c r="D152" s="703" t="s">
        <v>300</v>
      </c>
      <c r="E152" s="703" t="s">
        <v>319</v>
      </c>
      <c r="F152" s="709">
        <v>0</v>
      </c>
      <c r="G152" s="709">
        <v>0</v>
      </c>
      <c r="H152" s="709">
        <v>0</v>
      </c>
      <c r="I152" s="694">
        <f t="shared" si="8"/>
        <v>0</v>
      </c>
    </row>
    <row r="153" spans="1:9" ht="12.75" hidden="1">
      <c r="A153" s="710"/>
      <c r="B153" s="710"/>
      <c r="C153" s="703"/>
      <c r="D153" s="703" t="s">
        <v>302</v>
      </c>
      <c r="E153" s="703" t="s">
        <v>320</v>
      </c>
      <c r="F153" s="709">
        <f>1830+9561</f>
        <v>11391</v>
      </c>
      <c r="G153" s="709">
        <v>0</v>
      </c>
      <c r="H153" s="709">
        <v>0</v>
      </c>
      <c r="I153" s="694">
        <f t="shared" si="8"/>
        <v>11391</v>
      </c>
    </row>
    <row r="154" spans="1:9" ht="12" customHeight="1">
      <c r="A154" s="690" t="s">
        <v>257</v>
      </c>
      <c r="B154" s="931" t="s">
        <v>256</v>
      </c>
      <c r="C154" s="932"/>
      <c r="D154" s="932"/>
      <c r="E154" s="933"/>
      <c r="F154" s="691">
        <f>SUM(F155:F157)</f>
        <v>86238</v>
      </c>
      <c r="G154" s="691">
        <f>SUM(G155:G157)</f>
        <v>0</v>
      </c>
      <c r="H154" s="691">
        <f>SUM(H155:H157)</f>
        <v>0</v>
      </c>
      <c r="I154" s="691">
        <f>SUM(F154:H154)</f>
        <v>86238</v>
      </c>
    </row>
    <row r="155" spans="1:9" ht="0.75" customHeight="1" hidden="1">
      <c r="A155" s="692"/>
      <c r="B155" s="692" t="s">
        <v>369</v>
      </c>
      <c r="C155" s="927" t="s">
        <v>370</v>
      </c>
      <c r="D155" s="927"/>
      <c r="E155" s="927"/>
      <c r="F155" s="693">
        <f>16238+70000</f>
        <v>86238</v>
      </c>
      <c r="G155" s="693">
        <v>0</v>
      </c>
      <c r="H155" s="693">
        <v>0</v>
      </c>
      <c r="I155" s="694">
        <f t="shared" si="8"/>
        <v>86238</v>
      </c>
    </row>
    <row r="156" spans="1:9" ht="12.75" hidden="1">
      <c r="A156" s="692"/>
      <c r="B156" s="692" t="s">
        <v>371</v>
      </c>
      <c r="C156" s="927" t="s">
        <v>372</v>
      </c>
      <c r="D156" s="927"/>
      <c r="E156" s="927"/>
      <c r="F156" s="693">
        <v>0</v>
      </c>
      <c r="G156" s="693">
        <v>0</v>
      </c>
      <c r="H156" s="693">
        <v>0</v>
      </c>
      <c r="I156" s="694">
        <f t="shared" si="8"/>
        <v>0</v>
      </c>
    </row>
    <row r="157" spans="1:9" ht="12.75" hidden="1">
      <c r="A157" s="692"/>
      <c r="B157" s="692" t="s">
        <v>373</v>
      </c>
      <c r="C157" s="927" t="s">
        <v>374</v>
      </c>
      <c r="D157" s="927"/>
      <c r="E157" s="927"/>
      <c r="F157" s="693">
        <v>0</v>
      </c>
      <c r="G157" s="693">
        <v>0</v>
      </c>
      <c r="H157" s="693">
        <v>0</v>
      </c>
      <c r="I157" s="694">
        <f t="shared" si="8"/>
        <v>0</v>
      </c>
    </row>
    <row r="158" spans="1:9" ht="12.75">
      <c r="A158" s="713"/>
      <c r="B158" s="714"/>
      <c r="C158" s="714"/>
      <c r="D158" s="714"/>
      <c r="E158" s="714"/>
      <c r="F158" s="725"/>
      <c r="G158" s="726"/>
      <c r="H158" s="726"/>
      <c r="I158" s="727"/>
    </row>
    <row r="159" spans="1:9" ht="15.75">
      <c r="A159" s="928" t="s">
        <v>375</v>
      </c>
      <c r="B159" s="929"/>
      <c r="C159" s="929"/>
      <c r="D159" s="929"/>
      <c r="E159" s="930"/>
      <c r="F159" s="715">
        <f>SUM(F7+F22+F28+F57+F77+F121+F129+F134+F154)</f>
        <v>2205876</v>
      </c>
      <c r="G159" s="715">
        <f>SUM(G7+G22+G28+G57+G77+G121+G129+G134+G154)</f>
        <v>184180</v>
      </c>
      <c r="H159" s="715">
        <f>SUM(H7+H22+H28+H57+H77+H121+H129+H134+H154)</f>
        <v>209519</v>
      </c>
      <c r="I159" s="715">
        <f>SUM(I7+I22+I28+I57+I77+I121+I129+I134+I154)</f>
        <v>2599575</v>
      </c>
    </row>
    <row r="162" spans="1:6" ht="15">
      <c r="A162" s="829" t="s">
        <v>1160</v>
      </c>
      <c r="B162" s="816"/>
      <c r="C162" s="816"/>
      <c r="D162" s="816"/>
      <c r="E162" s="816"/>
      <c r="F162" s="817"/>
    </row>
    <row r="163" spans="1:6" ht="15">
      <c r="A163" s="833" t="s">
        <v>1161</v>
      </c>
      <c r="B163" s="816"/>
      <c r="C163" s="816"/>
      <c r="D163" s="816"/>
      <c r="E163" s="816"/>
      <c r="F163" s="817"/>
    </row>
    <row r="164" spans="1:6" ht="15">
      <c r="A164" s="818" t="s">
        <v>1120</v>
      </c>
      <c r="B164" s="819"/>
      <c r="C164" s="819"/>
      <c r="D164" s="819"/>
      <c r="E164" s="819"/>
      <c r="F164" s="817"/>
    </row>
    <row r="165" spans="1:5" ht="12.75">
      <c r="A165" s="816"/>
      <c r="B165" s="816"/>
      <c r="C165" s="816"/>
      <c r="D165" s="816"/>
      <c r="E165" s="816"/>
    </row>
  </sheetData>
  <sheetProtection/>
  <mergeCells count="77">
    <mergeCell ref="C156:E156"/>
    <mergeCell ref="C138:E138"/>
    <mergeCell ref="C135:E135"/>
    <mergeCell ref="C137:E137"/>
    <mergeCell ref="C139:E139"/>
    <mergeCell ref="C143:E143"/>
    <mergeCell ref="B154:E154"/>
    <mergeCell ref="A1:I1"/>
    <mergeCell ref="C126:E126"/>
    <mergeCell ref="C127:E127"/>
    <mergeCell ref="C132:E132"/>
    <mergeCell ref="C142:E142"/>
    <mergeCell ref="B129:E129"/>
    <mergeCell ref="C133:E133"/>
    <mergeCell ref="B134:E134"/>
    <mergeCell ref="D81:E81"/>
    <mergeCell ref="A3:I3"/>
    <mergeCell ref="C71:E71"/>
    <mergeCell ref="D73:E73"/>
    <mergeCell ref="D74:E74"/>
    <mergeCell ref="D75:E75"/>
    <mergeCell ref="C58:E58"/>
    <mergeCell ref="D21:E21"/>
    <mergeCell ref="B28:E28"/>
    <mergeCell ref="C29:E29"/>
    <mergeCell ref="C32:E32"/>
    <mergeCell ref="D61:E61"/>
    <mergeCell ref="D60:E60"/>
    <mergeCell ref="C52:E52"/>
    <mergeCell ref="A5:E5"/>
    <mergeCell ref="B7:E7"/>
    <mergeCell ref="C8:E8"/>
    <mergeCell ref="C18:E18"/>
    <mergeCell ref="B6:E6"/>
    <mergeCell ref="D20:E20"/>
    <mergeCell ref="B22:E22"/>
    <mergeCell ref="C122:E122"/>
    <mergeCell ref="D94:E94"/>
    <mergeCell ref="C35:E35"/>
    <mergeCell ref="C49:E49"/>
    <mergeCell ref="D99:E99"/>
    <mergeCell ref="D100:E100"/>
    <mergeCell ref="C63:E63"/>
    <mergeCell ref="D65:E65"/>
    <mergeCell ref="C67:E67"/>
    <mergeCell ref="D55:E55"/>
    <mergeCell ref="B57:E57"/>
    <mergeCell ref="C59:E59"/>
    <mergeCell ref="D62:E62"/>
    <mergeCell ref="C64:E64"/>
    <mergeCell ref="D66:E66"/>
    <mergeCell ref="D68:E68"/>
    <mergeCell ref="C69:E69"/>
    <mergeCell ref="D70:E70"/>
    <mergeCell ref="C72:E72"/>
    <mergeCell ref="D76:E76"/>
    <mergeCell ref="B77:E77"/>
    <mergeCell ref="A159:E159"/>
    <mergeCell ref="D83:E83"/>
    <mergeCell ref="D95:E95"/>
    <mergeCell ref="D101:E101"/>
    <mergeCell ref="D112:E112"/>
    <mergeCell ref="B121:E121"/>
    <mergeCell ref="C128:E128"/>
    <mergeCell ref="C125:E125"/>
    <mergeCell ref="C155:E155"/>
    <mergeCell ref="C130:E130"/>
    <mergeCell ref="D80:E80"/>
    <mergeCell ref="D82:E82"/>
    <mergeCell ref="D98:E98"/>
    <mergeCell ref="C123:E123"/>
    <mergeCell ref="C124:E124"/>
    <mergeCell ref="C157:E157"/>
    <mergeCell ref="C140:E140"/>
    <mergeCell ref="C141:E141"/>
    <mergeCell ref="C136:E136"/>
    <mergeCell ref="C131:E131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J59"/>
  <sheetViews>
    <sheetView zoomScalePageLayoutView="0" workbookViewId="0" topLeftCell="A39">
      <selection activeCell="B62" sqref="B62"/>
    </sheetView>
  </sheetViews>
  <sheetFormatPr defaultColWidth="9.00390625" defaultRowHeight="12.75"/>
  <cols>
    <col min="1" max="1" width="4.125" style="136" bestFit="1" customWidth="1"/>
    <col min="2" max="2" width="55.125" style="67" bestFit="1" customWidth="1"/>
    <col min="3" max="5" width="9.00390625" style="67" customWidth="1"/>
    <col min="6" max="6" width="53.875" style="67" bestFit="1" customWidth="1"/>
    <col min="7" max="7" width="9.00390625" style="67" customWidth="1"/>
    <col min="8" max="9" width="10.125" style="67" bestFit="1" customWidth="1"/>
    <col min="10" max="16384" width="9.125" style="67" customWidth="1"/>
  </cols>
  <sheetData>
    <row r="1" spans="6:10" ht="18">
      <c r="F1" s="954" t="s">
        <v>1136</v>
      </c>
      <c r="G1" s="955"/>
      <c r="H1" s="955"/>
      <c r="I1" s="955"/>
      <c r="J1" s="118"/>
    </row>
    <row r="2" spans="2:9" ht="15.75">
      <c r="B2" s="956" t="s">
        <v>911</v>
      </c>
      <c r="C2" s="956"/>
      <c r="D2" s="956"/>
      <c r="E2" s="956"/>
      <c r="F2" s="956"/>
      <c r="G2" s="956"/>
      <c r="H2" s="956"/>
      <c r="I2" s="956"/>
    </row>
    <row r="4" spans="1:9" s="68" customFormat="1" ht="15.75">
      <c r="A4" s="958" t="s">
        <v>706</v>
      </c>
      <c r="B4" s="957" t="s">
        <v>714</v>
      </c>
      <c r="C4" s="957"/>
      <c r="D4" s="957"/>
      <c r="E4" s="957"/>
      <c r="F4" s="957" t="s">
        <v>611</v>
      </c>
      <c r="G4" s="957"/>
      <c r="H4" s="957"/>
      <c r="I4" s="957"/>
    </row>
    <row r="5" spans="1:9" s="71" customFormat="1" ht="14.25">
      <c r="A5" s="958"/>
      <c r="B5" s="69" t="s">
        <v>610</v>
      </c>
      <c r="C5" s="70" t="s">
        <v>565</v>
      </c>
      <c r="D5" s="70" t="s">
        <v>564</v>
      </c>
      <c r="E5" s="70" t="s">
        <v>563</v>
      </c>
      <c r="F5" s="69" t="s">
        <v>610</v>
      </c>
      <c r="G5" s="70" t="s">
        <v>565</v>
      </c>
      <c r="H5" s="70" t="s">
        <v>564</v>
      </c>
      <c r="I5" s="70" t="s">
        <v>563</v>
      </c>
    </row>
    <row r="6" spans="1:9" s="135" customFormat="1" ht="12">
      <c r="A6" s="958"/>
      <c r="B6" s="134" t="s">
        <v>700</v>
      </c>
      <c r="C6" s="134" t="s">
        <v>701</v>
      </c>
      <c r="D6" s="134" t="s">
        <v>702</v>
      </c>
      <c r="E6" s="134" t="s">
        <v>703</v>
      </c>
      <c r="F6" s="134" t="s">
        <v>704</v>
      </c>
      <c r="G6" s="134" t="s">
        <v>705</v>
      </c>
      <c r="H6" s="134" t="s">
        <v>708</v>
      </c>
      <c r="I6" s="134" t="s">
        <v>709</v>
      </c>
    </row>
    <row r="7" spans="1:9" s="92" customFormat="1" ht="14.25">
      <c r="A7" s="134">
        <v>1</v>
      </c>
      <c r="B7" s="91" t="s">
        <v>874</v>
      </c>
      <c r="C7" s="109">
        <f>SUM(C8)</f>
        <v>1083155</v>
      </c>
      <c r="D7" s="109">
        <f>SUM(D33,D8)</f>
        <v>1306641</v>
      </c>
      <c r="E7" s="109">
        <f aca="true" t="shared" si="0" ref="E7:E31">SUM(C7:D7)</f>
        <v>2389796</v>
      </c>
      <c r="F7" s="91" t="s">
        <v>875</v>
      </c>
      <c r="G7" s="109">
        <f>SUM(G8,G33)</f>
        <v>1239637</v>
      </c>
      <c r="H7" s="109">
        <f>SUM(H8,H33)</f>
        <v>1273700</v>
      </c>
      <c r="I7" s="109">
        <f aca="true" t="shared" si="1" ref="I7:I12">SUM(G7:H7)</f>
        <v>2513337</v>
      </c>
    </row>
    <row r="8" spans="1:9" s="101" customFormat="1" ht="12.75">
      <c r="A8" s="137">
        <v>2</v>
      </c>
      <c r="B8" s="98" t="s">
        <v>738</v>
      </c>
      <c r="C8" s="99">
        <f>SUM(C29+C18+C14+C9)</f>
        <v>1083155</v>
      </c>
      <c r="D8" s="99">
        <f>SUM(D29+D18+D14+D9)</f>
        <v>0</v>
      </c>
      <c r="E8" s="99">
        <f t="shared" si="0"/>
        <v>1083155</v>
      </c>
      <c r="F8" s="100" t="s">
        <v>744</v>
      </c>
      <c r="G8" s="99">
        <f>SUM(G9:G13)</f>
        <v>1239637</v>
      </c>
      <c r="H8" s="99">
        <f>SUM(H9:H13)</f>
        <v>44987</v>
      </c>
      <c r="I8" s="99">
        <f t="shared" si="1"/>
        <v>1284624</v>
      </c>
    </row>
    <row r="9" spans="1:9" s="74" customFormat="1" ht="12.75">
      <c r="A9" s="137">
        <v>3</v>
      </c>
      <c r="B9" s="107" t="s">
        <v>95</v>
      </c>
      <c r="C9" s="88">
        <f>SUM(C10:C13)</f>
        <v>744150</v>
      </c>
      <c r="D9" s="88">
        <v>0</v>
      </c>
      <c r="E9" s="88">
        <f t="shared" si="0"/>
        <v>744150</v>
      </c>
      <c r="F9" s="108" t="s">
        <v>745</v>
      </c>
      <c r="G9" s="88">
        <f>354028-1478+96+251+3+75649-732-480-50-75649+20648-20648+787+47+54+55+21+428+664+298+197+28+121+135+1243+97+1048+25-302+551</f>
        <v>357135</v>
      </c>
      <c r="H9" s="88">
        <v>0</v>
      </c>
      <c r="I9" s="88">
        <f t="shared" si="1"/>
        <v>357135</v>
      </c>
    </row>
    <row r="10" spans="1:9" s="74" customFormat="1" ht="12.75">
      <c r="A10" s="134">
        <v>4</v>
      </c>
      <c r="B10" s="85" t="s">
        <v>96</v>
      </c>
      <c r="C10" s="90">
        <f>525185+1721+1589+520+4960+416+960</f>
        <v>535351</v>
      </c>
      <c r="D10" s="90">
        <v>0</v>
      </c>
      <c r="E10" s="90">
        <f t="shared" si="0"/>
        <v>535351</v>
      </c>
      <c r="F10" s="108" t="s">
        <v>124</v>
      </c>
      <c r="G10" s="88">
        <f>92921-396+26+69+10213-198-10213+5467-5467+403+13+15+15+6+116+179+80+53+8+62+36+335+26+283+7-82+149</f>
        <v>94126</v>
      </c>
      <c r="H10" s="88">
        <v>0</v>
      </c>
      <c r="I10" s="88">
        <f t="shared" si="1"/>
        <v>94126</v>
      </c>
    </row>
    <row r="11" spans="1:9" s="74" customFormat="1" ht="12.75">
      <c r="A11" s="137">
        <v>5</v>
      </c>
      <c r="B11" s="85" t="s">
        <v>97</v>
      </c>
      <c r="C11" s="90">
        <f>842+39900+1455</f>
        <v>42197</v>
      </c>
      <c r="D11" s="90">
        <v>0</v>
      </c>
      <c r="E11" s="90">
        <f t="shared" si="0"/>
        <v>42197</v>
      </c>
      <c r="F11" s="108" t="s">
        <v>125</v>
      </c>
      <c r="G11" s="88">
        <f>607831-911-763-500+11330-221-40-80-50-50-30-50-40-50-30-100-50-500-50-50-35-12-50-50-10-11330+250+150-150-6+6+1589+4810+5105+5+2+850+14+146+7982-183+127+77+1204+8+435+230+196+22+61+14+49+66-284628+960+77+24+1052+440+592+962-578+79421+279-279+594+149+53-53+27-27-440</f>
        <v>425793</v>
      </c>
      <c r="H11" s="88">
        <v>0</v>
      </c>
      <c r="I11" s="88">
        <f t="shared" si="1"/>
        <v>425793</v>
      </c>
    </row>
    <row r="12" spans="1:9" s="74" customFormat="1" ht="12.75">
      <c r="A12" s="137">
        <v>6</v>
      </c>
      <c r="B12" s="85" t="s">
        <v>98</v>
      </c>
      <c r="C12" s="90">
        <f>253834-96734-5429+1428+20+700</f>
        <v>153819</v>
      </c>
      <c r="D12" s="90">
        <v>0</v>
      </c>
      <c r="E12" s="90">
        <f t="shared" si="0"/>
        <v>153819</v>
      </c>
      <c r="F12" s="108" t="s">
        <v>126</v>
      </c>
      <c r="G12" s="88">
        <f>57589+2580+1330</f>
        <v>61499</v>
      </c>
      <c r="H12" s="88">
        <v>0</v>
      </c>
      <c r="I12" s="88">
        <f t="shared" si="1"/>
        <v>61499</v>
      </c>
    </row>
    <row r="13" spans="1:9" s="74" customFormat="1" ht="12.75">
      <c r="A13" s="134">
        <v>7</v>
      </c>
      <c r="B13" s="85" t="s">
        <v>1055</v>
      </c>
      <c r="C13" s="90">
        <v>12783</v>
      </c>
      <c r="D13" s="90">
        <v>0</v>
      </c>
      <c r="E13" s="90">
        <f t="shared" si="0"/>
        <v>12783</v>
      </c>
      <c r="F13" s="112" t="s">
        <v>129</v>
      </c>
      <c r="G13" s="88">
        <f>SUM(G14:G20)</f>
        <v>301084</v>
      </c>
      <c r="H13" s="88">
        <f>SUM(H14:H20)</f>
        <v>44987</v>
      </c>
      <c r="I13" s="88">
        <f aca="true" t="shared" si="2" ref="I13:I20">SUM(G13:H13)</f>
        <v>346071</v>
      </c>
    </row>
    <row r="14" spans="1:9" s="75" customFormat="1" ht="12.75">
      <c r="A14" s="137">
        <v>8</v>
      </c>
      <c r="B14" s="107" t="s">
        <v>102</v>
      </c>
      <c r="C14" s="88">
        <f>SUM(C15:C17)</f>
        <v>170970</v>
      </c>
      <c r="D14" s="88">
        <f>SUM(D15:D17)</f>
        <v>0</v>
      </c>
      <c r="E14" s="88">
        <f t="shared" si="0"/>
        <v>170970</v>
      </c>
      <c r="F14" s="87" t="s">
        <v>127</v>
      </c>
      <c r="G14" s="90">
        <f>250+186</f>
        <v>436</v>
      </c>
      <c r="H14" s="90">
        <v>0</v>
      </c>
      <c r="I14" s="90">
        <f t="shared" si="2"/>
        <v>436</v>
      </c>
    </row>
    <row r="15" spans="1:9" s="75" customFormat="1" ht="12.75">
      <c r="A15" s="137">
        <v>9</v>
      </c>
      <c r="B15" s="85" t="s">
        <v>229</v>
      </c>
      <c r="C15" s="90">
        <f>147200+1970</f>
        <v>149170</v>
      </c>
      <c r="D15" s="90">
        <v>0</v>
      </c>
      <c r="E15" s="90">
        <f t="shared" si="0"/>
        <v>149170</v>
      </c>
      <c r="F15" s="87" t="s">
        <v>982</v>
      </c>
      <c r="G15" s="90">
        <f>14668+7000</f>
        <v>21668</v>
      </c>
      <c r="H15" s="90">
        <v>0</v>
      </c>
      <c r="I15" s="90">
        <f t="shared" si="2"/>
        <v>21668</v>
      </c>
    </row>
    <row r="16" spans="1:9" s="75" customFormat="1" ht="12.75">
      <c r="A16" s="134">
        <v>10</v>
      </c>
      <c r="B16" s="86" t="s">
        <v>136</v>
      </c>
      <c r="C16" s="90">
        <v>20000</v>
      </c>
      <c r="D16" s="90">
        <v>0</v>
      </c>
      <c r="E16" s="90">
        <f t="shared" si="0"/>
        <v>20000</v>
      </c>
      <c r="F16" s="87" t="s">
        <v>128</v>
      </c>
      <c r="G16" s="90">
        <f>220969-8000-1650+3650-5230-650-3540-7-682-803-5000+5487+100-5429+14274-14274+3+1407+416+67+20</f>
        <v>201128</v>
      </c>
      <c r="H16" s="90">
        <v>0</v>
      </c>
      <c r="I16" s="90">
        <f t="shared" si="2"/>
        <v>201128</v>
      </c>
    </row>
    <row r="17" spans="1:9" s="75" customFormat="1" ht="12.75">
      <c r="A17" s="137">
        <v>11</v>
      </c>
      <c r="B17" s="85" t="s">
        <v>103</v>
      </c>
      <c r="C17" s="90">
        <v>1800</v>
      </c>
      <c r="D17" s="90">
        <v>0</v>
      </c>
      <c r="E17" s="90">
        <f t="shared" si="0"/>
        <v>1800</v>
      </c>
      <c r="F17" s="87" t="s">
        <v>1056</v>
      </c>
      <c r="G17" s="90">
        <f>13962+18+447</f>
        <v>14427</v>
      </c>
      <c r="H17" s="90">
        <v>0</v>
      </c>
      <c r="I17" s="90">
        <f t="shared" si="2"/>
        <v>14427</v>
      </c>
    </row>
    <row r="18" spans="1:9" s="74" customFormat="1" ht="12.75">
      <c r="A18" s="137">
        <v>12</v>
      </c>
      <c r="B18" s="107" t="s">
        <v>104</v>
      </c>
      <c r="C18" s="88">
        <f>SUM(C19:C28)</f>
        <v>145919</v>
      </c>
      <c r="D18" s="88">
        <f>SUM(D19:D28)</f>
        <v>0</v>
      </c>
      <c r="E18" s="88">
        <f t="shared" si="0"/>
        <v>145919</v>
      </c>
      <c r="F18" s="87" t="s">
        <v>1057</v>
      </c>
      <c r="G18" s="90">
        <f>3234+9549</f>
        <v>12783</v>
      </c>
      <c r="H18" s="90">
        <v>0</v>
      </c>
      <c r="I18" s="90">
        <f t="shared" si="2"/>
        <v>12783</v>
      </c>
    </row>
    <row r="19" spans="1:9" s="74" customFormat="1" ht="12.75">
      <c r="A19" s="134">
        <v>13</v>
      </c>
      <c r="B19" s="85" t="s">
        <v>1034</v>
      </c>
      <c r="C19" s="90">
        <f>8037+14+63+81+66</f>
        <v>8261</v>
      </c>
      <c r="D19" s="90">
        <v>0</v>
      </c>
      <c r="E19" s="90">
        <f t="shared" si="0"/>
        <v>8261</v>
      </c>
      <c r="F19" s="87" t="s">
        <v>1058</v>
      </c>
      <c r="G19" s="90">
        <f>1000+200+1000+1519+3000-323-3517-100-859+720+3517-250+10-70-350-1000-2250-2250-6000+53177-13962-5976+714-714-146-3-7982+2900-2900+2611-2611-16238-18+12783-1000+410-127+3234-3234+9549-9549-1204-67-8-218-360+63-1000-1499-385-207-594-149</f>
        <v>9287</v>
      </c>
      <c r="H19" s="90">
        <f>195+40540-882-8489+68969-35894-9122-4252+4252-10330</f>
        <v>44987</v>
      </c>
      <c r="I19" s="90">
        <f t="shared" si="2"/>
        <v>54274</v>
      </c>
    </row>
    <row r="20" spans="1:9" s="74" customFormat="1" ht="12.75">
      <c r="A20" s="137">
        <v>14</v>
      </c>
      <c r="B20" s="85" t="s">
        <v>105</v>
      </c>
      <c r="C20" s="90">
        <f>85516+195</f>
        <v>85711</v>
      </c>
      <c r="D20" s="90">
        <v>0</v>
      </c>
      <c r="E20" s="90">
        <f t="shared" si="0"/>
        <v>85711</v>
      </c>
      <c r="F20" s="87" t="s">
        <v>1137</v>
      </c>
      <c r="G20" s="90">
        <f>39900+1455</f>
        <v>41355</v>
      </c>
      <c r="H20" s="90">
        <v>0</v>
      </c>
      <c r="I20" s="90">
        <f t="shared" si="2"/>
        <v>41355</v>
      </c>
    </row>
    <row r="21" spans="1:9" s="74" customFormat="1" ht="12.75">
      <c r="A21" s="137">
        <v>15</v>
      </c>
      <c r="B21" s="85" t="s">
        <v>106</v>
      </c>
      <c r="C21" s="90">
        <v>10835</v>
      </c>
      <c r="D21" s="90">
        <v>0</v>
      </c>
      <c r="E21" s="90">
        <f t="shared" si="0"/>
        <v>10835</v>
      </c>
      <c r="F21" s="87"/>
      <c r="G21" s="90"/>
      <c r="H21" s="90"/>
      <c r="I21" s="90"/>
    </row>
    <row r="22" spans="1:9" s="74" customFormat="1" ht="12.75">
      <c r="A22" s="134">
        <v>16</v>
      </c>
      <c r="B22" s="85" t="s">
        <v>926</v>
      </c>
      <c r="C22" s="90">
        <v>695</v>
      </c>
      <c r="D22" s="90">
        <v>0</v>
      </c>
      <c r="E22" s="90">
        <f t="shared" si="0"/>
        <v>695</v>
      </c>
      <c r="F22" s="87"/>
      <c r="G22" s="90"/>
      <c r="H22" s="90"/>
      <c r="I22" s="90"/>
    </row>
    <row r="23" spans="1:9" s="74" customFormat="1" ht="12.75">
      <c r="A23" s="137">
        <v>17</v>
      </c>
      <c r="B23" s="85" t="s">
        <v>107</v>
      </c>
      <c r="C23" s="90">
        <v>10183</v>
      </c>
      <c r="D23" s="90">
        <v>0</v>
      </c>
      <c r="E23" s="90">
        <f t="shared" si="0"/>
        <v>10183</v>
      </c>
      <c r="F23" s="87"/>
      <c r="G23" s="90"/>
      <c r="H23" s="90"/>
      <c r="I23" s="90"/>
    </row>
    <row r="24" spans="1:9" s="74" customFormat="1" ht="12.75">
      <c r="A24" s="137">
        <v>18</v>
      </c>
      <c r="B24" s="85" t="s">
        <v>108</v>
      </c>
      <c r="C24" s="90">
        <f>23714+22+4+17+22+18</f>
        <v>23797</v>
      </c>
      <c r="D24" s="90">
        <v>0</v>
      </c>
      <c r="E24" s="90">
        <f t="shared" si="0"/>
        <v>23797</v>
      </c>
      <c r="F24" s="73"/>
      <c r="G24" s="90"/>
      <c r="H24" s="89"/>
      <c r="I24" s="89"/>
    </row>
    <row r="25" spans="1:9" s="74" customFormat="1" ht="12.75">
      <c r="A25" s="137">
        <v>19</v>
      </c>
      <c r="B25" s="85" t="s">
        <v>501</v>
      </c>
      <c r="C25" s="90">
        <f>284628+4762+77-284628</f>
        <v>4839</v>
      </c>
      <c r="D25" s="90">
        <v>0</v>
      </c>
      <c r="E25" s="90">
        <f t="shared" si="0"/>
        <v>4839</v>
      </c>
      <c r="F25" s="73"/>
      <c r="G25" s="90"/>
      <c r="H25" s="89"/>
      <c r="I25" s="89"/>
    </row>
    <row r="26" spans="1:9" s="72" customFormat="1" ht="12.75">
      <c r="A26" s="134">
        <v>20</v>
      </c>
      <c r="B26" s="85" t="s">
        <v>109</v>
      </c>
      <c r="C26" s="90">
        <v>487</v>
      </c>
      <c r="D26" s="90">
        <v>0</v>
      </c>
      <c r="E26" s="90">
        <f t="shared" si="0"/>
        <v>487</v>
      </c>
      <c r="F26" s="73"/>
      <c r="G26" s="90"/>
      <c r="H26" s="89"/>
      <c r="I26" s="89"/>
    </row>
    <row r="27" spans="1:9" s="72" customFormat="1" ht="12.75">
      <c r="A27" s="134">
        <v>21</v>
      </c>
      <c r="B27" s="85" t="s">
        <v>110</v>
      </c>
      <c r="C27" s="90">
        <f>270+410+47+330</f>
        <v>1057</v>
      </c>
      <c r="D27" s="90">
        <v>0</v>
      </c>
      <c r="E27" s="90">
        <f>SUM(C27:D27)</f>
        <v>1057</v>
      </c>
      <c r="F27" s="73"/>
      <c r="G27" s="90"/>
      <c r="H27" s="89"/>
      <c r="I27" s="89"/>
    </row>
    <row r="28" spans="1:9" s="72" customFormat="1" ht="12.75">
      <c r="A28" s="137">
        <v>22</v>
      </c>
      <c r="B28" s="85" t="s">
        <v>1138</v>
      </c>
      <c r="C28" s="90">
        <f>30+24</f>
        <v>54</v>
      </c>
      <c r="D28" s="90">
        <v>0</v>
      </c>
      <c r="E28" s="90">
        <f>SUM(C28:D28)</f>
        <v>54</v>
      </c>
      <c r="F28" s="73"/>
      <c r="G28" s="89"/>
      <c r="H28" s="89"/>
      <c r="I28" s="89"/>
    </row>
    <row r="29" spans="1:9" s="72" customFormat="1" ht="12.75">
      <c r="A29" s="137">
        <v>23</v>
      </c>
      <c r="B29" s="107" t="s">
        <v>116</v>
      </c>
      <c r="C29" s="88">
        <f>SUM(C30:C31)</f>
        <v>22116</v>
      </c>
      <c r="D29" s="88">
        <v>0</v>
      </c>
      <c r="E29" s="88">
        <f t="shared" si="0"/>
        <v>22116</v>
      </c>
      <c r="F29" s="73"/>
      <c r="G29" s="89"/>
      <c r="H29" s="89"/>
      <c r="I29" s="89"/>
    </row>
    <row r="30" spans="1:9" s="72" customFormat="1" ht="12.75">
      <c r="A30" s="134">
        <v>24</v>
      </c>
      <c r="B30" s="85" t="s">
        <v>117</v>
      </c>
      <c r="C30" s="90">
        <f>14668+7000</f>
        <v>21668</v>
      </c>
      <c r="D30" s="90">
        <v>0</v>
      </c>
      <c r="E30" s="90">
        <f t="shared" si="0"/>
        <v>21668</v>
      </c>
      <c r="F30" s="73"/>
      <c r="G30" s="89"/>
      <c r="H30" s="89"/>
      <c r="I30" s="89"/>
    </row>
    <row r="31" spans="1:9" s="101" customFormat="1" ht="12.75">
      <c r="A31" s="137">
        <v>25</v>
      </c>
      <c r="B31" s="85" t="s">
        <v>118</v>
      </c>
      <c r="C31" s="90">
        <f>217+230+1</f>
        <v>448</v>
      </c>
      <c r="D31" s="90">
        <v>0</v>
      </c>
      <c r="E31" s="90">
        <f t="shared" si="0"/>
        <v>448</v>
      </c>
      <c r="F31" s="73"/>
      <c r="G31" s="89"/>
      <c r="H31" s="89"/>
      <c r="I31" s="89"/>
    </row>
    <row r="32" spans="1:9" s="72" customFormat="1" ht="12.75">
      <c r="A32" s="137">
        <v>26</v>
      </c>
      <c r="B32" s="85"/>
      <c r="C32" s="90"/>
      <c r="D32" s="90"/>
      <c r="E32" s="90"/>
      <c r="F32" s="73"/>
      <c r="G32" s="89"/>
      <c r="H32" s="89"/>
      <c r="I32" s="89"/>
    </row>
    <row r="33" spans="1:9" s="72" customFormat="1" ht="12.75">
      <c r="A33" s="134">
        <v>27</v>
      </c>
      <c r="B33" s="102" t="s">
        <v>743</v>
      </c>
      <c r="C33" s="99">
        <f>SUM(C42+C37+C34)</f>
        <v>0</v>
      </c>
      <c r="D33" s="99">
        <f>SUM(D42+D37+D34)</f>
        <v>1306641</v>
      </c>
      <c r="E33" s="99">
        <f>SUM(D33:D33)</f>
        <v>1306641</v>
      </c>
      <c r="F33" s="100" t="s">
        <v>560</v>
      </c>
      <c r="G33" s="99">
        <f>SUM(G34:G36)</f>
        <v>0</v>
      </c>
      <c r="H33" s="99">
        <f>SUM(H34:H36)</f>
        <v>1228713</v>
      </c>
      <c r="I33" s="99">
        <f aca="true" t="shared" si="3" ref="I33:I41">SUM(G33:H33)</f>
        <v>1228713</v>
      </c>
    </row>
    <row r="34" spans="1:9" s="72" customFormat="1" ht="12.75">
      <c r="A34" s="137" t="s">
        <v>1139</v>
      </c>
      <c r="B34" s="107" t="s">
        <v>99</v>
      </c>
      <c r="C34" s="88">
        <f>SUM(C35:C36)</f>
        <v>0</v>
      </c>
      <c r="D34" s="88">
        <f>SUM(D35:D36)</f>
        <v>1046901</v>
      </c>
      <c r="E34" s="88">
        <f>SUM(D34:D34)</f>
        <v>1046901</v>
      </c>
      <c r="F34" s="108" t="s">
        <v>130</v>
      </c>
      <c r="G34" s="88">
        <v>0</v>
      </c>
      <c r="H34" s="88">
        <f>1206490-7620+6000+430+156+8184-50-8184+70+1350+5644+8489+35888+6+9122+10330+333+360-170-79421+170</f>
        <v>1197577</v>
      </c>
      <c r="I34" s="88">
        <f t="shared" si="3"/>
        <v>1197577</v>
      </c>
    </row>
    <row r="35" spans="1:9" s="72" customFormat="1" ht="12.75">
      <c r="A35" s="137">
        <v>29</v>
      </c>
      <c r="B35" s="85" t="s">
        <v>100</v>
      </c>
      <c r="C35" s="90">
        <v>0</v>
      </c>
      <c r="D35" s="90">
        <f>12750</f>
        <v>12750</v>
      </c>
      <c r="E35" s="90">
        <f aca="true" t="shared" si="4" ref="E35:E44">SUM(D35:D35)</f>
        <v>12750</v>
      </c>
      <c r="F35" s="108" t="s">
        <v>131</v>
      </c>
      <c r="G35" s="88">
        <v>0</v>
      </c>
      <c r="H35" s="88">
        <f>929+301-301+2250+2250+667+12750</f>
        <v>18846</v>
      </c>
      <c r="I35" s="88">
        <f t="shared" si="3"/>
        <v>18846</v>
      </c>
    </row>
    <row r="36" spans="1:9" s="72" customFormat="1" ht="12.75">
      <c r="A36" s="134">
        <v>30</v>
      </c>
      <c r="B36" s="85" t="s">
        <v>101</v>
      </c>
      <c r="C36" s="90">
        <v>0</v>
      </c>
      <c r="D36" s="90">
        <f>1032834-8223+9540</f>
        <v>1034151</v>
      </c>
      <c r="E36" s="90">
        <f t="shared" si="4"/>
        <v>1034151</v>
      </c>
      <c r="F36" s="108" t="s">
        <v>132</v>
      </c>
      <c r="G36" s="88">
        <f>SUM(G37:G41)</f>
        <v>0</v>
      </c>
      <c r="H36" s="88">
        <f>SUM(H37:H41)</f>
        <v>12290</v>
      </c>
      <c r="I36" s="88">
        <f t="shared" si="3"/>
        <v>12290</v>
      </c>
    </row>
    <row r="37" spans="1:9" s="74" customFormat="1" ht="12.75">
      <c r="A37" s="137">
        <v>31</v>
      </c>
      <c r="B37" s="107" t="s">
        <v>111</v>
      </c>
      <c r="C37" s="88">
        <f>SUM(C38:C41)</f>
        <v>0</v>
      </c>
      <c r="D37" s="88">
        <f>SUM(D38:D41)</f>
        <v>43282</v>
      </c>
      <c r="E37" s="88">
        <f t="shared" si="4"/>
        <v>43282</v>
      </c>
      <c r="F37" s="87" t="s">
        <v>133</v>
      </c>
      <c r="G37" s="90">
        <v>0</v>
      </c>
      <c r="H37" s="90">
        <v>0</v>
      </c>
      <c r="I37" s="90">
        <f t="shared" si="3"/>
        <v>0</v>
      </c>
    </row>
    <row r="38" spans="1:9" s="74" customFormat="1" ht="12.75">
      <c r="A38" s="137">
        <v>32</v>
      </c>
      <c r="B38" s="85" t="s">
        <v>112</v>
      </c>
      <c r="C38" s="90">
        <v>0</v>
      </c>
      <c r="D38" s="90">
        <v>0</v>
      </c>
      <c r="E38" s="90">
        <f t="shared" si="4"/>
        <v>0</v>
      </c>
      <c r="F38" s="87" t="s">
        <v>134</v>
      </c>
      <c r="G38" s="90">
        <v>0</v>
      </c>
      <c r="H38" s="90">
        <v>0</v>
      </c>
      <c r="I38" s="90">
        <f t="shared" si="3"/>
        <v>0</v>
      </c>
    </row>
    <row r="39" spans="1:9" s="76" customFormat="1" ht="13.5">
      <c r="A39" s="134">
        <v>33</v>
      </c>
      <c r="B39" s="85" t="s">
        <v>113</v>
      </c>
      <c r="C39" s="90">
        <f>SUM(C40:C41)</f>
        <v>0</v>
      </c>
      <c r="D39" s="90">
        <f>16000+10000+17272</f>
        <v>43272</v>
      </c>
      <c r="E39" s="90">
        <f t="shared" si="4"/>
        <v>43272</v>
      </c>
      <c r="F39" s="87" t="s">
        <v>135</v>
      </c>
      <c r="G39" s="90">
        <v>0</v>
      </c>
      <c r="H39" s="90">
        <v>0</v>
      </c>
      <c r="I39" s="90">
        <f t="shared" si="3"/>
        <v>0</v>
      </c>
    </row>
    <row r="40" spans="1:9" s="76" customFormat="1" ht="13.5">
      <c r="A40" s="137">
        <v>34</v>
      </c>
      <c r="B40" s="85" t="s">
        <v>114</v>
      </c>
      <c r="C40" s="90">
        <v>0</v>
      </c>
      <c r="D40" s="90">
        <v>0</v>
      </c>
      <c r="E40" s="90">
        <f t="shared" si="4"/>
        <v>0</v>
      </c>
      <c r="F40" s="87" t="s">
        <v>137</v>
      </c>
      <c r="G40" s="90">
        <v>0</v>
      </c>
      <c r="H40" s="90">
        <v>0</v>
      </c>
      <c r="I40" s="90">
        <f t="shared" si="3"/>
        <v>0</v>
      </c>
    </row>
    <row r="41" spans="1:9" s="76" customFormat="1" ht="13.5">
      <c r="A41" s="137">
        <v>35</v>
      </c>
      <c r="B41" s="85" t="s">
        <v>115</v>
      </c>
      <c r="C41" s="90">
        <v>0</v>
      </c>
      <c r="D41" s="90">
        <v>10</v>
      </c>
      <c r="E41" s="90">
        <f t="shared" si="4"/>
        <v>10</v>
      </c>
      <c r="F41" s="87" t="s">
        <v>138</v>
      </c>
      <c r="G41" s="90">
        <v>0</v>
      </c>
      <c r="H41" s="90">
        <f>2729+9561</f>
        <v>12290</v>
      </c>
      <c r="I41" s="90">
        <f t="shared" si="3"/>
        <v>12290</v>
      </c>
    </row>
    <row r="42" spans="1:9" s="76" customFormat="1" ht="13.5">
      <c r="A42" s="134">
        <v>36</v>
      </c>
      <c r="B42" s="107" t="s">
        <v>119</v>
      </c>
      <c r="C42" s="88">
        <f>SUM(C43:C44)</f>
        <v>0</v>
      </c>
      <c r="D42" s="88">
        <f>SUM(D43:D44)</f>
        <v>216458</v>
      </c>
      <c r="E42" s="88">
        <f t="shared" si="4"/>
        <v>216458</v>
      </c>
      <c r="F42" s="87"/>
      <c r="G42" s="90"/>
      <c r="H42" s="90"/>
      <c r="I42" s="90"/>
    </row>
    <row r="43" spans="1:9" s="78" customFormat="1" ht="15">
      <c r="A43" s="137">
        <v>37</v>
      </c>
      <c r="B43" s="85" t="s">
        <v>120</v>
      </c>
      <c r="C43" s="90">
        <v>0</v>
      </c>
      <c r="D43" s="90">
        <v>40540</v>
      </c>
      <c r="E43" s="90">
        <f t="shared" si="4"/>
        <v>40540</v>
      </c>
      <c r="F43" s="77"/>
      <c r="G43" s="90"/>
      <c r="H43" s="90"/>
      <c r="I43" s="90"/>
    </row>
    <row r="44" spans="1:9" s="78" customFormat="1" ht="15">
      <c r="A44" s="137">
        <v>38</v>
      </c>
      <c r="B44" s="85" t="s">
        <v>121</v>
      </c>
      <c r="C44" s="90">
        <v>0</v>
      </c>
      <c r="D44" s="90">
        <f>172401+3517</f>
        <v>175918</v>
      </c>
      <c r="E44" s="90">
        <f t="shared" si="4"/>
        <v>175918</v>
      </c>
      <c r="F44" s="77"/>
      <c r="G44" s="90"/>
      <c r="H44" s="90"/>
      <c r="I44" s="90"/>
    </row>
    <row r="45" spans="1:9" s="78" customFormat="1" ht="15">
      <c r="A45" s="959"/>
      <c r="B45" s="960"/>
      <c r="C45" s="960"/>
      <c r="D45" s="960"/>
      <c r="E45" s="960"/>
      <c r="F45" s="960"/>
      <c r="G45" s="960"/>
      <c r="H45" s="960"/>
      <c r="I45" s="961"/>
    </row>
    <row r="46" spans="1:9" s="95" customFormat="1" ht="15">
      <c r="A46" s="137">
        <v>39</v>
      </c>
      <c r="B46" s="962" t="s">
        <v>876</v>
      </c>
      <c r="C46" s="963"/>
      <c r="D46" s="963"/>
      <c r="E46" s="963"/>
      <c r="F46" s="963"/>
      <c r="G46" s="245">
        <f>C7-G7</f>
        <v>-156482</v>
      </c>
      <c r="H46" s="245">
        <f>D7-H7</f>
        <v>32941</v>
      </c>
      <c r="I46" s="245">
        <f>SUM(G46:H46)</f>
        <v>-123541</v>
      </c>
    </row>
    <row r="47" spans="1:9" s="104" customFormat="1" ht="13.5">
      <c r="A47" s="951"/>
      <c r="B47" s="952"/>
      <c r="C47" s="952"/>
      <c r="D47" s="952"/>
      <c r="E47" s="952"/>
      <c r="F47" s="952"/>
      <c r="G47" s="952"/>
      <c r="H47" s="952"/>
      <c r="I47" s="953"/>
    </row>
    <row r="48" spans="1:9" s="95" customFormat="1" ht="28.5">
      <c r="A48" s="137">
        <v>40</v>
      </c>
      <c r="B48" s="91" t="s">
        <v>561</v>
      </c>
      <c r="C48" s="93">
        <f>SUM(C49)</f>
        <v>70810</v>
      </c>
      <c r="D48" s="93">
        <f>SUM(D49)</f>
        <v>68969</v>
      </c>
      <c r="E48" s="93">
        <f aca="true" t="shared" si="5" ref="E48:E54">SUM(C48:D48)</f>
        <v>139779</v>
      </c>
      <c r="F48" s="94"/>
      <c r="G48" s="93"/>
      <c r="H48" s="93"/>
      <c r="I48" s="93"/>
    </row>
    <row r="49" spans="1:9" s="104" customFormat="1" ht="25.5">
      <c r="A49" s="134">
        <v>41</v>
      </c>
      <c r="B49" s="105" t="s">
        <v>1059</v>
      </c>
      <c r="C49" s="99">
        <f>3569+1281+2116+51061+3234+9549</f>
        <v>70810</v>
      </c>
      <c r="D49" s="99">
        <v>68969</v>
      </c>
      <c r="E49" s="99">
        <f t="shared" si="5"/>
        <v>139779</v>
      </c>
      <c r="F49" s="100"/>
      <c r="G49" s="99"/>
      <c r="H49" s="99"/>
      <c r="I49" s="99"/>
    </row>
    <row r="50" spans="1:9" s="106" customFormat="1" ht="14.25">
      <c r="A50" s="137">
        <v>42</v>
      </c>
      <c r="B50" s="91" t="s">
        <v>1060</v>
      </c>
      <c r="C50" s="93">
        <f>SUM(C51:C53)</f>
        <v>70000</v>
      </c>
      <c r="D50" s="93">
        <f>SUM(D51:D53)</f>
        <v>0</v>
      </c>
      <c r="E50" s="93">
        <f t="shared" si="5"/>
        <v>70000</v>
      </c>
      <c r="F50" s="110" t="s">
        <v>562</v>
      </c>
      <c r="G50" s="93">
        <f>SUM(G51:G53)</f>
        <v>86238</v>
      </c>
      <c r="H50" s="93">
        <f>SUM(H51:H53)</f>
        <v>0</v>
      </c>
      <c r="I50" s="93">
        <f>SUM(G50:H50)</f>
        <v>86238</v>
      </c>
    </row>
    <row r="51" spans="1:9" s="97" customFormat="1" ht="15">
      <c r="A51" s="137">
        <v>43</v>
      </c>
      <c r="B51" s="103" t="s">
        <v>123</v>
      </c>
      <c r="C51" s="99">
        <v>0</v>
      </c>
      <c r="D51" s="99">
        <v>0</v>
      </c>
      <c r="E51" s="99">
        <f t="shared" si="5"/>
        <v>0</v>
      </c>
      <c r="F51" s="100" t="s">
        <v>1061</v>
      </c>
      <c r="G51" s="99">
        <v>0</v>
      </c>
      <c r="H51" s="99">
        <v>0</v>
      </c>
      <c r="I51" s="99">
        <f>SUM(G51:H51)</f>
        <v>0</v>
      </c>
    </row>
    <row r="52" spans="1:9" ht="15">
      <c r="A52" s="137">
        <v>44</v>
      </c>
      <c r="B52" s="103" t="s">
        <v>122</v>
      </c>
      <c r="C52" s="99">
        <v>70000</v>
      </c>
      <c r="D52" s="99">
        <v>0</v>
      </c>
      <c r="E52" s="99">
        <f t="shared" si="5"/>
        <v>70000</v>
      </c>
      <c r="F52" s="100" t="s">
        <v>1062</v>
      </c>
      <c r="G52" s="99">
        <v>70000</v>
      </c>
      <c r="H52" s="99">
        <v>0</v>
      </c>
      <c r="I52" s="99">
        <f>SUM(G52:H52)</f>
        <v>70000</v>
      </c>
    </row>
    <row r="53" spans="1:9" ht="15">
      <c r="A53" s="137">
        <v>45</v>
      </c>
      <c r="B53" s="100" t="s">
        <v>1063</v>
      </c>
      <c r="C53" s="99">
        <v>0</v>
      </c>
      <c r="D53" s="99">
        <v>0</v>
      </c>
      <c r="E53" s="99">
        <f t="shared" si="5"/>
        <v>0</v>
      </c>
      <c r="F53" s="100" t="s">
        <v>1064</v>
      </c>
      <c r="G53" s="99">
        <v>16238</v>
      </c>
      <c r="H53" s="99">
        <v>0</v>
      </c>
      <c r="I53" s="99">
        <f>SUM(G53:H53)</f>
        <v>16238</v>
      </c>
    </row>
    <row r="54" spans="1:9" ht="15.75">
      <c r="A54" s="137">
        <v>46</v>
      </c>
      <c r="B54" s="96" t="s">
        <v>715</v>
      </c>
      <c r="C54" s="111">
        <f>SUM(C7,C48,C50)</f>
        <v>1223965</v>
      </c>
      <c r="D54" s="111">
        <f>SUM(D7,D48,D50)</f>
        <v>1375610</v>
      </c>
      <c r="E54" s="111">
        <f t="shared" si="5"/>
        <v>2599575</v>
      </c>
      <c r="F54" s="96" t="s">
        <v>574</v>
      </c>
      <c r="G54" s="111">
        <f>SUM(G7,G50)</f>
        <v>1325875</v>
      </c>
      <c r="H54" s="111">
        <f>SUM(H7,H50)</f>
        <v>1273700</v>
      </c>
      <c r="I54" s="111">
        <f>SUM(G54:H54)</f>
        <v>2599575</v>
      </c>
    </row>
    <row r="55" spans="1:9" ht="15.75">
      <c r="A55" s="823"/>
      <c r="B55" s="824"/>
      <c r="C55" s="825"/>
      <c r="D55" s="825"/>
      <c r="E55" s="825"/>
      <c r="F55" s="824"/>
      <c r="G55" s="825"/>
      <c r="H55" s="825"/>
      <c r="I55" s="825"/>
    </row>
    <row r="56" spans="1:5" ht="15.75">
      <c r="A56" s="829" t="s">
        <v>1158</v>
      </c>
      <c r="B56" s="816"/>
      <c r="C56" s="816"/>
      <c r="D56" s="816"/>
      <c r="E56"/>
    </row>
    <row r="57" spans="1:4" ht="15.75">
      <c r="A57" s="826" t="s">
        <v>1159</v>
      </c>
      <c r="B57" s="830"/>
      <c r="C57" s="830"/>
      <c r="D57" s="830"/>
    </row>
    <row r="58" spans="1:5" ht="15.75">
      <c r="A58" s="818" t="s">
        <v>1135</v>
      </c>
      <c r="B58" s="819"/>
      <c r="C58" s="819"/>
      <c r="D58" s="819"/>
      <c r="E58" s="820"/>
    </row>
    <row r="59" spans="1:4" ht="15">
      <c r="A59" s="831"/>
      <c r="B59" s="832"/>
      <c r="C59" s="830"/>
      <c r="D59" s="830"/>
    </row>
  </sheetData>
  <sheetProtection/>
  <mergeCells count="8">
    <mergeCell ref="A47:I47"/>
    <mergeCell ref="F1:I1"/>
    <mergeCell ref="B2:I2"/>
    <mergeCell ref="B4:E4"/>
    <mergeCell ref="F4:I4"/>
    <mergeCell ref="A4:A6"/>
    <mergeCell ref="A45:I45"/>
    <mergeCell ref="B46:F46"/>
  </mergeCells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B59"/>
  <sheetViews>
    <sheetView zoomScale="95" zoomScaleNormal="95" zoomScalePageLayoutView="0" workbookViewId="0" topLeftCell="H1">
      <pane ySplit="7" topLeftCell="A8" activePane="bottomLeft" state="frozen"/>
      <selection pane="topLeft" activeCell="A1" sqref="A1"/>
      <selection pane="bottomLeft" activeCell="E2" sqref="E2:AA2"/>
    </sheetView>
  </sheetViews>
  <sheetFormatPr defaultColWidth="8.875" defaultRowHeight="12.75"/>
  <cols>
    <col min="1" max="1" width="1.37890625" style="26" hidden="1" customWidth="1"/>
    <col min="2" max="2" width="8.00390625" style="37" hidden="1" customWidth="1"/>
    <col min="3" max="3" width="8.00390625" style="37" customWidth="1"/>
    <col min="4" max="4" width="4.625" style="146" bestFit="1" customWidth="1"/>
    <col min="5" max="5" width="30.375" style="26" customWidth="1"/>
    <col min="6" max="6" width="9.25390625" style="142" hidden="1" customWidth="1"/>
    <col min="7" max="7" width="8.375" style="26" customWidth="1"/>
    <col min="8" max="8" width="7.875" style="26" customWidth="1"/>
    <col min="9" max="9" width="8.125" style="26" customWidth="1"/>
    <col min="10" max="10" width="8.75390625" style="26" customWidth="1"/>
    <col min="11" max="11" width="8.375" style="26" customWidth="1"/>
    <col min="12" max="12" width="9.875" style="26" customWidth="1"/>
    <col min="13" max="18" width="8.25390625" style="26" customWidth="1"/>
    <col min="19" max="19" width="9.625" style="26" bestFit="1" customWidth="1"/>
    <col min="20" max="20" width="9.625" style="26" customWidth="1"/>
    <col min="21" max="21" width="9.625" style="26" bestFit="1" customWidth="1"/>
    <col min="22" max="22" width="7.625" style="26" customWidth="1"/>
    <col min="23" max="23" width="9.25390625" style="26" customWidth="1"/>
    <col min="24" max="24" width="9.375" style="35" customWidth="1"/>
    <col min="25" max="25" width="14.375" style="26" customWidth="1"/>
    <col min="26" max="26" width="8.875" style="26" customWidth="1"/>
    <col min="27" max="27" width="10.625" style="26" customWidth="1"/>
    <col min="28" max="28" width="10.375" style="26" customWidth="1"/>
    <col min="29" max="16384" width="8.875" style="26" customWidth="1"/>
  </cols>
  <sheetData>
    <row r="1" spans="3:28" ht="18">
      <c r="C1" s="985"/>
      <c r="N1" s="27"/>
      <c r="O1" s="27"/>
      <c r="P1" s="27"/>
      <c r="Q1" s="27"/>
      <c r="R1" s="27"/>
      <c r="W1" s="954" t="s">
        <v>1154</v>
      </c>
      <c r="X1" s="954"/>
      <c r="Y1" s="955"/>
      <c r="Z1" s="955"/>
      <c r="AA1" s="955"/>
      <c r="AB1" s="955"/>
    </row>
    <row r="2" spans="1:27" ht="15.75">
      <c r="A2" s="28"/>
      <c r="B2" s="38"/>
      <c r="C2" s="985"/>
      <c r="D2" s="38"/>
      <c r="E2" s="989" t="s">
        <v>1049</v>
      </c>
      <c r="F2" s="989"/>
      <c r="G2" s="989"/>
      <c r="H2" s="989"/>
      <c r="I2" s="989"/>
      <c r="J2" s="989"/>
      <c r="K2" s="989"/>
      <c r="L2" s="989"/>
      <c r="M2" s="989"/>
      <c r="N2" s="989"/>
      <c r="O2" s="989"/>
      <c r="P2" s="989"/>
      <c r="Q2" s="989"/>
      <c r="R2" s="989"/>
      <c r="S2" s="989"/>
      <c r="T2" s="989"/>
      <c r="U2" s="989"/>
      <c r="V2" s="989"/>
      <c r="W2" s="989"/>
      <c r="X2" s="989"/>
      <c r="Y2" s="989"/>
      <c r="Z2" s="989"/>
      <c r="AA2" s="989"/>
    </row>
    <row r="3" ht="12.75" thickBot="1"/>
    <row r="4" spans="2:28" s="29" customFormat="1" ht="12.75" customHeight="1">
      <c r="B4" s="39"/>
      <c r="C4" s="39"/>
      <c r="D4" s="979" t="s">
        <v>706</v>
      </c>
      <c r="E4" s="982" t="s">
        <v>610</v>
      </c>
      <c r="F4" s="986" t="s">
        <v>618</v>
      </c>
      <c r="G4" s="972" t="s">
        <v>619</v>
      </c>
      <c r="H4" s="973"/>
      <c r="I4" s="973"/>
      <c r="J4" s="973"/>
      <c r="K4" s="973"/>
      <c r="L4" s="973"/>
      <c r="M4" s="973"/>
      <c r="N4" s="973"/>
      <c r="O4" s="973"/>
      <c r="P4" s="973"/>
      <c r="Q4" s="973"/>
      <c r="R4" s="973"/>
      <c r="S4" s="973"/>
      <c r="T4" s="973"/>
      <c r="U4" s="973"/>
      <c r="V4" s="973"/>
      <c r="W4" s="973"/>
      <c r="X4" s="973"/>
      <c r="Y4" s="973"/>
      <c r="Z4" s="973"/>
      <c r="AA4" s="974"/>
      <c r="AB4" s="975" t="s">
        <v>620</v>
      </c>
    </row>
    <row r="5" spans="2:28" s="30" customFormat="1" ht="12" customHeight="1">
      <c r="B5" s="40"/>
      <c r="C5" s="40"/>
      <c r="D5" s="980"/>
      <c r="E5" s="983"/>
      <c r="F5" s="987"/>
      <c r="G5" s="970" t="s">
        <v>573</v>
      </c>
      <c r="H5" s="970" t="s">
        <v>572</v>
      </c>
      <c r="I5" s="970" t="s">
        <v>612</v>
      </c>
      <c r="J5" s="970" t="s">
        <v>88</v>
      </c>
      <c r="K5" s="970" t="s">
        <v>248</v>
      </c>
      <c r="L5" s="970" t="s">
        <v>249</v>
      </c>
      <c r="M5" s="970" t="s">
        <v>1140</v>
      </c>
      <c r="N5" s="970" t="s">
        <v>1141</v>
      </c>
      <c r="O5" s="970" t="s">
        <v>1050</v>
      </c>
      <c r="P5" s="970" t="s">
        <v>699</v>
      </c>
      <c r="Q5" s="970" t="s">
        <v>712</v>
      </c>
      <c r="R5" s="970" t="s">
        <v>747</v>
      </c>
      <c r="S5" s="970" t="s">
        <v>946</v>
      </c>
      <c r="T5" s="970" t="s">
        <v>1051</v>
      </c>
      <c r="U5" s="970" t="s">
        <v>1041</v>
      </c>
      <c r="V5" s="970" t="s">
        <v>139</v>
      </c>
      <c r="W5" s="970" t="s">
        <v>947</v>
      </c>
      <c r="X5" s="970" t="s">
        <v>568</v>
      </c>
      <c r="Y5" s="970" t="s">
        <v>621</v>
      </c>
      <c r="Z5" s="970" t="s">
        <v>250</v>
      </c>
      <c r="AA5" s="970" t="s">
        <v>256</v>
      </c>
      <c r="AB5" s="976"/>
    </row>
    <row r="6" spans="2:28" s="30" customFormat="1" ht="30.75" customHeight="1">
      <c r="B6" s="40"/>
      <c r="C6" s="40"/>
      <c r="D6" s="980"/>
      <c r="E6" s="984"/>
      <c r="F6" s="988"/>
      <c r="G6" s="971"/>
      <c r="H6" s="971"/>
      <c r="I6" s="971"/>
      <c r="J6" s="971"/>
      <c r="K6" s="971"/>
      <c r="L6" s="971"/>
      <c r="M6" s="971"/>
      <c r="N6" s="971"/>
      <c r="O6" s="971"/>
      <c r="P6" s="971"/>
      <c r="Q6" s="971"/>
      <c r="R6" s="971"/>
      <c r="S6" s="971"/>
      <c r="T6" s="971"/>
      <c r="U6" s="971"/>
      <c r="V6" s="971"/>
      <c r="W6" s="971"/>
      <c r="X6" s="971"/>
      <c r="Y6" s="971"/>
      <c r="Z6" s="971"/>
      <c r="AA6" s="971"/>
      <c r="AB6" s="977"/>
    </row>
    <row r="7" spans="2:28" s="718" customFormat="1" ht="12">
      <c r="B7" s="719"/>
      <c r="C7" s="719"/>
      <c r="D7" s="981"/>
      <c r="E7" s="606" t="s">
        <v>700</v>
      </c>
      <c r="F7" s="607" t="s">
        <v>701</v>
      </c>
      <c r="G7" s="608" t="s">
        <v>701</v>
      </c>
      <c r="H7" s="608" t="s">
        <v>702</v>
      </c>
      <c r="I7" s="609" t="s">
        <v>703</v>
      </c>
      <c r="J7" s="606" t="s">
        <v>704</v>
      </c>
      <c r="K7" s="606" t="s">
        <v>705</v>
      </c>
      <c r="L7" s="609" t="s">
        <v>708</v>
      </c>
      <c r="M7" s="609" t="s">
        <v>709</v>
      </c>
      <c r="N7" s="609"/>
      <c r="O7" s="609"/>
      <c r="P7" s="609" t="s">
        <v>645</v>
      </c>
      <c r="Q7" s="609" t="s">
        <v>646</v>
      </c>
      <c r="R7" s="609" t="s">
        <v>647</v>
      </c>
      <c r="S7" s="609" t="s">
        <v>648</v>
      </c>
      <c r="T7" s="608"/>
      <c r="U7" s="608"/>
      <c r="V7" s="608" t="s">
        <v>649</v>
      </c>
      <c r="W7" s="608"/>
      <c r="X7" s="609" t="s">
        <v>650</v>
      </c>
      <c r="Y7" s="609" t="s">
        <v>651</v>
      </c>
      <c r="Z7" s="610" t="s">
        <v>652</v>
      </c>
      <c r="AA7" s="610" t="s">
        <v>652</v>
      </c>
      <c r="AB7" s="642" t="s">
        <v>682</v>
      </c>
    </row>
    <row r="8" spans="1:28" s="33" customFormat="1" ht="24">
      <c r="A8" s="26"/>
      <c r="B8" s="37"/>
      <c r="C8" s="37" t="s">
        <v>152</v>
      </c>
      <c r="D8" s="717" t="s">
        <v>653</v>
      </c>
      <c r="E8" s="174" t="s">
        <v>153</v>
      </c>
      <c r="F8" s="143"/>
      <c r="G8" s="41">
        <f>127+20648</f>
        <v>20775</v>
      </c>
      <c r="H8" s="41">
        <f>2476+5467</f>
        <v>7943</v>
      </c>
      <c r="I8" s="42">
        <f>10943+105-6+1204+22+61+440+592+79421+279+594+149+53+27</f>
        <v>93884</v>
      </c>
      <c r="J8" s="42">
        <v>0</v>
      </c>
      <c r="K8" s="42">
        <v>186</v>
      </c>
      <c r="L8" s="42">
        <f>3650+100+67</f>
        <v>3817</v>
      </c>
      <c r="M8" s="42">
        <f>14668+7000</f>
        <v>21668</v>
      </c>
      <c r="N8" s="42">
        <f>39900+1455</f>
        <v>41355</v>
      </c>
      <c r="O8" s="42">
        <v>0</v>
      </c>
      <c r="P8" s="42">
        <v>0</v>
      </c>
      <c r="Q8" s="42">
        <v>0</v>
      </c>
      <c r="R8" s="42">
        <v>0</v>
      </c>
      <c r="S8" s="42">
        <v>0</v>
      </c>
      <c r="T8" s="42">
        <v>0</v>
      </c>
      <c r="U8" s="42">
        <v>0</v>
      </c>
      <c r="V8" s="42">
        <v>0</v>
      </c>
      <c r="W8" s="41">
        <v>0</v>
      </c>
      <c r="X8" s="41">
        <f>3000+1350+8489-170</f>
        <v>12669</v>
      </c>
      <c r="Y8" s="42">
        <v>0</v>
      </c>
      <c r="Z8" s="42">
        <v>0</v>
      </c>
      <c r="AA8" s="42">
        <v>70000</v>
      </c>
      <c r="AB8" s="36">
        <f aca="true" t="shared" si="0" ref="AB8:AB53">SUM(G8:AA8)</f>
        <v>272297</v>
      </c>
    </row>
    <row r="9" spans="1:28" s="33" customFormat="1" ht="24">
      <c r="A9" s="26"/>
      <c r="B9" s="37"/>
      <c r="C9" s="37" t="s">
        <v>152</v>
      </c>
      <c r="D9" s="147" t="s">
        <v>654</v>
      </c>
      <c r="E9" s="175" t="s">
        <v>1142</v>
      </c>
      <c r="F9" s="144"/>
      <c r="G9" s="31">
        <v>4663</v>
      </c>
      <c r="H9" s="31">
        <v>1155</v>
      </c>
      <c r="I9" s="32">
        <v>2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1">
        <v>0</v>
      </c>
      <c r="X9" s="31">
        <v>0</v>
      </c>
      <c r="Y9" s="32">
        <v>0</v>
      </c>
      <c r="Z9" s="32">
        <v>0</v>
      </c>
      <c r="AA9" s="32">
        <v>0</v>
      </c>
      <c r="AB9" s="36">
        <f t="shared" si="0"/>
        <v>5820</v>
      </c>
    </row>
    <row r="10" spans="1:28" s="33" customFormat="1" ht="12">
      <c r="A10" s="26"/>
      <c r="B10" s="37"/>
      <c r="C10" s="37" t="s">
        <v>152</v>
      </c>
      <c r="D10" s="147" t="s">
        <v>655</v>
      </c>
      <c r="E10" s="175" t="s">
        <v>1143</v>
      </c>
      <c r="F10" s="144"/>
      <c r="G10" s="31">
        <v>551</v>
      </c>
      <c r="H10" s="31">
        <v>149</v>
      </c>
      <c r="I10" s="32">
        <v>8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1">
        <v>0</v>
      </c>
      <c r="X10" s="31">
        <f>8184-8184</f>
        <v>0</v>
      </c>
      <c r="Y10" s="32">
        <f>301-301</f>
        <v>0</v>
      </c>
      <c r="Z10" s="32">
        <v>0</v>
      </c>
      <c r="AA10" s="32">
        <v>0</v>
      </c>
      <c r="AB10" s="36">
        <f>SUM(G10:AA10)</f>
        <v>708</v>
      </c>
    </row>
    <row r="11" spans="1:28" s="33" customFormat="1" ht="24">
      <c r="A11" s="26"/>
      <c r="B11" s="37" t="s">
        <v>143</v>
      </c>
      <c r="C11" s="37" t="s">
        <v>939</v>
      </c>
      <c r="D11" s="147" t="s">
        <v>656</v>
      </c>
      <c r="E11" s="175" t="s">
        <v>1144</v>
      </c>
      <c r="F11" s="144"/>
      <c r="G11" s="31">
        <v>0</v>
      </c>
      <c r="H11" s="31">
        <v>0</v>
      </c>
      <c r="I11" s="32">
        <v>0</v>
      </c>
      <c r="J11" s="32">
        <v>0</v>
      </c>
      <c r="K11" s="32">
        <v>0</v>
      </c>
      <c r="L11" s="32">
        <v>100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1">
        <v>0</v>
      </c>
      <c r="X11" s="31">
        <v>0</v>
      </c>
      <c r="Y11" s="32">
        <v>0</v>
      </c>
      <c r="Z11" s="32">
        <v>0</v>
      </c>
      <c r="AA11" s="32">
        <v>0</v>
      </c>
      <c r="AB11" s="36">
        <f t="shared" si="0"/>
        <v>100</v>
      </c>
    </row>
    <row r="12" spans="1:28" s="33" customFormat="1" ht="24">
      <c r="A12" s="26"/>
      <c r="B12" s="37" t="s">
        <v>145</v>
      </c>
      <c r="C12" s="37" t="s">
        <v>147</v>
      </c>
      <c r="D12" s="147" t="s">
        <v>657</v>
      </c>
      <c r="E12" s="175" t="s">
        <v>1145</v>
      </c>
      <c r="F12" s="144"/>
      <c r="G12" s="31">
        <v>0</v>
      </c>
      <c r="H12" s="31">
        <v>0</v>
      </c>
      <c r="I12" s="32">
        <f>25982+5105+24-53</f>
        <v>31058</v>
      </c>
      <c r="J12" s="32">
        <v>0</v>
      </c>
      <c r="K12" s="32">
        <v>0</v>
      </c>
      <c r="L12" s="32">
        <f>42597-1650+6774-14274</f>
        <v>33447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1">
        <v>0</v>
      </c>
      <c r="X12" s="31">
        <f>6000+360</f>
        <v>6360</v>
      </c>
      <c r="Y12" s="32">
        <v>579</v>
      </c>
      <c r="Z12" s="32">
        <v>399</v>
      </c>
      <c r="AA12" s="32">
        <v>0</v>
      </c>
      <c r="AB12" s="36">
        <f t="shared" si="0"/>
        <v>71843</v>
      </c>
    </row>
    <row r="13" spans="1:28" s="33" customFormat="1" ht="36">
      <c r="A13" s="26"/>
      <c r="B13" s="37" t="s">
        <v>146</v>
      </c>
      <c r="C13" s="37" t="s">
        <v>149</v>
      </c>
      <c r="D13" s="147" t="s">
        <v>658</v>
      </c>
      <c r="E13" s="175" t="s">
        <v>933</v>
      </c>
      <c r="F13" s="144"/>
      <c r="G13" s="31">
        <f>17665-1472+55+298</f>
        <v>16546</v>
      </c>
      <c r="H13" s="31">
        <f>4770-398+15+80</f>
        <v>4467</v>
      </c>
      <c r="I13" s="32">
        <f>17356-93+147</f>
        <v>17410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1">
        <v>0</v>
      </c>
      <c r="X13" s="31">
        <v>0</v>
      </c>
      <c r="Y13" s="32">
        <v>0</v>
      </c>
      <c r="Z13" s="32">
        <v>0</v>
      </c>
      <c r="AA13" s="32">
        <v>0</v>
      </c>
      <c r="AB13" s="36">
        <f t="shared" si="0"/>
        <v>38423</v>
      </c>
    </row>
    <row r="14" spans="1:28" s="33" customFormat="1" ht="24">
      <c r="A14" s="26">
        <v>20215</v>
      </c>
      <c r="B14" s="37" t="s">
        <v>147</v>
      </c>
      <c r="C14" s="37" t="s">
        <v>154</v>
      </c>
      <c r="D14" s="147" t="s">
        <v>659</v>
      </c>
      <c r="E14" s="175" t="s">
        <v>632</v>
      </c>
      <c r="F14" s="144"/>
      <c r="G14" s="31">
        <f>787+121</f>
        <v>908</v>
      </c>
      <c r="H14" s="31">
        <f>403+62</f>
        <v>465</v>
      </c>
      <c r="I14" s="32">
        <f>950+250+6+4810-183+196</f>
        <v>6029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1">
        <v>0</v>
      </c>
      <c r="X14" s="31">
        <v>0</v>
      </c>
      <c r="Y14" s="32">
        <v>0</v>
      </c>
      <c r="Z14" s="32">
        <v>0</v>
      </c>
      <c r="AA14" s="32">
        <v>0</v>
      </c>
      <c r="AB14" s="36">
        <f t="shared" si="0"/>
        <v>7402</v>
      </c>
    </row>
    <row r="15" spans="1:28" ht="12">
      <c r="A15" s="26">
        <v>452025</v>
      </c>
      <c r="B15" s="37" t="s">
        <v>149</v>
      </c>
      <c r="C15" s="37" t="s">
        <v>1146</v>
      </c>
      <c r="D15" s="147" t="s">
        <v>660</v>
      </c>
      <c r="E15" s="175" t="s">
        <v>1052</v>
      </c>
      <c r="F15" s="144"/>
      <c r="G15" s="31"/>
      <c r="H15" s="31"/>
      <c r="I15" s="32">
        <v>1052</v>
      </c>
      <c r="J15" s="32"/>
      <c r="K15" s="32"/>
      <c r="L15" s="32"/>
      <c r="M15" s="32"/>
      <c r="N15" s="32">
        <v>0</v>
      </c>
      <c r="O15" s="32">
        <f>13962+18+447</f>
        <v>14427</v>
      </c>
      <c r="P15" s="32"/>
      <c r="Q15" s="32"/>
      <c r="R15" s="32"/>
      <c r="S15" s="32"/>
      <c r="T15" s="32"/>
      <c r="U15" s="32"/>
      <c r="V15" s="32"/>
      <c r="W15" s="31"/>
      <c r="X15" s="31"/>
      <c r="Y15" s="32"/>
      <c r="Z15" s="32"/>
      <c r="AA15" s="32">
        <v>16238</v>
      </c>
      <c r="AB15" s="36">
        <f t="shared" si="0"/>
        <v>31717</v>
      </c>
    </row>
    <row r="16" spans="2:28" ht="24">
      <c r="B16" s="37" t="s">
        <v>151</v>
      </c>
      <c r="C16" s="37" t="s">
        <v>158</v>
      </c>
      <c r="D16" s="147" t="s">
        <v>661</v>
      </c>
      <c r="E16" s="175" t="s">
        <v>159</v>
      </c>
      <c r="F16" s="144"/>
      <c r="G16" s="31">
        <f>26191-1478+21+197-302</f>
        <v>24629</v>
      </c>
      <c r="H16" s="31">
        <f>7054-396+6+53-82</f>
        <v>6635</v>
      </c>
      <c r="I16" s="32">
        <f>7674-763-911+146+962-578</f>
        <v>6530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1">
        <v>0</v>
      </c>
      <c r="X16" s="31">
        <v>161</v>
      </c>
      <c r="Y16" s="32">
        <v>0</v>
      </c>
      <c r="Z16" s="32">
        <v>0</v>
      </c>
      <c r="AA16" s="32">
        <v>0</v>
      </c>
      <c r="AB16" s="36">
        <f t="shared" si="0"/>
        <v>37955</v>
      </c>
    </row>
    <row r="17" spans="3:28" ht="12">
      <c r="C17" s="37" t="s">
        <v>927</v>
      </c>
      <c r="D17" s="147" t="s">
        <v>662</v>
      </c>
      <c r="E17" s="175" t="s">
        <v>934</v>
      </c>
      <c r="F17" s="144"/>
      <c r="G17" s="31">
        <v>303</v>
      </c>
      <c r="H17" s="31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1">
        <v>0</v>
      </c>
      <c r="X17" s="31">
        <v>0</v>
      </c>
      <c r="Y17" s="32">
        <v>0</v>
      </c>
      <c r="Z17" s="32">
        <v>0</v>
      </c>
      <c r="AA17" s="32">
        <v>0</v>
      </c>
      <c r="AB17" s="36">
        <f t="shared" si="0"/>
        <v>303</v>
      </c>
    </row>
    <row r="18" spans="2:28" ht="36">
      <c r="B18" s="37" t="s">
        <v>152</v>
      </c>
      <c r="C18" s="37" t="s">
        <v>928</v>
      </c>
      <c r="D18" s="147" t="s">
        <v>663</v>
      </c>
      <c r="E18" s="175" t="s">
        <v>1033</v>
      </c>
      <c r="F18" s="144"/>
      <c r="G18" s="31">
        <v>21456</v>
      </c>
      <c r="H18" s="32">
        <v>2897</v>
      </c>
      <c r="I18" s="32">
        <f>14+14</f>
        <v>28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4">
        <v>0</v>
      </c>
      <c r="X18" s="32">
        <v>0</v>
      </c>
      <c r="Y18" s="32">
        <v>0</v>
      </c>
      <c r="Z18" s="32">
        <v>0</v>
      </c>
      <c r="AA18" s="32">
        <v>0</v>
      </c>
      <c r="AB18" s="36">
        <f t="shared" si="0"/>
        <v>24381</v>
      </c>
    </row>
    <row r="19" spans="3:28" ht="24">
      <c r="C19" s="37" t="s">
        <v>929</v>
      </c>
      <c r="D19" s="147" t="s">
        <v>664</v>
      </c>
      <c r="E19" s="175" t="s">
        <v>935</v>
      </c>
      <c r="F19" s="144"/>
      <c r="G19" s="31">
        <v>21811</v>
      </c>
      <c r="H19" s="32">
        <v>2945</v>
      </c>
      <c r="I19" s="32">
        <v>0</v>
      </c>
      <c r="J19" s="32">
        <v>0</v>
      </c>
      <c r="K19" s="32">
        <v>0</v>
      </c>
      <c r="L19" s="32">
        <v>5487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4">
        <v>0</v>
      </c>
      <c r="X19" s="32">
        <v>0</v>
      </c>
      <c r="Y19" s="32">
        <v>0</v>
      </c>
      <c r="Z19" s="32">
        <v>0</v>
      </c>
      <c r="AA19" s="32">
        <v>0</v>
      </c>
      <c r="AB19" s="36">
        <f t="shared" si="0"/>
        <v>30243</v>
      </c>
    </row>
    <row r="20" spans="2:28" ht="24">
      <c r="B20" s="37" t="s">
        <v>152</v>
      </c>
      <c r="C20" s="37" t="s">
        <v>145</v>
      </c>
      <c r="D20" s="147" t="s">
        <v>665</v>
      </c>
      <c r="E20" s="175" t="s">
        <v>936</v>
      </c>
      <c r="F20" s="144"/>
      <c r="G20" s="31">
        <v>0</v>
      </c>
      <c r="H20" s="31">
        <v>0</v>
      </c>
      <c r="I20" s="32">
        <v>0</v>
      </c>
      <c r="J20" s="32">
        <v>0</v>
      </c>
      <c r="K20" s="32">
        <v>0</v>
      </c>
      <c r="L20" s="32">
        <f>15817-8000</f>
        <v>7817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4">
        <v>0</v>
      </c>
      <c r="X20" s="32">
        <v>0</v>
      </c>
      <c r="Y20" s="32">
        <v>2250</v>
      </c>
      <c r="Z20" s="32">
        <v>0</v>
      </c>
      <c r="AA20" s="32">
        <v>0</v>
      </c>
      <c r="AB20" s="36">
        <f t="shared" si="0"/>
        <v>10067</v>
      </c>
    </row>
    <row r="21" spans="3:28" ht="24">
      <c r="C21" s="37" t="s">
        <v>937</v>
      </c>
      <c r="D21" s="147" t="s">
        <v>666</v>
      </c>
      <c r="E21" s="175" t="s">
        <v>938</v>
      </c>
      <c r="F21" s="144"/>
      <c r="G21" s="31">
        <v>0</v>
      </c>
      <c r="H21" s="31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4">
        <v>0</v>
      </c>
      <c r="X21" s="32">
        <v>250</v>
      </c>
      <c r="Y21" s="32">
        <v>0</v>
      </c>
      <c r="Z21" s="32">
        <v>0</v>
      </c>
      <c r="AA21" s="32">
        <v>0</v>
      </c>
      <c r="AB21" s="36">
        <f t="shared" si="0"/>
        <v>250</v>
      </c>
    </row>
    <row r="22" spans="2:28" ht="24">
      <c r="B22" s="37" t="s">
        <v>154</v>
      </c>
      <c r="C22" s="37" t="s">
        <v>160</v>
      </c>
      <c r="D22" s="147" t="s">
        <v>667</v>
      </c>
      <c r="E22" s="175" t="s">
        <v>161</v>
      </c>
      <c r="F22" s="144"/>
      <c r="G22" s="31">
        <v>0</v>
      </c>
      <c r="H22" s="31">
        <v>0</v>
      </c>
      <c r="I22" s="32">
        <v>1000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4">
        <v>0</v>
      </c>
      <c r="X22" s="32">
        <v>0</v>
      </c>
      <c r="Y22" s="32">
        <v>0</v>
      </c>
      <c r="Z22" s="32">
        <v>0</v>
      </c>
      <c r="AA22" s="32">
        <v>0</v>
      </c>
      <c r="AB22" s="36">
        <f t="shared" si="0"/>
        <v>1000</v>
      </c>
    </row>
    <row r="23" spans="1:28" ht="36">
      <c r="A23" s="26">
        <v>751791</v>
      </c>
      <c r="B23" s="37" t="s">
        <v>155</v>
      </c>
      <c r="C23" s="37" t="s">
        <v>140</v>
      </c>
      <c r="D23" s="147" t="s">
        <v>668</v>
      </c>
      <c r="E23" s="175" t="s">
        <v>141</v>
      </c>
      <c r="F23" s="177"/>
      <c r="G23" s="32">
        <v>0</v>
      </c>
      <c r="H23" s="31">
        <v>0</v>
      </c>
      <c r="I23" s="32">
        <v>760</v>
      </c>
      <c r="J23" s="32">
        <v>0</v>
      </c>
      <c r="K23" s="32">
        <v>0</v>
      </c>
      <c r="L23" s="32">
        <v>1090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4">
        <v>0</v>
      </c>
      <c r="X23" s="32">
        <v>0</v>
      </c>
      <c r="Y23" s="32">
        <v>0</v>
      </c>
      <c r="Z23" s="32">
        <v>0</v>
      </c>
      <c r="AA23" s="32">
        <v>0</v>
      </c>
      <c r="AB23" s="36">
        <f t="shared" si="0"/>
        <v>1850</v>
      </c>
    </row>
    <row r="24" spans="1:28" ht="24">
      <c r="A24" s="26">
        <v>751834</v>
      </c>
      <c r="B24" s="37" t="s">
        <v>156</v>
      </c>
      <c r="C24" s="37" t="s">
        <v>142</v>
      </c>
      <c r="D24" s="147" t="s">
        <v>669</v>
      </c>
      <c r="E24" s="175" t="s">
        <v>629</v>
      </c>
      <c r="F24" s="144"/>
      <c r="G24" s="31">
        <v>0</v>
      </c>
      <c r="H24" s="31">
        <v>0</v>
      </c>
      <c r="I24" s="32">
        <f>9998-122</f>
        <v>9876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4">
        <v>0</v>
      </c>
      <c r="X24" s="32">
        <v>0</v>
      </c>
      <c r="Y24" s="32">
        <v>0</v>
      </c>
      <c r="Z24" s="32">
        <v>0</v>
      </c>
      <c r="AA24" s="32">
        <v>0</v>
      </c>
      <c r="AB24" s="36">
        <f t="shared" si="0"/>
        <v>9876</v>
      </c>
    </row>
    <row r="25" spans="1:28" ht="24">
      <c r="A25" s="26">
        <v>751845</v>
      </c>
      <c r="B25" s="37" t="s">
        <v>157</v>
      </c>
      <c r="C25" s="37" t="s">
        <v>143</v>
      </c>
      <c r="D25" s="147" t="s">
        <v>670</v>
      </c>
      <c r="E25" s="175" t="s">
        <v>144</v>
      </c>
      <c r="F25" s="144"/>
      <c r="G25" s="31">
        <v>0</v>
      </c>
      <c r="H25" s="32">
        <v>0</v>
      </c>
      <c r="I25" s="32">
        <f>284829+850-284628</f>
        <v>1051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1">
        <v>0</v>
      </c>
      <c r="X25" s="31">
        <f>768006+35888</f>
        <v>803894</v>
      </c>
      <c r="Y25" s="32">
        <v>0</v>
      </c>
      <c r="Z25" s="32">
        <v>0</v>
      </c>
      <c r="AA25" s="32">
        <v>0</v>
      </c>
      <c r="AB25" s="36">
        <f t="shared" si="0"/>
        <v>804945</v>
      </c>
    </row>
    <row r="26" spans="1:28" ht="12">
      <c r="A26" s="26">
        <v>751966</v>
      </c>
      <c r="B26" s="37" t="s">
        <v>158</v>
      </c>
      <c r="C26" s="37" t="s">
        <v>1147</v>
      </c>
      <c r="D26" s="147" t="s">
        <v>671</v>
      </c>
      <c r="E26" s="175" t="s">
        <v>1053</v>
      </c>
      <c r="F26" s="144"/>
      <c r="G26" s="31"/>
      <c r="H26" s="31"/>
      <c r="I26" s="32">
        <v>960</v>
      </c>
      <c r="J26" s="32"/>
      <c r="K26" s="32"/>
      <c r="L26" s="32"/>
      <c r="M26" s="32"/>
      <c r="N26" s="32">
        <v>0</v>
      </c>
      <c r="O26" s="32"/>
      <c r="P26" s="32"/>
      <c r="Q26" s="32"/>
      <c r="R26" s="32"/>
      <c r="S26" s="32"/>
      <c r="T26" s="32"/>
      <c r="U26" s="32"/>
      <c r="V26" s="32"/>
      <c r="W26" s="31"/>
      <c r="X26" s="31">
        <v>248</v>
      </c>
      <c r="Y26" s="32"/>
      <c r="Z26" s="32"/>
      <c r="AA26" s="32"/>
      <c r="AB26" s="36">
        <f t="shared" si="0"/>
        <v>1208</v>
      </c>
    </row>
    <row r="27" spans="1:28" ht="12">
      <c r="A27" s="26">
        <v>751999</v>
      </c>
      <c r="B27" s="37" t="s">
        <v>160</v>
      </c>
      <c r="C27" s="37" t="s">
        <v>155</v>
      </c>
      <c r="D27" s="147" t="s">
        <v>672</v>
      </c>
      <c r="E27" s="175" t="s">
        <v>633</v>
      </c>
      <c r="F27" s="144"/>
      <c r="G27" s="31">
        <v>0</v>
      </c>
      <c r="H27" s="31">
        <v>0</v>
      </c>
      <c r="I27" s="32">
        <f>30048-8000+1749</f>
        <v>23797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1">
        <v>0</v>
      </c>
      <c r="X27" s="31">
        <v>0</v>
      </c>
      <c r="Y27" s="32">
        <v>0</v>
      </c>
      <c r="Z27" s="32">
        <v>0</v>
      </c>
      <c r="AA27" s="32">
        <v>0</v>
      </c>
      <c r="AB27" s="36">
        <f t="shared" si="0"/>
        <v>23797</v>
      </c>
    </row>
    <row r="28" spans="2:28" ht="12">
      <c r="B28" s="37" t="s">
        <v>162</v>
      </c>
      <c r="C28" s="37" t="s">
        <v>151</v>
      </c>
      <c r="D28" s="147" t="s">
        <v>673</v>
      </c>
      <c r="E28" s="175" t="s">
        <v>1148</v>
      </c>
      <c r="F28" s="144"/>
      <c r="G28" s="31">
        <v>0</v>
      </c>
      <c r="H28" s="31">
        <v>0</v>
      </c>
      <c r="I28" s="32">
        <v>150</v>
      </c>
      <c r="J28" s="32">
        <v>0</v>
      </c>
      <c r="K28" s="32">
        <v>0</v>
      </c>
      <c r="L28" s="32">
        <f>20503+5500</f>
        <v>26003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/>
      <c r="T28" s="32"/>
      <c r="U28" s="32"/>
      <c r="V28" s="32">
        <v>0</v>
      </c>
      <c r="W28" s="31"/>
      <c r="X28" s="31">
        <v>0</v>
      </c>
      <c r="Y28" s="32">
        <v>0</v>
      </c>
      <c r="Z28" s="32">
        <v>0</v>
      </c>
      <c r="AA28" s="32">
        <v>0</v>
      </c>
      <c r="AB28" s="36">
        <f t="shared" si="0"/>
        <v>26153</v>
      </c>
    </row>
    <row r="29" spans="2:28" ht="15" customHeight="1">
      <c r="B29" s="37" t="s">
        <v>163</v>
      </c>
      <c r="C29" s="37" t="s">
        <v>156</v>
      </c>
      <c r="D29" s="147" t="s">
        <v>674</v>
      </c>
      <c r="E29" s="175" t="s">
        <v>940</v>
      </c>
      <c r="F29" s="144"/>
      <c r="G29" s="31">
        <f>192+25</f>
        <v>217</v>
      </c>
      <c r="H29" s="31">
        <f>47+7</f>
        <v>54</v>
      </c>
      <c r="I29" s="32">
        <f>4813-150+150+167+1+435+49+77-27</f>
        <v>5515</v>
      </c>
      <c r="J29" s="32">
        <v>0</v>
      </c>
      <c r="K29" s="32">
        <v>0</v>
      </c>
      <c r="L29" s="32">
        <f>16201-5230-650+2000</f>
        <v>12321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1">
        <v>0</v>
      </c>
      <c r="X29" s="31">
        <f>420421+430+156+6+8825-79421</f>
        <v>350417</v>
      </c>
      <c r="Y29" s="32">
        <v>350</v>
      </c>
      <c r="Z29" s="32">
        <v>0</v>
      </c>
      <c r="AA29" s="32">
        <v>0</v>
      </c>
      <c r="AB29" s="36">
        <f t="shared" si="0"/>
        <v>368874</v>
      </c>
    </row>
    <row r="30" spans="2:28" ht="14.25" customHeight="1">
      <c r="B30" s="37" t="s">
        <v>164</v>
      </c>
      <c r="C30" s="37" t="s">
        <v>163</v>
      </c>
      <c r="D30" s="964" t="s">
        <v>1149</v>
      </c>
      <c r="E30" s="175" t="s">
        <v>635</v>
      </c>
      <c r="F30" s="345"/>
      <c r="G30" s="32">
        <v>0</v>
      </c>
      <c r="H30" s="32">
        <v>0</v>
      </c>
      <c r="I30" s="32">
        <v>479</v>
      </c>
      <c r="J30" s="32">
        <v>0</v>
      </c>
      <c r="K30" s="32">
        <v>0</v>
      </c>
      <c r="L30" s="32">
        <f>9130-5429+3+20</f>
        <v>3724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6">
        <f t="shared" si="0"/>
        <v>4203</v>
      </c>
    </row>
    <row r="31" spans="1:28" ht="12" customHeight="1">
      <c r="A31" s="26">
        <v>851286</v>
      </c>
      <c r="B31" s="37" t="s">
        <v>165</v>
      </c>
      <c r="C31" s="37" t="s">
        <v>164</v>
      </c>
      <c r="D31" s="965"/>
      <c r="E31" s="175" t="s">
        <v>636</v>
      </c>
      <c r="F31" s="345"/>
      <c r="G31" s="32">
        <f>11367+96+54+664</f>
        <v>12181</v>
      </c>
      <c r="H31" s="32">
        <f>3068+26+15+179</f>
        <v>3288</v>
      </c>
      <c r="I31" s="32">
        <f>16182+205</f>
        <v>16387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127</v>
      </c>
      <c r="Y31" s="32">
        <v>0</v>
      </c>
      <c r="Z31" s="32">
        <v>0</v>
      </c>
      <c r="AA31" s="32">
        <v>0</v>
      </c>
      <c r="AB31" s="36">
        <f t="shared" si="0"/>
        <v>31983</v>
      </c>
    </row>
    <row r="32" spans="1:28" s="33" customFormat="1" ht="12">
      <c r="A32" s="26">
        <v>851297</v>
      </c>
      <c r="B32" s="37" t="s">
        <v>166</v>
      </c>
      <c r="C32" s="37" t="s">
        <v>165</v>
      </c>
      <c r="D32" s="965"/>
      <c r="E32" s="175" t="s">
        <v>637</v>
      </c>
      <c r="F32" s="345"/>
      <c r="G32" s="32">
        <v>0</v>
      </c>
      <c r="H32" s="32">
        <v>0</v>
      </c>
      <c r="I32" s="32">
        <v>120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6">
        <f t="shared" si="0"/>
        <v>120</v>
      </c>
    </row>
    <row r="33" spans="1:28" s="33" customFormat="1" ht="24" customHeight="1">
      <c r="A33" s="26">
        <v>853322</v>
      </c>
      <c r="B33" s="37" t="s">
        <v>167</v>
      </c>
      <c r="C33" s="37" t="s">
        <v>166</v>
      </c>
      <c r="D33" s="966"/>
      <c r="E33" s="175" t="s">
        <v>711</v>
      </c>
      <c r="F33" s="345"/>
      <c r="G33" s="32">
        <f>11031+251+3+47+428</f>
        <v>11760</v>
      </c>
      <c r="H33" s="32">
        <f>2979+69+13+116</f>
        <v>3177</v>
      </c>
      <c r="I33" s="32">
        <f>1981+127</f>
        <v>2108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490</v>
      </c>
      <c r="Y33" s="32">
        <v>0</v>
      </c>
      <c r="Z33" s="32">
        <v>0</v>
      </c>
      <c r="AA33" s="32">
        <v>0</v>
      </c>
      <c r="AB33" s="36">
        <f t="shared" si="0"/>
        <v>17535</v>
      </c>
    </row>
    <row r="34" spans="1:28" s="33" customFormat="1" ht="24">
      <c r="A34" s="26"/>
      <c r="B34" s="37" t="s">
        <v>168</v>
      </c>
      <c r="C34" s="37" t="s">
        <v>185</v>
      </c>
      <c r="D34" s="147" t="s">
        <v>793</v>
      </c>
      <c r="E34" s="175" t="s">
        <v>186</v>
      </c>
      <c r="F34" s="346"/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f>28917-5000</f>
        <v>23917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70</v>
      </c>
      <c r="Y34" s="32">
        <f>2250+12750</f>
        <v>15000</v>
      </c>
      <c r="Z34" s="32">
        <v>0</v>
      </c>
      <c r="AA34" s="32">
        <v>0</v>
      </c>
      <c r="AB34" s="36">
        <f t="shared" si="0"/>
        <v>38987</v>
      </c>
    </row>
    <row r="35" spans="1:28" s="33" customFormat="1" ht="24">
      <c r="A35" s="26"/>
      <c r="B35" s="37" t="s">
        <v>170</v>
      </c>
      <c r="C35" s="37" t="s">
        <v>146</v>
      </c>
      <c r="D35" s="147" t="s">
        <v>795</v>
      </c>
      <c r="E35" s="176" t="s">
        <v>941</v>
      </c>
      <c r="F35" s="346"/>
      <c r="G35" s="32">
        <v>0</v>
      </c>
      <c r="H35" s="32">
        <v>0</v>
      </c>
      <c r="I35" s="32">
        <v>0</v>
      </c>
      <c r="J35" s="32">
        <v>0</v>
      </c>
      <c r="K35" s="32">
        <v>250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  <c r="AB35" s="36">
        <f t="shared" si="0"/>
        <v>250</v>
      </c>
    </row>
    <row r="36" spans="1:28" s="33" customFormat="1" ht="36">
      <c r="A36" s="26"/>
      <c r="B36" s="37" t="s">
        <v>172</v>
      </c>
      <c r="C36" s="37" t="s">
        <v>930</v>
      </c>
      <c r="D36" s="147" t="s">
        <v>746</v>
      </c>
      <c r="E36" s="176" t="s">
        <v>1150</v>
      </c>
      <c r="F36" s="346"/>
      <c r="G36" s="32">
        <v>570</v>
      </c>
      <c r="H36" s="32">
        <v>154</v>
      </c>
      <c r="I36" s="32">
        <f>387+5+230</f>
        <v>622</v>
      </c>
      <c r="J36" s="32">
        <v>0</v>
      </c>
      <c r="K36" s="32">
        <v>0</v>
      </c>
      <c r="L36" s="32">
        <f>999+1407</f>
        <v>2406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f>1830+9561</f>
        <v>11391</v>
      </c>
      <c r="AA36" s="32">
        <v>0</v>
      </c>
      <c r="AB36" s="36">
        <f t="shared" si="0"/>
        <v>15143</v>
      </c>
    </row>
    <row r="37" spans="1:28" s="33" customFormat="1" ht="15.75" customHeight="1">
      <c r="A37" s="26"/>
      <c r="B37" s="37" t="s">
        <v>174</v>
      </c>
      <c r="C37" s="37" t="s">
        <v>931</v>
      </c>
      <c r="D37" s="147" t="s">
        <v>798</v>
      </c>
      <c r="E37" s="176" t="s">
        <v>942</v>
      </c>
      <c r="F37" s="346"/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1070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  <c r="AB37" s="36">
        <f t="shared" si="0"/>
        <v>1070</v>
      </c>
    </row>
    <row r="38" spans="1:28" ht="25.5" customHeight="1">
      <c r="A38" s="26">
        <v>853333</v>
      </c>
      <c r="B38" s="37" t="s">
        <v>176</v>
      </c>
      <c r="C38" s="37" t="s">
        <v>181</v>
      </c>
      <c r="D38" s="147" t="s">
        <v>675</v>
      </c>
      <c r="E38" s="175" t="s">
        <v>638</v>
      </c>
      <c r="F38" s="144"/>
      <c r="G38" s="31">
        <v>0</v>
      </c>
      <c r="H38" s="31">
        <v>0</v>
      </c>
      <c r="I38" s="32">
        <v>0</v>
      </c>
      <c r="J38" s="32">
        <v>0</v>
      </c>
      <c r="K38" s="32">
        <v>0</v>
      </c>
      <c r="L38" s="32">
        <f>8032-7+416</f>
        <v>8441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1">
        <v>0</v>
      </c>
      <c r="X38" s="31">
        <v>0</v>
      </c>
      <c r="Y38" s="32">
        <v>0</v>
      </c>
      <c r="Z38" s="32">
        <v>0</v>
      </c>
      <c r="AA38" s="32">
        <v>0</v>
      </c>
      <c r="AB38" s="36">
        <f t="shared" si="0"/>
        <v>8441</v>
      </c>
    </row>
    <row r="39" spans="2:28" ht="12">
      <c r="B39" s="37" t="s">
        <v>177</v>
      </c>
      <c r="C39" s="37" t="s">
        <v>182</v>
      </c>
      <c r="D39" s="147" t="s">
        <v>676</v>
      </c>
      <c r="E39" s="176" t="s">
        <v>190</v>
      </c>
      <c r="F39" s="345"/>
      <c r="G39" s="32">
        <v>0</v>
      </c>
      <c r="H39" s="32">
        <v>0</v>
      </c>
      <c r="I39" s="32">
        <v>47</v>
      </c>
      <c r="J39" s="32">
        <v>0</v>
      </c>
      <c r="K39" s="32">
        <v>0</v>
      </c>
      <c r="L39" s="191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6">
        <f t="shared" si="0"/>
        <v>47</v>
      </c>
    </row>
    <row r="40" spans="2:28" ht="36">
      <c r="B40" s="37" t="s">
        <v>178</v>
      </c>
      <c r="C40" s="37" t="s">
        <v>183</v>
      </c>
      <c r="D40" s="147" t="s">
        <v>677</v>
      </c>
      <c r="E40" s="175" t="s">
        <v>1151</v>
      </c>
      <c r="F40" s="345"/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191">
        <f>9148-682</f>
        <v>8466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f>49+10330</f>
        <v>10379</v>
      </c>
      <c r="Y40" s="32">
        <v>0</v>
      </c>
      <c r="Z40" s="32">
        <v>500</v>
      </c>
      <c r="AA40" s="32">
        <v>0</v>
      </c>
      <c r="AB40" s="36">
        <f t="shared" si="0"/>
        <v>19345</v>
      </c>
    </row>
    <row r="41" spans="2:28" ht="24" customHeight="1">
      <c r="B41" s="37" t="s">
        <v>179</v>
      </c>
      <c r="C41" s="37" t="s">
        <v>162</v>
      </c>
      <c r="D41" s="147" t="s">
        <v>800</v>
      </c>
      <c r="E41" s="175" t="s">
        <v>943</v>
      </c>
      <c r="F41" s="345"/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191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5500</v>
      </c>
      <c r="Y41" s="32">
        <v>0</v>
      </c>
      <c r="Z41" s="32">
        <v>0</v>
      </c>
      <c r="AA41" s="32">
        <v>0</v>
      </c>
      <c r="AB41" s="36">
        <f t="shared" si="0"/>
        <v>5500</v>
      </c>
    </row>
    <row r="42" spans="2:28" ht="24" customHeight="1">
      <c r="B42" s="37" t="s">
        <v>180</v>
      </c>
      <c r="C42" s="37" t="s">
        <v>167</v>
      </c>
      <c r="D42" s="967" t="s">
        <v>1152</v>
      </c>
      <c r="E42" s="175" t="s">
        <v>944</v>
      </c>
      <c r="F42" s="345"/>
      <c r="G42" s="32">
        <v>0</v>
      </c>
      <c r="H42" s="32">
        <v>0</v>
      </c>
      <c r="I42" s="32">
        <v>16500</v>
      </c>
      <c r="J42" s="32">
        <v>0</v>
      </c>
      <c r="K42" s="32">
        <v>0</v>
      </c>
      <c r="L42" s="32">
        <f>19453-3540</f>
        <v>15913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32">
        <v>0</v>
      </c>
      <c r="Z42" s="32">
        <v>0</v>
      </c>
      <c r="AA42" s="32">
        <v>0</v>
      </c>
      <c r="AB42" s="36">
        <f t="shared" si="0"/>
        <v>32413</v>
      </c>
    </row>
    <row r="43" spans="3:28" ht="12.75" customHeight="1">
      <c r="C43" s="37" t="s">
        <v>170</v>
      </c>
      <c r="D43" s="968"/>
      <c r="E43" s="175" t="s">
        <v>171</v>
      </c>
      <c r="F43" s="345"/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191">
        <v>6501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0</v>
      </c>
      <c r="Z43" s="32">
        <v>0</v>
      </c>
      <c r="AA43" s="32">
        <v>0</v>
      </c>
      <c r="AB43" s="36">
        <f t="shared" si="0"/>
        <v>6501</v>
      </c>
    </row>
    <row r="44" spans="3:28" ht="12">
      <c r="C44" s="37" t="s">
        <v>172</v>
      </c>
      <c r="D44" s="968"/>
      <c r="E44" s="175" t="s">
        <v>173</v>
      </c>
      <c r="F44" s="345"/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191">
        <f>18174</f>
        <v>18174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32">
        <v>0</v>
      </c>
      <c r="Z44" s="32">
        <v>0</v>
      </c>
      <c r="AA44" s="32">
        <v>0</v>
      </c>
      <c r="AB44" s="36">
        <f t="shared" si="0"/>
        <v>18174</v>
      </c>
    </row>
    <row r="45" spans="3:28" ht="12">
      <c r="C45" s="37" t="s">
        <v>168</v>
      </c>
      <c r="D45" s="968"/>
      <c r="E45" s="175" t="s">
        <v>169</v>
      </c>
      <c r="F45" s="345"/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1509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0</v>
      </c>
      <c r="Y45" s="32">
        <v>0</v>
      </c>
      <c r="Z45" s="32">
        <v>0</v>
      </c>
      <c r="AA45" s="32">
        <v>0</v>
      </c>
      <c r="AB45" s="36">
        <f t="shared" si="0"/>
        <v>1509</v>
      </c>
    </row>
    <row r="46" spans="2:28" ht="12">
      <c r="B46" s="37" t="s">
        <v>181</v>
      </c>
      <c r="C46" s="37" t="s">
        <v>174</v>
      </c>
      <c r="D46" s="968"/>
      <c r="E46" s="175" t="s">
        <v>175</v>
      </c>
      <c r="F46" s="345"/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3405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32">
        <v>0</v>
      </c>
      <c r="Z46" s="32">
        <v>0</v>
      </c>
      <c r="AA46" s="32">
        <v>0</v>
      </c>
      <c r="AB46" s="36">
        <f t="shared" si="0"/>
        <v>3405</v>
      </c>
    </row>
    <row r="47" spans="2:28" ht="12">
      <c r="B47" s="37" t="s">
        <v>182</v>
      </c>
      <c r="C47" s="37" t="s">
        <v>176</v>
      </c>
      <c r="D47" s="968"/>
      <c r="E47" s="175" t="s">
        <v>741</v>
      </c>
      <c r="F47" s="345"/>
      <c r="G47" s="32">
        <v>0</v>
      </c>
      <c r="H47" s="32">
        <v>0</v>
      </c>
      <c r="I47" s="32">
        <f>2350-500</f>
        <v>1850</v>
      </c>
      <c r="J47" s="32">
        <v>0</v>
      </c>
      <c r="K47" s="32">
        <v>0</v>
      </c>
      <c r="L47" s="32">
        <v>5324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6">
        <f t="shared" si="0"/>
        <v>7174</v>
      </c>
    </row>
    <row r="48" spans="2:28" ht="13.5" customHeight="1">
      <c r="B48" s="37" t="s">
        <v>183</v>
      </c>
      <c r="C48" s="37" t="s">
        <v>177</v>
      </c>
      <c r="D48" s="968"/>
      <c r="E48" s="175" t="s">
        <v>742</v>
      </c>
      <c r="F48" s="345"/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3017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32">
        <v>0</v>
      </c>
      <c r="AB48" s="36">
        <f t="shared" si="0"/>
        <v>3017</v>
      </c>
    </row>
    <row r="49" spans="2:28" ht="12">
      <c r="B49" s="37" t="s">
        <v>185</v>
      </c>
      <c r="C49" s="37" t="s">
        <v>178</v>
      </c>
      <c r="D49" s="969"/>
      <c r="E49" s="175" t="s">
        <v>740</v>
      </c>
      <c r="F49" s="345"/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9179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32">
        <v>0</v>
      </c>
      <c r="Z49" s="32">
        <v>0</v>
      </c>
      <c r="AA49" s="32">
        <v>0</v>
      </c>
      <c r="AB49" s="36">
        <f t="shared" si="0"/>
        <v>9179</v>
      </c>
    </row>
    <row r="50" spans="3:28" ht="24">
      <c r="C50" s="37" t="s">
        <v>180</v>
      </c>
      <c r="D50" s="673" t="s">
        <v>710</v>
      </c>
      <c r="E50" s="175" t="s">
        <v>945</v>
      </c>
      <c r="F50" s="345"/>
      <c r="G50" s="32">
        <v>0</v>
      </c>
      <c r="H50" s="32">
        <v>0</v>
      </c>
      <c r="I50" s="32">
        <v>0</v>
      </c>
      <c r="J50" s="32">
        <f>2800+1330</f>
        <v>4130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32">
        <v>0</v>
      </c>
      <c r="Z50" s="32">
        <v>0</v>
      </c>
      <c r="AA50" s="32">
        <v>0</v>
      </c>
      <c r="AB50" s="36">
        <f t="shared" si="0"/>
        <v>4130</v>
      </c>
    </row>
    <row r="51" spans="3:28" ht="24">
      <c r="C51" s="37" t="s">
        <v>157</v>
      </c>
      <c r="D51" s="673" t="s">
        <v>804</v>
      </c>
      <c r="E51" s="175" t="s">
        <v>634</v>
      </c>
      <c r="F51" s="675"/>
      <c r="G51" s="676">
        <v>0</v>
      </c>
      <c r="H51" s="677">
        <v>0</v>
      </c>
      <c r="I51" s="677">
        <v>0</v>
      </c>
      <c r="J51" s="677">
        <v>0</v>
      </c>
      <c r="K51" s="677">
        <v>0</v>
      </c>
      <c r="L51" s="677">
        <v>0</v>
      </c>
      <c r="M51" s="677">
        <v>0</v>
      </c>
      <c r="N51" s="677">
        <v>0</v>
      </c>
      <c r="O51" s="677">
        <v>0</v>
      </c>
      <c r="P51" s="677">
        <f>1000-1000</f>
        <v>0</v>
      </c>
      <c r="Q51" s="677">
        <f>200+2611</f>
        <v>2811</v>
      </c>
      <c r="R51" s="677">
        <f>1000-3517-100-859+720+3517-250+10-70-350-2250-2250-6000+12783-1000+410-1204-67-8-218-360+63</f>
        <v>0</v>
      </c>
      <c r="S51" s="677">
        <f>1519-323+714+2900-127</f>
        <v>4683</v>
      </c>
      <c r="T51" s="677">
        <f>-882-8489+122146-13962-41870-714-146-3-7982-9122-2900-2611-4252-16238-18-10330-1499-385-594-149</f>
        <v>0</v>
      </c>
      <c r="U51" s="677">
        <f>3000-1000-207</f>
        <v>1793</v>
      </c>
      <c r="V51" s="677">
        <f>195+4252</f>
        <v>4447</v>
      </c>
      <c r="W51" s="677">
        <v>40540</v>
      </c>
      <c r="X51" s="677">
        <v>0</v>
      </c>
      <c r="Y51" s="677">
        <v>0</v>
      </c>
      <c r="Z51" s="677">
        <v>0</v>
      </c>
      <c r="AA51" s="677">
        <v>0</v>
      </c>
      <c r="AB51" s="36">
        <f t="shared" si="0"/>
        <v>54274</v>
      </c>
    </row>
    <row r="52" spans="1:28" s="178" customFormat="1" ht="24">
      <c r="A52" s="178">
        <v>999997</v>
      </c>
      <c r="B52" s="179"/>
      <c r="C52" s="37" t="s">
        <v>1153</v>
      </c>
      <c r="D52" s="673" t="s">
        <v>805</v>
      </c>
      <c r="E52" s="674" t="s">
        <v>1054</v>
      </c>
      <c r="F52" s="675"/>
      <c r="G52" s="676">
        <v>0</v>
      </c>
      <c r="H52" s="677">
        <v>0</v>
      </c>
      <c r="I52" s="677">
        <f>7683+1039+66-279</f>
        <v>8509</v>
      </c>
      <c r="J52" s="677">
        <v>0</v>
      </c>
      <c r="K52" s="677">
        <v>0</v>
      </c>
      <c r="L52" s="677">
        <v>0</v>
      </c>
      <c r="M52" s="677">
        <v>0</v>
      </c>
      <c r="N52" s="677">
        <v>0</v>
      </c>
      <c r="O52" s="677">
        <v>0</v>
      </c>
      <c r="P52" s="677">
        <v>0</v>
      </c>
      <c r="Q52" s="677">
        <v>0</v>
      </c>
      <c r="R52" s="677">
        <v>0</v>
      </c>
      <c r="S52" s="677">
        <v>0</v>
      </c>
      <c r="T52" s="677">
        <v>0</v>
      </c>
      <c r="U52" s="677">
        <v>0</v>
      </c>
      <c r="V52" s="677">
        <v>0</v>
      </c>
      <c r="W52" s="677">
        <v>0</v>
      </c>
      <c r="X52" s="677">
        <v>0</v>
      </c>
      <c r="Y52" s="677">
        <v>0</v>
      </c>
      <c r="Z52" s="677">
        <v>0</v>
      </c>
      <c r="AA52" s="677">
        <v>0</v>
      </c>
      <c r="AB52" s="36">
        <f t="shared" si="0"/>
        <v>8509</v>
      </c>
    </row>
    <row r="53" spans="3:28" ht="12">
      <c r="C53" s="37" t="s">
        <v>932</v>
      </c>
      <c r="D53" s="147" t="s">
        <v>806</v>
      </c>
      <c r="E53" s="175" t="s">
        <v>593</v>
      </c>
      <c r="F53" s="144"/>
      <c r="G53" s="31">
        <f>26525+1472+28</f>
        <v>28025</v>
      </c>
      <c r="H53" s="31">
        <f>7152+398+8</f>
        <v>7558</v>
      </c>
      <c r="I53" s="32">
        <f>97956+93+1589+4674</f>
        <v>104312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1">
        <v>0</v>
      </c>
      <c r="X53" s="31">
        <f>7836-7620+5644</f>
        <v>5860</v>
      </c>
      <c r="Y53" s="32">
        <v>0</v>
      </c>
      <c r="Z53" s="32">
        <v>0</v>
      </c>
      <c r="AA53" s="32">
        <v>0</v>
      </c>
      <c r="AB53" s="36">
        <f t="shared" si="0"/>
        <v>145755</v>
      </c>
    </row>
    <row r="54" spans="3:28" ht="13.5" thickBot="1">
      <c r="C54" s="178"/>
      <c r="D54" s="180" t="s">
        <v>807</v>
      </c>
      <c r="E54" s="181" t="s">
        <v>614</v>
      </c>
      <c r="F54" s="182">
        <f>SUM(F8:F50)</f>
        <v>0</v>
      </c>
      <c r="G54" s="183">
        <f>SUM(G8:G53)</f>
        <v>164395</v>
      </c>
      <c r="H54" s="183">
        <f aca="true" t="shared" si="1" ref="H54:AB54">SUM(H8:H53)</f>
        <v>40887</v>
      </c>
      <c r="I54" s="183">
        <f t="shared" si="1"/>
        <v>350044</v>
      </c>
      <c r="J54" s="183">
        <f t="shared" si="1"/>
        <v>4130</v>
      </c>
      <c r="K54" s="183">
        <f t="shared" si="1"/>
        <v>436</v>
      </c>
      <c r="L54" s="183">
        <f t="shared" si="1"/>
        <v>201128</v>
      </c>
      <c r="M54" s="183">
        <f t="shared" si="1"/>
        <v>21668</v>
      </c>
      <c r="N54" s="183">
        <f t="shared" si="1"/>
        <v>41355</v>
      </c>
      <c r="O54" s="183">
        <f t="shared" si="1"/>
        <v>14427</v>
      </c>
      <c r="P54" s="183">
        <f t="shared" si="1"/>
        <v>0</v>
      </c>
      <c r="Q54" s="183">
        <f t="shared" si="1"/>
        <v>2811</v>
      </c>
      <c r="R54" s="183">
        <f t="shared" si="1"/>
        <v>0</v>
      </c>
      <c r="S54" s="183">
        <f t="shared" si="1"/>
        <v>4683</v>
      </c>
      <c r="T54" s="183">
        <f t="shared" si="1"/>
        <v>0</v>
      </c>
      <c r="U54" s="183">
        <f t="shared" si="1"/>
        <v>1793</v>
      </c>
      <c r="V54" s="183">
        <f t="shared" si="1"/>
        <v>4447</v>
      </c>
      <c r="W54" s="183">
        <f t="shared" si="1"/>
        <v>40540</v>
      </c>
      <c r="X54" s="183">
        <f t="shared" si="1"/>
        <v>1196425</v>
      </c>
      <c r="Y54" s="183">
        <f t="shared" si="1"/>
        <v>18179</v>
      </c>
      <c r="Z54" s="183">
        <f t="shared" si="1"/>
        <v>12290</v>
      </c>
      <c r="AA54" s="183">
        <f t="shared" si="1"/>
        <v>86238</v>
      </c>
      <c r="AB54" s="184">
        <f t="shared" si="1"/>
        <v>2205876</v>
      </c>
    </row>
    <row r="55" spans="3:28" ht="12.75">
      <c r="C55" s="178"/>
      <c r="D55" s="751"/>
      <c r="E55" s="752"/>
      <c r="F55" s="753"/>
      <c r="G55" s="754"/>
      <c r="H55" s="754"/>
      <c r="I55" s="754"/>
      <c r="J55" s="754"/>
      <c r="K55" s="754"/>
      <c r="L55" s="754"/>
      <c r="M55" s="754"/>
      <c r="N55" s="754"/>
      <c r="O55" s="754"/>
      <c r="P55" s="754"/>
      <c r="Q55" s="754"/>
      <c r="R55" s="754"/>
      <c r="S55" s="754"/>
      <c r="T55" s="754"/>
      <c r="U55" s="754"/>
      <c r="V55" s="754"/>
      <c r="W55" s="754"/>
      <c r="X55" s="754"/>
      <c r="Y55" s="754"/>
      <c r="Z55" s="754"/>
      <c r="AA55" s="754"/>
      <c r="AB55" s="754"/>
    </row>
    <row r="56" spans="4:12" ht="15">
      <c r="D56" s="978" t="s">
        <v>1156</v>
      </c>
      <c r="E56" s="978"/>
      <c r="F56" s="978"/>
      <c r="G56" s="978"/>
      <c r="H56" s="978"/>
      <c r="I56" s="978"/>
      <c r="J56" s="978"/>
      <c r="K56" s="978"/>
      <c r="L56" s="978"/>
    </row>
    <row r="57" spans="4:12" ht="15">
      <c r="D57" s="826" t="s">
        <v>1157</v>
      </c>
      <c r="E57" s="827"/>
      <c r="F57" s="827"/>
      <c r="G57" s="828"/>
      <c r="H57" s="828"/>
      <c r="I57" s="828"/>
      <c r="J57" s="828"/>
      <c r="K57" s="828"/>
      <c r="L57" s="828"/>
    </row>
    <row r="58" spans="4:12" ht="15">
      <c r="D58" s="818" t="s">
        <v>1155</v>
      </c>
      <c r="E58" s="819"/>
      <c r="F58" s="819"/>
      <c r="G58" s="819"/>
      <c r="H58" s="828"/>
      <c r="I58" s="828"/>
      <c r="J58" s="828"/>
      <c r="K58" s="828"/>
      <c r="L58" s="828"/>
    </row>
    <row r="59" ht="12">
      <c r="F59" s="145"/>
    </row>
  </sheetData>
  <sheetProtection/>
  <mergeCells count="32">
    <mergeCell ref="Y5:Y6"/>
    <mergeCell ref="Z5:Z6"/>
    <mergeCell ref="P5:P6"/>
    <mergeCell ref="O5:O6"/>
    <mergeCell ref="V5:V6"/>
    <mergeCell ref="C1:C2"/>
    <mergeCell ref="R5:R6"/>
    <mergeCell ref="T5:T6"/>
    <mergeCell ref="W1:AB1"/>
    <mergeCell ref="M5:M6"/>
    <mergeCell ref="U5:U6"/>
    <mergeCell ref="F4:F6"/>
    <mergeCell ref="Q5:Q6"/>
    <mergeCell ref="E2:AA2"/>
    <mergeCell ref="X5:X6"/>
    <mergeCell ref="G4:AA4"/>
    <mergeCell ref="AB4:AB6"/>
    <mergeCell ref="AA5:AA6"/>
    <mergeCell ref="D56:L56"/>
    <mergeCell ref="D4:D7"/>
    <mergeCell ref="G5:G6"/>
    <mergeCell ref="H5:H6"/>
    <mergeCell ref="K5:K6"/>
    <mergeCell ref="E4:E6"/>
    <mergeCell ref="J5:J6"/>
    <mergeCell ref="D30:D33"/>
    <mergeCell ref="D42:D49"/>
    <mergeCell ref="L5:L6"/>
    <mergeCell ref="W5:W6"/>
    <mergeCell ref="N5:N6"/>
    <mergeCell ref="S5:S6"/>
    <mergeCell ref="I5:I6"/>
  </mergeCells>
  <printOptions horizontalCentered="1"/>
  <pageMargins left="0.07874015748031496" right="0.07874015748031496" top="0.984251968503937" bottom="0.984251968503937" header="0.11811023622047245" footer="0.1968503937007874"/>
  <pageSetup horizontalDpi="600" verticalDpi="600" orientation="landscape" paperSize="9" scale="62" r:id="rId1"/>
  <rowBreaks count="1" manualBreakCount="1">
    <brk id="28" min="3" max="2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A80"/>
  <sheetViews>
    <sheetView workbookViewId="0" topLeftCell="A1">
      <selection activeCell="A80" sqref="A80:E80"/>
    </sheetView>
  </sheetViews>
  <sheetFormatPr defaultColWidth="9.00390625" defaultRowHeight="12.75"/>
  <cols>
    <col min="1" max="1" width="5.125" style="0" customWidth="1"/>
    <col min="2" max="2" width="31.75390625" style="0" customWidth="1"/>
    <col min="3" max="3" width="14.375" style="0" customWidth="1"/>
    <col min="4" max="6" width="13.75390625" style="0" bestFit="1" customWidth="1"/>
    <col min="7" max="11" width="12.875" style="0" customWidth="1"/>
    <col min="12" max="12" width="15.00390625" style="0" customWidth="1"/>
    <col min="13" max="13" width="17.00390625" style="0" bestFit="1" customWidth="1"/>
  </cols>
  <sheetData>
    <row r="1" spans="1:21" ht="15.75">
      <c r="A1" s="227"/>
      <c r="B1" s="228"/>
      <c r="C1" s="229"/>
      <c r="D1" s="229"/>
      <c r="E1" s="229"/>
      <c r="F1" s="229"/>
      <c r="G1" s="999" t="s">
        <v>1164</v>
      </c>
      <c r="H1" s="999"/>
      <c r="I1" s="1000"/>
      <c r="J1" s="1000"/>
      <c r="K1" s="1000"/>
      <c r="L1" s="1000"/>
      <c r="M1" s="1000"/>
      <c r="N1" s="228"/>
      <c r="O1" s="228"/>
      <c r="P1" s="228"/>
      <c r="Q1" s="228"/>
      <c r="R1" s="232"/>
      <c r="S1" s="232"/>
      <c r="T1" s="232"/>
      <c r="U1" s="228"/>
    </row>
    <row r="2" spans="1:21" ht="12.75">
      <c r="A2" s="227"/>
      <c r="B2" s="228"/>
      <c r="C2" s="229"/>
      <c r="D2" s="229"/>
      <c r="E2" s="229"/>
      <c r="F2" s="229"/>
      <c r="G2" s="230"/>
      <c r="H2" s="230"/>
      <c r="I2" s="231"/>
      <c r="J2" s="231"/>
      <c r="K2" s="231"/>
      <c r="L2" s="231"/>
      <c r="M2" s="231"/>
      <c r="N2" s="228"/>
      <c r="O2" s="228"/>
      <c r="P2" s="228"/>
      <c r="Q2" s="228"/>
      <c r="R2" s="232"/>
      <c r="S2" s="232"/>
      <c r="T2" s="232"/>
      <c r="U2" s="228"/>
    </row>
    <row r="3" spans="1:27" ht="15.75" customHeight="1">
      <c r="A3" s="1004" t="s">
        <v>912</v>
      </c>
      <c r="B3" s="1004"/>
      <c r="C3" s="1004"/>
      <c r="D3" s="1004"/>
      <c r="E3" s="1004"/>
      <c r="F3" s="1004"/>
      <c r="G3" s="1004"/>
      <c r="H3" s="1004"/>
      <c r="I3" s="1004"/>
      <c r="J3" s="1004"/>
      <c r="K3" s="1004"/>
      <c r="L3" s="1004"/>
      <c r="M3" s="1004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</row>
    <row r="4" spans="1:27" ht="13.5" thickBot="1">
      <c r="A4" s="1004"/>
      <c r="B4" s="1004"/>
      <c r="C4" s="1004"/>
      <c r="D4" s="1004"/>
      <c r="E4" s="1004"/>
      <c r="F4" s="1004"/>
      <c r="G4" s="1004"/>
      <c r="H4" s="1004"/>
      <c r="I4" s="1004"/>
      <c r="J4" s="1004"/>
      <c r="K4" s="1004"/>
      <c r="L4" s="1004"/>
      <c r="M4" s="100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</row>
    <row r="5" spans="1:27" ht="16.5" thickBot="1">
      <c r="A5" s="1017" t="s">
        <v>706</v>
      </c>
      <c r="B5" s="1014" t="s">
        <v>610</v>
      </c>
      <c r="C5" s="1020" t="s">
        <v>778</v>
      </c>
      <c r="D5" s="1020"/>
      <c r="E5" s="1020"/>
      <c r="F5" s="1020"/>
      <c r="G5" s="1020"/>
      <c r="H5" s="1020"/>
      <c r="I5" s="1020"/>
      <c r="J5" s="1020"/>
      <c r="K5" s="1020"/>
      <c r="L5" s="1020"/>
      <c r="M5" s="1021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35"/>
    </row>
    <row r="6" spans="1:13" ht="12.75" customHeight="1">
      <c r="A6" s="1018"/>
      <c r="B6" s="1015"/>
      <c r="C6" s="1005" t="s">
        <v>779</v>
      </c>
      <c r="D6" s="1008" t="s">
        <v>780</v>
      </c>
      <c r="E6" s="1009"/>
      <c r="F6" s="1010"/>
      <c r="G6" s="1008" t="s">
        <v>781</v>
      </c>
      <c r="H6" s="1009"/>
      <c r="I6" s="1010"/>
      <c r="J6" s="1008" t="s">
        <v>782</v>
      </c>
      <c r="K6" s="1009"/>
      <c r="L6" s="1010"/>
      <c r="M6" s="1001" t="s">
        <v>620</v>
      </c>
    </row>
    <row r="7" spans="1:13" ht="12.75" customHeight="1">
      <c r="A7" s="1018"/>
      <c r="B7" s="1015"/>
      <c r="C7" s="1006"/>
      <c r="D7" s="1011"/>
      <c r="E7" s="1012"/>
      <c r="F7" s="1013"/>
      <c r="G7" s="1011"/>
      <c r="H7" s="1012"/>
      <c r="I7" s="1013"/>
      <c r="J7" s="1011"/>
      <c r="K7" s="1012"/>
      <c r="L7" s="1013"/>
      <c r="M7" s="1002"/>
    </row>
    <row r="8" spans="1:13" ht="24" customHeight="1" thickBot="1">
      <c r="A8" s="1019"/>
      <c r="B8" s="1016"/>
      <c r="C8" s="1007"/>
      <c r="D8" s="622" t="s">
        <v>191</v>
      </c>
      <c r="E8" s="623" t="s">
        <v>192</v>
      </c>
      <c r="F8" s="371" t="s">
        <v>193</v>
      </c>
      <c r="G8" s="624" t="s">
        <v>191</v>
      </c>
      <c r="H8" s="623" t="s">
        <v>192</v>
      </c>
      <c r="I8" s="371" t="s">
        <v>193</v>
      </c>
      <c r="J8" s="624" t="s">
        <v>191</v>
      </c>
      <c r="K8" s="623" t="s">
        <v>192</v>
      </c>
      <c r="L8" s="371" t="s">
        <v>193</v>
      </c>
      <c r="M8" s="1003"/>
    </row>
    <row r="9" spans="1:13" ht="13.5" thickBot="1">
      <c r="A9" s="619"/>
      <c r="B9" s="1022" t="s">
        <v>783</v>
      </c>
      <c r="C9" s="1023"/>
      <c r="D9" s="1023"/>
      <c r="E9" s="1023"/>
      <c r="F9" s="1023"/>
      <c r="G9" s="1023"/>
      <c r="H9" s="1023"/>
      <c r="I9" s="1023"/>
      <c r="J9" s="1023"/>
      <c r="K9" s="1023"/>
      <c r="L9" s="1023"/>
      <c r="M9" s="1024"/>
    </row>
    <row r="10" spans="1:13" ht="29.25" customHeight="1">
      <c r="A10" s="620" t="s">
        <v>653</v>
      </c>
      <c r="B10" s="621" t="s">
        <v>153</v>
      </c>
      <c r="C10" s="350" t="s">
        <v>789</v>
      </c>
      <c r="D10" s="612">
        <f>28214+7000+3650+186+105+100+20648+5467-6+70000+39900+1204+67+1455+22+61+440+592+79421+279+594+149+53+27</f>
        <v>259628</v>
      </c>
      <c r="E10" s="613">
        <f>3000+1350+8489-170</f>
        <v>12669</v>
      </c>
      <c r="F10" s="353">
        <f aca="true" t="shared" si="0" ref="F10:F44">SUM(D10:E10)</f>
        <v>272297</v>
      </c>
      <c r="G10" s="721"/>
      <c r="H10" s="613"/>
      <c r="I10" s="353">
        <f aca="true" t="shared" si="1" ref="I10:I55">SUM(G10:H10)</f>
        <v>0</v>
      </c>
      <c r="J10" s="614"/>
      <c r="K10" s="615"/>
      <c r="L10" s="353">
        <f aca="true" t="shared" si="2" ref="L10:L55">SUM(J10:K10)</f>
        <v>0</v>
      </c>
      <c r="M10" s="627">
        <f aca="true" t="shared" si="3" ref="M10:M24">SUM(F10+I10+L10)</f>
        <v>272297</v>
      </c>
    </row>
    <row r="11" spans="1:13" ht="29.25" customHeight="1">
      <c r="A11" s="720" t="s">
        <v>654</v>
      </c>
      <c r="B11" s="611" t="s">
        <v>1142</v>
      </c>
      <c r="C11" s="370"/>
      <c r="D11" s="612"/>
      <c r="E11" s="613"/>
      <c r="F11" s="353">
        <f t="shared" si="0"/>
        <v>0</v>
      </c>
      <c r="G11" s="721">
        <f>5818+2</f>
        <v>5820</v>
      </c>
      <c r="H11" s="613"/>
      <c r="I11" s="353">
        <f t="shared" si="1"/>
        <v>5820</v>
      </c>
      <c r="J11" s="614"/>
      <c r="K11" s="615"/>
      <c r="L11" s="353">
        <f t="shared" si="2"/>
        <v>0</v>
      </c>
      <c r="M11" s="627">
        <f t="shared" si="3"/>
        <v>5820</v>
      </c>
    </row>
    <row r="12" spans="1:13" ht="29.25" customHeight="1">
      <c r="A12" s="720" t="s">
        <v>655</v>
      </c>
      <c r="B12" s="611" t="s">
        <v>1143</v>
      </c>
      <c r="C12" s="370"/>
      <c r="D12" s="612"/>
      <c r="E12" s="613"/>
      <c r="F12" s="353"/>
      <c r="G12" s="721">
        <v>708</v>
      </c>
      <c r="H12" s="613"/>
      <c r="I12" s="353">
        <f t="shared" si="1"/>
        <v>708</v>
      </c>
      <c r="J12" s="614"/>
      <c r="K12" s="615"/>
      <c r="L12" s="353"/>
      <c r="M12" s="627">
        <f t="shared" si="3"/>
        <v>708</v>
      </c>
    </row>
    <row r="13" spans="1:13" ht="29.25" customHeight="1">
      <c r="A13" s="720" t="s">
        <v>656</v>
      </c>
      <c r="B13" s="611" t="s">
        <v>948</v>
      </c>
      <c r="C13" s="370" t="s">
        <v>786</v>
      </c>
      <c r="D13" s="612">
        <v>100</v>
      </c>
      <c r="E13" s="613"/>
      <c r="F13" s="353">
        <f t="shared" si="0"/>
        <v>100</v>
      </c>
      <c r="G13" s="721"/>
      <c r="H13" s="613"/>
      <c r="I13" s="353">
        <f t="shared" si="1"/>
        <v>0</v>
      </c>
      <c r="J13" s="614"/>
      <c r="K13" s="615"/>
      <c r="L13" s="353">
        <f t="shared" si="2"/>
        <v>0</v>
      </c>
      <c r="M13" s="627">
        <f t="shared" si="3"/>
        <v>100</v>
      </c>
    </row>
    <row r="14" spans="1:13" ht="29.25" customHeight="1">
      <c r="A14" s="720" t="s">
        <v>657</v>
      </c>
      <c r="B14" s="611" t="s">
        <v>148</v>
      </c>
      <c r="C14" s="370" t="s">
        <v>788</v>
      </c>
      <c r="D14" s="612">
        <f>68579-1650+6774-14274+5105+24-53</f>
        <v>64505</v>
      </c>
      <c r="E14" s="613">
        <f>978+6000+360</f>
        <v>7338</v>
      </c>
      <c r="F14" s="353">
        <f t="shared" si="0"/>
        <v>71843</v>
      </c>
      <c r="G14" s="721"/>
      <c r="H14" s="613"/>
      <c r="I14" s="353">
        <f t="shared" si="1"/>
        <v>0</v>
      </c>
      <c r="J14" s="614"/>
      <c r="K14" s="615"/>
      <c r="L14" s="353">
        <f t="shared" si="2"/>
        <v>0</v>
      </c>
      <c r="M14" s="627">
        <f t="shared" si="3"/>
        <v>71843</v>
      </c>
    </row>
    <row r="15" spans="1:13" ht="29.25" customHeight="1">
      <c r="A15" s="720" t="s">
        <v>658</v>
      </c>
      <c r="B15" s="611" t="s">
        <v>150</v>
      </c>
      <c r="C15" s="370" t="s">
        <v>788</v>
      </c>
      <c r="D15" s="612">
        <f>39791-1963+147+55+15+298+80</f>
        <v>38423</v>
      </c>
      <c r="E15" s="613"/>
      <c r="F15" s="353">
        <f t="shared" si="0"/>
        <v>38423</v>
      </c>
      <c r="G15" s="721"/>
      <c r="H15" s="613"/>
      <c r="I15" s="353">
        <f t="shared" si="1"/>
        <v>0</v>
      </c>
      <c r="J15" s="614"/>
      <c r="K15" s="615"/>
      <c r="L15" s="353">
        <f t="shared" si="2"/>
        <v>0</v>
      </c>
      <c r="M15" s="627">
        <f t="shared" si="3"/>
        <v>38423</v>
      </c>
    </row>
    <row r="16" spans="1:13" ht="29.25" customHeight="1">
      <c r="A16" s="720" t="s">
        <v>659</v>
      </c>
      <c r="B16" s="611" t="s">
        <v>632</v>
      </c>
      <c r="C16" s="618"/>
      <c r="D16" s="612"/>
      <c r="E16" s="613"/>
      <c r="F16" s="353">
        <f t="shared" si="0"/>
        <v>0</v>
      </c>
      <c r="G16" s="721">
        <f>950+250+6+787+403+4810+121+62-183+196</f>
        <v>7402</v>
      </c>
      <c r="H16" s="613"/>
      <c r="I16" s="353">
        <f t="shared" si="1"/>
        <v>7402</v>
      </c>
      <c r="J16" s="614"/>
      <c r="K16" s="615"/>
      <c r="L16" s="353">
        <f t="shared" si="2"/>
        <v>0</v>
      </c>
      <c r="M16" s="627">
        <f t="shared" si="3"/>
        <v>7402</v>
      </c>
    </row>
    <row r="17" spans="1:13" ht="29.25" customHeight="1">
      <c r="A17" s="720" t="s">
        <v>660</v>
      </c>
      <c r="B17" s="611" t="s">
        <v>1052</v>
      </c>
      <c r="C17" s="370" t="s">
        <v>1065</v>
      </c>
      <c r="D17" s="612">
        <f>13962+16238+18+1052+447</f>
        <v>31717</v>
      </c>
      <c r="E17" s="613"/>
      <c r="F17" s="353">
        <f t="shared" si="0"/>
        <v>31717</v>
      </c>
      <c r="G17" s="721"/>
      <c r="H17" s="613"/>
      <c r="I17" s="353">
        <f t="shared" si="1"/>
        <v>0</v>
      </c>
      <c r="J17" s="614"/>
      <c r="K17" s="615"/>
      <c r="L17" s="353">
        <f t="shared" si="2"/>
        <v>0</v>
      </c>
      <c r="M17" s="627">
        <f t="shared" si="3"/>
        <v>31717</v>
      </c>
    </row>
    <row r="18" spans="1:13" ht="34.5" customHeight="1">
      <c r="A18" s="720" t="s">
        <v>661</v>
      </c>
      <c r="B18" s="611" t="s">
        <v>159</v>
      </c>
      <c r="C18" s="370" t="s">
        <v>196</v>
      </c>
      <c r="D18" s="612"/>
      <c r="E18" s="613"/>
      <c r="F18" s="353">
        <f t="shared" si="0"/>
        <v>0</v>
      </c>
      <c r="G18" s="721"/>
      <c r="H18" s="613"/>
      <c r="I18" s="353">
        <f t="shared" si="1"/>
        <v>0</v>
      </c>
      <c r="J18" s="614">
        <f>40919-911-1478-396-763+21+6+197+53+146+962-578-302-82</f>
        <v>37794</v>
      </c>
      <c r="K18" s="615">
        <v>161</v>
      </c>
      <c r="L18" s="353">
        <f t="shared" si="2"/>
        <v>37955</v>
      </c>
      <c r="M18" s="627">
        <f t="shared" si="3"/>
        <v>37955</v>
      </c>
    </row>
    <row r="19" spans="1:13" ht="34.5" customHeight="1">
      <c r="A19" s="720" t="s">
        <v>662</v>
      </c>
      <c r="B19" s="611" t="s">
        <v>934</v>
      </c>
      <c r="C19" s="990" t="s">
        <v>813</v>
      </c>
      <c r="D19" s="612">
        <v>303</v>
      </c>
      <c r="E19" s="613"/>
      <c r="F19" s="353">
        <f t="shared" si="0"/>
        <v>303</v>
      </c>
      <c r="G19" s="721"/>
      <c r="H19" s="613"/>
      <c r="I19" s="353">
        <f t="shared" si="1"/>
        <v>0</v>
      </c>
      <c r="J19" s="614"/>
      <c r="K19" s="615"/>
      <c r="L19" s="353">
        <f t="shared" si="2"/>
        <v>0</v>
      </c>
      <c r="M19" s="627">
        <f t="shared" si="3"/>
        <v>303</v>
      </c>
    </row>
    <row r="20" spans="1:13" ht="29.25" customHeight="1">
      <c r="A20" s="720" t="s">
        <v>663</v>
      </c>
      <c r="B20" s="611" t="s">
        <v>1167</v>
      </c>
      <c r="C20" s="991"/>
      <c r="D20" s="612">
        <f>24353+14+14</f>
        <v>24381</v>
      </c>
      <c r="E20" s="613"/>
      <c r="F20" s="353">
        <f t="shared" si="0"/>
        <v>24381</v>
      </c>
      <c r="G20" s="721"/>
      <c r="H20" s="613"/>
      <c r="I20" s="353">
        <f t="shared" si="1"/>
        <v>0</v>
      </c>
      <c r="J20" s="614"/>
      <c r="K20" s="615"/>
      <c r="L20" s="353">
        <f t="shared" si="2"/>
        <v>0</v>
      </c>
      <c r="M20" s="627">
        <f t="shared" si="3"/>
        <v>24381</v>
      </c>
    </row>
    <row r="21" spans="1:13" ht="29.25" customHeight="1">
      <c r="A21" s="720" t="s">
        <v>664</v>
      </c>
      <c r="B21" s="611" t="s">
        <v>935</v>
      </c>
      <c r="C21" s="992"/>
      <c r="D21" s="612">
        <f>24756+5487</f>
        <v>30243</v>
      </c>
      <c r="E21" s="613"/>
      <c r="F21" s="353">
        <f t="shared" si="0"/>
        <v>30243</v>
      </c>
      <c r="G21" s="721"/>
      <c r="H21" s="613"/>
      <c r="I21" s="353">
        <f t="shared" si="1"/>
        <v>0</v>
      </c>
      <c r="J21" s="614"/>
      <c r="K21" s="615"/>
      <c r="L21" s="353">
        <f t="shared" si="2"/>
        <v>0</v>
      </c>
      <c r="M21" s="627">
        <f t="shared" si="3"/>
        <v>30243</v>
      </c>
    </row>
    <row r="22" spans="1:13" ht="29.25" customHeight="1">
      <c r="A22" s="720" t="s">
        <v>665</v>
      </c>
      <c r="B22" s="611" t="s">
        <v>571</v>
      </c>
      <c r="C22" s="370" t="s">
        <v>786</v>
      </c>
      <c r="D22" s="612">
        <f>15817-8000</f>
        <v>7817</v>
      </c>
      <c r="E22" s="613">
        <v>2250</v>
      </c>
      <c r="F22" s="353">
        <f t="shared" si="0"/>
        <v>10067</v>
      </c>
      <c r="G22" s="721"/>
      <c r="H22" s="613"/>
      <c r="I22" s="353">
        <f t="shared" si="1"/>
        <v>0</v>
      </c>
      <c r="J22" s="614"/>
      <c r="K22" s="615"/>
      <c r="L22" s="353">
        <f t="shared" si="2"/>
        <v>0</v>
      </c>
      <c r="M22" s="627">
        <f t="shared" si="3"/>
        <v>10067</v>
      </c>
    </row>
    <row r="23" spans="1:13" ht="29.25" customHeight="1">
      <c r="A23" s="720" t="s">
        <v>666</v>
      </c>
      <c r="B23" s="611" t="s">
        <v>938</v>
      </c>
      <c r="C23" s="370" t="s">
        <v>786</v>
      </c>
      <c r="D23" s="612"/>
      <c r="E23" s="613">
        <v>250</v>
      </c>
      <c r="F23" s="353">
        <f t="shared" si="0"/>
        <v>250</v>
      </c>
      <c r="G23" s="721"/>
      <c r="H23" s="613"/>
      <c r="I23" s="353">
        <f t="shared" si="1"/>
        <v>0</v>
      </c>
      <c r="J23" s="614"/>
      <c r="K23" s="615"/>
      <c r="L23" s="353">
        <f t="shared" si="2"/>
        <v>0</v>
      </c>
      <c r="M23" s="627">
        <f t="shared" si="3"/>
        <v>250</v>
      </c>
    </row>
    <row r="24" spans="1:13" ht="29.25" customHeight="1">
      <c r="A24" s="720" t="s">
        <v>667</v>
      </c>
      <c r="B24" s="611" t="s">
        <v>161</v>
      </c>
      <c r="C24" s="370" t="s">
        <v>790</v>
      </c>
      <c r="D24" s="612">
        <v>1000</v>
      </c>
      <c r="E24" s="613"/>
      <c r="F24" s="353">
        <f t="shared" si="0"/>
        <v>1000</v>
      </c>
      <c r="G24" s="721"/>
      <c r="H24" s="613"/>
      <c r="I24" s="353">
        <f t="shared" si="1"/>
        <v>0</v>
      </c>
      <c r="J24" s="614"/>
      <c r="K24" s="615"/>
      <c r="L24" s="353">
        <f t="shared" si="2"/>
        <v>0</v>
      </c>
      <c r="M24" s="627">
        <f t="shared" si="3"/>
        <v>1000</v>
      </c>
    </row>
    <row r="25" spans="1:13" ht="39.75" customHeight="1">
      <c r="A25" s="236" t="s">
        <v>668</v>
      </c>
      <c r="B25" s="611" t="s">
        <v>141</v>
      </c>
      <c r="C25" s="370" t="s">
        <v>784</v>
      </c>
      <c r="D25" s="351">
        <v>1850</v>
      </c>
      <c r="E25" s="352"/>
      <c r="F25" s="353">
        <f t="shared" si="0"/>
        <v>1850</v>
      </c>
      <c r="G25" s="360"/>
      <c r="H25" s="352"/>
      <c r="I25" s="353">
        <f t="shared" si="1"/>
        <v>0</v>
      </c>
      <c r="J25" s="238"/>
      <c r="K25" s="239"/>
      <c r="L25" s="353">
        <f t="shared" si="2"/>
        <v>0</v>
      </c>
      <c r="M25" s="627">
        <f>SUM(F25+I25+L25)</f>
        <v>1850</v>
      </c>
    </row>
    <row r="26" spans="1:13" ht="31.5" customHeight="1">
      <c r="A26" s="236" t="s">
        <v>669</v>
      </c>
      <c r="B26" s="611" t="s">
        <v>629</v>
      </c>
      <c r="C26" s="370" t="s">
        <v>785</v>
      </c>
      <c r="D26" s="351">
        <f>9998-122</f>
        <v>9876</v>
      </c>
      <c r="E26" s="352"/>
      <c r="F26" s="353">
        <f t="shared" si="0"/>
        <v>9876</v>
      </c>
      <c r="G26" s="360"/>
      <c r="H26" s="352"/>
      <c r="I26" s="353">
        <f t="shared" si="1"/>
        <v>0</v>
      </c>
      <c r="J26" s="238"/>
      <c r="K26" s="239"/>
      <c r="L26" s="353">
        <f t="shared" si="2"/>
        <v>0</v>
      </c>
      <c r="M26" s="627">
        <f aca="true" t="shared" si="4" ref="M26:M55">SUM(F26+I26+L26)</f>
        <v>9876</v>
      </c>
    </row>
    <row r="27" spans="1:13" ht="30" customHeight="1">
      <c r="A27" s="236" t="s">
        <v>670</v>
      </c>
      <c r="B27" s="611" t="s">
        <v>1053</v>
      </c>
      <c r="C27" s="370" t="s">
        <v>1066</v>
      </c>
      <c r="D27" s="351">
        <v>960</v>
      </c>
      <c r="E27" s="352">
        <v>248</v>
      </c>
      <c r="F27" s="353">
        <f t="shared" si="0"/>
        <v>1208</v>
      </c>
      <c r="G27" s="360"/>
      <c r="H27" s="352"/>
      <c r="I27" s="353">
        <f t="shared" si="1"/>
        <v>0</v>
      </c>
      <c r="J27" s="238"/>
      <c r="K27" s="239"/>
      <c r="L27" s="353">
        <f t="shared" si="2"/>
        <v>0</v>
      </c>
      <c r="M27" s="627">
        <f t="shared" si="4"/>
        <v>1208</v>
      </c>
    </row>
    <row r="28" spans="1:13" ht="29.25" customHeight="1">
      <c r="A28" s="236" t="s">
        <v>671</v>
      </c>
      <c r="B28" s="611" t="s">
        <v>144</v>
      </c>
      <c r="C28" s="370" t="s">
        <v>790</v>
      </c>
      <c r="D28" s="351">
        <f>284829+850-284628</f>
        <v>1051</v>
      </c>
      <c r="E28" s="352">
        <f>768006+35888</f>
        <v>803894</v>
      </c>
      <c r="F28" s="353">
        <f t="shared" si="0"/>
        <v>804945</v>
      </c>
      <c r="G28" s="360"/>
      <c r="H28" s="352"/>
      <c r="I28" s="353">
        <f t="shared" si="1"/>
        <v>0</v>
      </c>
      <c r="J28" s="238"/>
      <c r="K28" s="239"/>
      <c r="L28" s="353">
        <f t="shared" si="2"/>
        <v>0</v>
      </c>
      <c r="M28" s="627">
        <f t="shared" si="4"/>
        <v>804945</v>
      </c>
    </row>
    <row r="29" spans="1:13" ht="29.25" customHeight="1">
      <c r="A29" s="236" t="s">
        <v>672</v>
      </c>
      <c r="B29" s="611" t="s">
        <v>633</v>
      </c>
      <c r="C29" s="370" t="s">
        <v>786</v>
      </c>
      <c r="D29" s="351">
        <f>30048-8000+1749</f>
        <v>23797</v>
      </c>
      <c r="E29" s="352"/>
      <c r="F29" s="353">
        <f t="shared" si="0"/>
        <v>23797</v>
      </c>
      <c r="G29" s="360"/>
      <c r="H29" s="352"/>
      <c r="I29" s="353">
        <f t="shared" si="1"/>
        <v>0</v>
      </c>
      <c r="J29" s="238"/>
      <c r="K29" s="239"/>
      <c r="L29" s="353">
        <f t="shared" si="2"/>
        <v>0</v>
      </c>
      <c r="M29" s="627">
        <f t="shared" si="4"/>
        <v>23797</v>
      </c>
    </row>
    <row r="30" spans="1:13" ht="29.25" customHeight="1">
      <c r="A30" s="236" t="s">
        <v>673</v>
      </c>
      <c r="B30" s="611" t="s">
        <v>631</v>
      </c>
      <c r="C30" s="370" t="s">
        <v>786</v>
      </c>
      <c r="D30" s="351">
        <f>20653+5500</f>
        <v>26153</v>
      </c>
      <c r="E30" s="352"/>
      <c r="F30" s="353">
        <f t="shared" si="0"/>
        <v>26153</v>
      </c>
      <c r="G30" s="360"/>
      <c r="H30" s="352"/>
      <c r="I30" s="353">
        <f t="shared" si="1"/>
        <v>0</v>
      </c>
      <c r="J30" s="238"/>
      <c r="K30" s="239"/>
      <c r="L30" s="353">
        <f t="shared" si="2"/>
        <v>0</v>
      </c>
      <c r="M30" s="627">
        <f t="shared" si="4"/>
        <v>26153</v>
      </c>
    </row>
    <row r="31" spans="1:13" ht="29.25" customHeight="1">
      <c r="A31" s="236" t="s">
        <v>674</v>
      </c>
      <c r="B31" s="611" t="s">
        <v>187</v>
      </c>
      <c r="C31" s="370" t="s">
        <v>194</v>
      </c>
      <c r="D31" s="351">
        <f>21253-5230-650+2000+167+1+435+25+7+49+77-27</f>
        <v>18107</v>
      </c>
      <c r="E31" s="352">
        <f>350+430+156</f>
        <v>936</v>
      </c>
      <c r="F31" s="353">
        <f t="shared" si="0"/>
        <v>19043</v>
      </c>
      <c r="G31" s="360"/>
      <c r="H31" s="352">
        <f>420421+6+8825-79421</f>
        <v>349831</v>
      </c>
      <c r="I31" s="353">
        <f t="shared" si="1"/>
        <v>349831</v>
      </c>
      <c r="J31" s="238"/>
      <c r="K31" s="239"/>
      <c r="L31" s="353">
        <f t="shared" si="2"/>
        <v>0</v>
      </c>
      <c r="M31" s="627">
        <f t="shared" si="4"/>
        <v>368874</v>
      </c>
    </row>
    <row r="32" spans="1:13" ht="29.25" customHeight="1">
      <c r="A32" s="236" t="s">
        <v>791</v>
      </c>
      <c r="B32" s="616" t="s">
        <v>635</v>
      </c>
      <c r="C32" s="370" t="s">
        <v>792</v>
      </c>
      <c r="D32" s="351">
        <f>9609-5429+3+20</f>
        <v>4203</v>
      </c>
      <c r="E32" s="352"/>
      <c r="F32" s="353">
        <f t="shared" si="0"/>
        <v>4203</v>
      </c>
      <c r="G32" s="360"/>
      <c r="H32" s="352"/>
      <c r="I32" s="353">
        <f t="shared" si="1"/>
        <v>0</v>
      </c>
      <c r="J32" s="238"/>
      <c r="K32" s="239"/>
      <c r="L32" s="353">
        <f t="shared" si="2"/>
        <v>0</v>
      </c>
      <c r="M32" s="627">
        <f t="shared" si="4"/>
        <v>4203</v>
      </c>
    </row>
    <row r="33" spans="1:13" ht="29.25" customHeight="1">
      <c r="A33" s="236" t="s">
        <v>793</v>
      </c>
      <c r="B33" s="611" t="s">
        <v>636</v>
      </c>
      <c r="C33" s="370" t="s">
        <v>794</v>
      </c>
      <c r="D33" s="351">
        <f>30617+96+26+205+54+15+664+179</f>
        <v>31856</v>
      </c>
      <c r="E33" s="352">
        <v>127</v>
      </c>
      <c r="F33" s="353">
        <f t="shared" si="0"/>
        <v>31983</v>
      </c>
      <c r="G33" s="360"/>
      <c r="H33" s="352"/>
      <c r="I33" s="353">
        <f t="shared" si="1"/>
        <v>0</v>
      </c>
      <c r="J33" s="238"/>
      <c r="K33" s="239"/>
      <c r="L33" s="353">
        <f t="shared" si="2"/>
        <v>0</v>
      </c>
      <c r="M33" s="627">
        <f t="shared" si="4"/>
        <v>31983</v>
      </c>
    </row>
    <row r="34" spans="1:13" ht="29.25" customHeight="1">
      <c r="A34" s="236" t="s">
        <v>795</v>
      </c>
      <c r="B34" s="611" t="s">
        <v>637</v>
      </c>
      <c r="C34" s="370" t="s">
        <v>796</v>
      </c>
      <c r="D34" s="351">
        <v>120</v>
      </c>
      <c r="E34" s="352"/>
      <c r="F34" s="353">
        <f t="shared" si="0"/>
        <v>120</v>
      </c>
      <c r="G34" s="360"/>
      <c r="H34" s="352"/>
      <c r="I34" s="353">
        <f t="shared" si="1"/>
        <v>0</v>
      </c>
      <c r="J34" s="238"/>
      <c r="K34" s="239"/>
      <c r="L34" s="353">
        <f t="shared" si="2"/>
        <v>0</v>
      </c>
      <c r="M34" s="627">
        <f t="shared" si="4"/>
        <v>120</v>
      </c>
    </row>
    <row r="35" spans="1:13" ht="29.25" customHeight="1">
      <c r="A35" s="236" t="s">
        <v>746</v>
      </c>
      <c r="B35" s="611" t="s">
        <v>711</v>
      </c>
      <c r="C35" s="370" t="s">
        <v>797</v>
      </c>
      <c r="D35" s="351">
        <f>15991+251+3+69+47+13+428+116+127</f>
        <v>17045</v>
      </c>
      <c r="E35" s="352">
        <v>490</v>
      </c>
      <c r="F35" s="353">
        <f t="shared" si="0"/>
        <v>17535</v>
      </c>
      <c r="G35" s="360"/>
      <c r="H35" s="352"/>
      <c r="I35" s="353">
        <f t="shared" si="1"/>
        <v>0</v>
      </c>
      <c r="J35" s="238"/>
      <c r="K35" s="239"/>
      <c r="L35" s="353">
        <f t="shared" si="2"/>
        <v>0</v>
      </c>
      <c r="M35" s="627">
        <f t="shared" si="4"/>
        <v>17535</v>
      </c>
    </row>
    <row r="36" spans="1:13" ht="29.25" customHeight="1">
      <c r="A36" s="236" t="s">
        <v>798</v>
      </c>
      <c r="B36" s="616" t="s">
        <v>186</v>
      </c>
      <c r="C36" s="353" t="s">
        <v>816</v>
      </c>
      <c r="D36" s="351">
        <f>28917-5000</f>
        <v>23917</v>
      </c>
      <c r="E36" s="352">
        <f>2250+12750</f>
        <v>15000</v>
      </c>
      <c r="F36" s="353">
        <f t="shared" si="0"/>
        <v>38917</v>
      </c>
      <c r="G36" s="360"/>
      <c r="H36" s="352">
        <v>70</v>
      </c>
      <c r="I36" s="353">
        <f t="shared" si="1"/>
        <v>70</v>
      </c>
      <c r="J36" s="238"/>
      <c r="K36" s="239"/>
      <c r="L36" s="353">
        <f t="shared" si="2"/>
        <v>0</v>
      </c>
      <c r="M36" s="627">
        <f t="shared" si="4"/>
        <v>38987</v>
      </c>
    </row>
    <row r="37" spans="1:13" ht="29.25" customHeight="1">
      <c r="A37" s="236" t="s">
        <v>675</v>
      </c>
      <c r="B37" s="611" t="s">
        <v>630</v>
      </c>
      <c r="C37" s="617"/>
      <c r="D37" s="351"/>
      <c r="E37" s="352"/>
      <c r="F37" s="353">
        <f t="shared" si="0"/>
        <v>0</v>
      </c>
      <c r="G37" s="360">
        <v>250</v>
      </c>
      <c r="H37" s="352"/>
      <c r="I37" s="353">
        <f t="shared" si="1"/>
        <v>250</v>
      </c>
      <c r="J37" s="238"/>
      <c r="K37" s="239"/>
      <c r="L37" s="353">
        <f t="shared" si="2"/>
        <v>0</v>
      </c>
      <c r="M37" s="627">
        <f t="shared" si="4"/>
        <v>250</v>
      </c>
    </row>
    <row r="38" spans="1:13" ht="29.25" customHeight="1">
      <c r="A38" s="236" t="s">
        <v>676</v>
      </c>
      <c r="B38" s="616" t="s">
        <v>949</v>
      </c>
      <c r="C38" s="353"/>
      <c r="D38" s="351"/>
      <c r="E38" s="352"/>
      <c r="F38" s="353">
        <f t="shared" si="0"/>
        <v>0</v>
      </c>
      <c r="G38" s="360">
        <f>2110+5+1407+230</f>
        <v>3752</v>
      </c>
      <c r="H38" s="352">
        <f>1830+9561</f>
        <v>11391</v>
      </c>
      <c r="I38" s="353">
        <f t="shared" si="1"/>
        <v>15143</v>
      </c>
      <c r="J38" s="238"/>
      <c r="K38" s="239"/>
      <c r="L38" s="353">
        <f t="shared" si="2"/>
        <v>0</v>
      </c>
      <c r="M38" s="627">
        <f t="shared" si="4"/>
        <v>15143</v>
      </c>
    </row>
    <row r="39" spans="1:13" ht="29.25" customHeight="1">
      <c r="A39" s="236" t="s">
        <v>677</v>
      </c>
      <c r="B39" s="616" t="s">
        <v>942</v>
      </c>
      <c r="C39" s="370" t="s">
        <v>814</v>
      </c>
      <c r="D39" s="351">
        <v>1070</v>
      </c>
      <c r="E39" s="352"/>
      <c r="F39" s="353">
        <f t="shared" si="0"/>
        <v>1070</v>
      </c>
      <c r="G39" s="360"/>
      <c r="H39" s="352"/>
      <c r="I39" s="353">
        <f t="shared" si="1"/>
        <v>0</v>
      </c>
      <c r="J39" s="238"/>
      <c r="K39" s="239"/>
      <c r="L39" s="353">
        <f t="shared" si="2"/>
        <v>0</v>
      </c>
      <c r="M39" s="627">
        <f t="shared" si="4"/>
        <v>1070</v>
      </c>
    </row>
    <row r="40" spans="1:13" ht="29.25" customHeight="1">
      <c r="A40" s="236" t="s">
        <v>800</v>
      </c>
      <c r="B40" s="611" t="s">
        <v>638</v>
      </c>
      <c r="C40" s="370" t="s">
        <v>814</v>
      </c>
      <c r="D40" s="351">
        <f>8032-7+416</f>
        <v>8441</v>
      </c>
      <c r="E40" s="352"/>
      <c r="F40" s="353">
        <f t="shared" si="0"/>
        <v>8441</v>
      </c>
      <c r="G40" s="360"/>
      <c r="H40" s="352"/>
      <c r="I40" s="353">
        <f t="shared" si="1"/>
        <v>0</v>
      </c>
      <c r="J40" s="238"/>
      <c r="K40" s="239"/>
      <c r="L40" s="353">
        <f t="shared" si="2"/>
        <v>0</v>
      </c>
      <c r="M40" s="627">
        <f t="shared" si="4"/>
        <v>8441</v>
      </c>
    </row>
    <row r="41" spans="1:13" ht="27" customHeight="1">
      <c r="A41" s="236" t="s">
        <v>678</v>
      </c>
      <c r="B41" s="611" t="s">
        <v>190</v>
      </c>
      <c r="C41" s="723" t="s">
        <v>198</v>
      </c>
      <c r="D41" s="351"/>
      <c r="E41" s="352"/>
      <c r="F41" s="353">
        <f t="shared" si="0"/>
        <v>0</v>
      </c>
      <c r="G41" s="360">
        <v>47</v>
      </c>
      <c r="H41" s="352"/>
      <c r="I41" s="353">
        <f t="shared" si="1"/>
        <v>47</v>
      </c>
      <c r="J41" s="238"/>
      <c r="K41" s="239"/>
      <c r="L41" s="353">
        <f t="shared" si="2"/>
        <v>0</v>
      </c>
      <c r="M41" s="627">
        <f t="shared" si="4"/>
        <v>47</v>
      </c>
    </row>
    <row r="42" spans="1:13" ht="33.75">
      <c r="A42" s="236" t="s">
        <v>710</v>
      </c>
      <c r="B42" s="611" t="s">
        <v>184</v>
      </c>
      <c r="C42" s="370" t="s">
        <v>815</v>
      </c>
      <c r="D42" s="354">
        <f>9148-682</f>
        <v>8466</v>
      </c>
      <c r="E42" s="355">
        <f>500</f>
        <v>500</v>
      </c>
      <c r="F42" s="353">
        <f t="shared" si="0"/>
        <v>8966</v>
      </c>
      <c r="G42" s="361"/>
      <c r="H42" s="355">
        <f>49+10330</f>
        <v>10379</v>
      </c>
      <c r="I42" s="353">
        <f t="shared" si="1"/>
        <v>10379</v>
      </c>
      <c r="J42" s="238"/>
      <c r="K42" s="239"/>
      <c r="L42" s="353">
        <f t="shared" si="2"/>
        <v>0</v>
      </c>
      <c r="M42" s="627">
        <f t="shared" si="4"/>
        <v>19345</v>
      </c>
    </row>
    <row r="43" spans="1:13" ht="24">
      <c r="A43" s="236" t="s">
        <v>804</v>
      </c>
      <c r="B43" s="611" t="s">
        <v>943</v>
      </c>
      <c r="C43" s="370" t="s">
        <v>825</v>
      </c>
      <c r="D43" s="354"/>
      <c r="E43" s="355">
        <v>5500</v>
      </c>
      <c r="F43" s="353">
        <f t="shared" si="0"/>
        <v>5500</v>
      </c>
      <c r="G43" s="361"/>
      <c r="H43" s="355"/>
      <c r="I43" s="353">
        <f t="shared" si="1"/>
        <v>0</v>
      </c>
      <c r="J43" s="238"/>
      <c r="K43" s="239"/>
      <c r="L43" s="353">
        <f t="shared" si="2"/>
        <v>0</v>
      </c>
      <c r="M43" s="627">
        <f t="shared" si="4"/>
        <v>5500</v>
      </c>
    </row>
    <row r="44" spans="1:13" ht="27" customHeight="1">
      <c r="A44" s="236" t="s">
        <v>805</v>
      </c>
      <c r="B44" s="611" t="s">
        <v>188</v>
      </c>
      <c r="C44" s="723"/>
      <c r="D44" s="354"/>
      <c r="E44" s="355"/>
      <c r="F44" s="353">
        <f t="shared" si="0"/>
        <v>0</v>
      </c>
      <c r="G44" s="361">
        <f>35953-3540</f>
        <v>32413</v>
      </c>
      <c r="H44" s="355"/>
      <c r="I44" s="353">
        <f t="shared" si="1"/>
        <v>32413</v>
      </c>
      <c r="J44" s="238"/>
      <c r="K44" s="239"/>
      <c r="L44" s="353">
        <f t="shared" si="2"/>
        <v>0</v>
      </c>
      <c r="M44" s="627">
        <f t="shared" si="4"/>
        <v>32413</v>
      </c>
    </row>
    <row r="45" spans="1:13" ht="31.5" customHeight="1">
      <c r="A45" s="236" t="s">
        <v>806</v>
      </c>
      <c r="B45" s="611" t="s">
        <v>171</v>
      </c>
      <c r="C45" s="617" t="s">
        <v>801</v>
      </c>
      <c r="D45" s="356">
        <v>6501</v>
      </c>
      <c r="E45" s="357"/>
      <c r="F45" s="353">
        <f aca="true" t="shared" si="5" ref="F45:F55">SUM(D45:E45)</f>
        <v>6501</v>
      </c>
      <c r="G45" s="362"/>
      <c r="H45" s="357">
        <v>0</v>
      </c>
      <c r="I45" s="353">
        <f t="shared" si="1"/>
        <v>0</v>
      </c>
      <c r="J45" s="238"/>
      <c r="K45" s="239"/>
      <c r="L45" s="353">
        <f t="shared" si="2"/>
        <v>0</v>
      </c>
      <c r="M45" s="627">
        <f t="shared" si="4"/>
        <v>6501</v>
      </c>
    </row>
    <row r="46" spans="1:13" ht="33.75" customHeight="1">
      <c r="A46" s="236" t="s">
        <v>807</v>
      </c>
      <c r="B46" s="722" t="s">
        <v>739</v>
      </c>
      <c r="C46" s="370" t="s">
        <v>799</v>
      </c>
      <c r="D46" s="351">
        <f>18174</f>
        <v>18174</v>
      </c>
      <c r="E46" s="352"/>
      <c r="F46" s="353">
        <f t="shared" si="5"/>
        <v>18174</v>
      </c>
      <c r="G46" s="360"/>
      <c r="H46" s="352"/>
      <c r="I46" s="353">
        <f t="shared" si="1"/>
        <v>0</v>
      </c>
      <c r="J46" s="238"/>
      <c r="K46" s="239"/>
      <c r="L46" s="353">
        <f t="shared" si="2"/>
        <v>0</v>
      </c>
      <c r="M46" s="627">
        <f t="shared" si="4"/>
        <v>18174</v>
      </c>
    </row>
    <row r="47" spans="1:13" ht="21.75" customHeight="1">
      <c r="A47" s="236" t="s">
        <v>808</v>
      </c>
      <c r="B47" s="722" t="s">
        <v>189</v>
      </c>
      <c r="C47" s="723" t="s">
        <v>197</v>
      </c>
      <c r="D47" s="351"/>
      <c r="E47" s="352"/>
      <c r="F47" s="353">
        <f t="shared" si="5"/>
        <v>0</v>
      </c>
      <c r="G47" s="360">
        <v>1509</v>
      </c>
      <c r="H47" s="352"/>
      <c r="I47" s="353">
        <f t="shared" si="1"/>
        <v>1509</v>
      </c>
      <c r="J47" s="238"/>
      <c r="K47" s="239"/>
      <c r="L47" s="353">
        <f t="shared" si="2"/>
        <v>0</v>
      </c>
      <c r="M47" s="627">
        <f t="shared" si="4"/>
        <v>1509</v>
      </c>
    </row>
    <row r="48" spans="1:13" ht="28.5" customHeight="1">
      <c r="A48" s="236" t="s">
        <v>809</v>
      </c>
      <c r="B48" s="722" t="s">
        <v>175</v>
      </c>
      <c r="C48" s="723" t="s">
        <v>197</v>
      </c>
      <c r="D48" s="351"/>
      <c r="E48" s="352"/>
      <c r="F48" s="353">
        <f t="shared" si="5"/>
        <v>0</v>
      </c>
      <c r="G48" s="360">
        <v>3405</v>
      </c>
      <c r="H48" s="352"/>
      <c r="I48" s="353">
        <f t="shared" si="1"/>
        <v>3405</v>
      </c>
      <c r="J48" s="238"/>
      <c r="K48" s="239"/>
      <c r="L48" s="353">
        <f t="shared" si="2"/>
        <v>0</v>
      </c>
      <c r="M48" s="627">
        <f t="shared" si="4"/>
        <v>3405</v>
      </c>
    </row>
    <row r="49" spans="1:13" ht="20.25" customHeight="1">
      <c r="A49" s="236" t="s">
        <v>810</v>
      </c>
      <c r="B49" s="611" t="s">
        <v>741</v>
      </c>
      <c r="C49" s="617" t="s">
        <v>802</v>
      </c>
      <c r="D49" s="351">
        <f>7674-500</f>
        <v>7174</v>
      </c>
      <c r="E49" s="352"/>
      <c r="F49" s="353">
        <f t="shared" si="5"/>
        <v>7174</v>
      </c>
      <c r="G49" s="360"/>
      <c r="H49" s="352"/>
      <c r="I49" s="353">
        <f t="shared" si="1"/>
        <v>0</v>
      </c>
      <c r="J49" s="238"/>
      <c r="K49" s="239"/>
      <c r="L49" s="353">
        <f t="shared" si="2"/>
        <v>0</v>
      </c>
      <c r="M49" s="627">
        <f t="shared" si="4"/>
        <v>7174</v>
      </c>
    </row>
    <row r="50" spans="1:13" ht="27" customHeight="1">
      <c r="A50" s="236" t="s">
        <v>811</v>
      </c>
      <c r="B50" s="611" t="s">
        <v>742</v>
      </c>
      <c r="C50" s="617" t="s">
        <v>803</v>
      </c>
      <c r="D50" s="351">
        <v>3017</v>
      </c>
      <c r="E50" s="352"/>
      <c r="F50" s="353">
        <f t="shared" si="5"/>
        <v>3017</v>
      </c>
      <c r="G50" s="360"/>
      <c r="H50" s="352"/>
      <c r="I50" s="353">
        <f t="shared" si="1"/>
        <v>0</v>
      </c>
      <c r="J50" s="238"/>
      <c r="K50" s="239"/>
      <c r="L50" s="353">
        <f t="shared" si="2"/>
        <v>0</v>
      </c>
      <c r="M50" s="627">
        <f t="shared" si="4"/>
        <v>3017</v>
      </c>
    </row>
    <row r="51" spans="1:13" ht="38.25" customHeight="1">
      <c r="A51" s="236" t="s">
        <v>812</v>
      </c>
      <c r="B51" s="722" t="s">
        <v>740</v>
      </c>
      <c r="C51" s="617" t="s">
        <v>801</v>
      </c>
      <c r="D51" s="354">
        <v>9179</v>
      </c>
      <c r="E51" s="358"/>
      <c r="F51" s="353">
        <f t="shared" si="5"/>
        <v>9179</v>
      </c>
      <c r="G51" s="361"/>
      <c r="H51" s="358"/>
      <c r="I51" s="353">
        <f t="shared" si="1"/>
        <v>0</v>
      </c>
      <c r="J51" s="238"/>
      <c r="K51" s="239"/>
      <c r="L51" s="353">
        <f t="shared" si="2"/>
        <v>0</v>
      </c>
      <c r="M51" s="627">
        <f t="shared" si="4"/>
        <v>9179</v>
      </c>
    </row>
    <row r="52" spans="1:13" s="116" customFormat="1" ht="36.75" customHeight="1">
      <c r="A52" s="236" t="s">
        <v>502</v>
      </c>
      <c r="B52" s="611" t="s">
        <v>1168</v>
      </c>
      <c r="C52" s="353" t="s">
        <v>1169</v>
      </c>
      <c r="D52" s="351">
        <f>2800+1330</f>
        <v>4130</v>
      </c>
      <c r="E52" s="352"/>
      <c r="F52" s="353">
        <f t="shared" si="5"/>
        <v>4130</v>
      </c>
      <c r="G52" s="360"/>
      <c r="H52" s="352"/>
      <c r="I52" s="353">
        <f t="shared" si="1"/>
        <v>0</v>
      </c>
      <c r="J52" s="238"/>
      <c r="K52" s="239"/>
      <c r="L52" s="353">
        <f t="shared" si="2"/>
        <v>0</v>
      </c>
      <c r="M52" s="627">
        <f t="shared" si="4"/>
        <v>4130</v>
      </c>
    </row>
    <row r="53" spans="1:13" ht="23.25" customHeight="1">
      <c r="A53" s="347" t="s">
        <v>951</v>
      </c>
      <c r="B53" s="611" t="s">
        <v>634</v>
      </c>
      <c r="C53" s="370" t="s">
        <v>195</v>
      </c>
      <c r="D53" s="367">
        <f>6719-323-3517-100-859+720+3517-250+10-70-350-1000-2250-2250-6000+53177-13962-5976+714-714-146-3-7982+2900-2900+2611-2611-16238-18+12783-1000+410-127-1204-67-8-218-360+63-1000-1499-385-207-594-149</f>
        <v>9287</v>
      </c>
      <c r="E53" s="368">
        <f>40735-882-8489+68969-35894-9122+4252-4252-10330</f>
        <v>44987</v>
      </c>
      <c r="F53" s="353">
        <f t="shared" si="5"/>
        <v>54274</v>
      </c>
      <c r="G53" s="364"/>
      <c r="H53" s="359"/>
      <c r="I53" s="353">
        <f t="shared" si="1"/>
        <v>0</v>
      </c>
      <c r="J53" s="242"/>
      <c r="K53" s="242"/>
      <c r="L53" s="353">
        <f t="shared" si="2"/>
        <v>0</v>
      </c>
      <c r="M53" s="627">
        <f t="shared" si="4"/>
        <v>54274</v>
      </c>
    </row>
    <row r="54" spans="1:13" s="116" customFormat="1" ht="24">
      <c r="A54" s="347" t="s">
        <v>1067</v>
      </c>
      <c r="B54" s="611" t="s">
        <v>1068</v>
      </c>
      <c r="C54" s="716"/>
      <c r="D54" s="612"/>
      <c r="E54" s="613"/>
      <c r="F54" s="353">
        <f>SUM(D54:E54)</f>
        <v>0</v>
      </c>
      <c r="G54" s="721">
        <f>7683+1039+66-279</f>
        <v>8509</v>
      </c>
      <c r="H54" s="613"/>
      <c r="I54" s="353">
        <f t="shared" si="1"/>
        <v>8509</v>
      </c>
      <c r="J54" s="614"/>
      <c r="K54" s="615"/>
      <c r="L54" s="353">
        <f t="shared" si="2"/>
        <v>0</v>
      </c>
      <c r="M54" s="627">
        <f>SUM(F54+I54+L54)</f>
        <v>8509</v>
      </c>
    </row>
    <row r="55" spans="1:13" ht="30.75" customHeight="1" thickBot="1">
      <c r="A55" s="236" t="s">
        <v>1069</v>
      </c>
      <c r="B55" s="611" t="s">
        <v>593</v>
      </c>
      <c r="C55" s="724" t="s">
        <v>787</v>
      </c>
      <c r="D55" s="354">
        <f>131633+1963+1589+4674+28+8</f>
        <v>139895</v>
      </c>
      <c r="E55" s="355">
        <f>7836-7620+5644</f>
        <v>5860</v>
      </c>
      <c r="F55" s="353">
        <f t="shared" si="5"/>
        <v>145755</v>
      </c>
      <c r="G55" s="363"/>
      <c r="H55" s="358"/>
      <c r="I55" s="353">
        <f t="shared" si="1"/>
        <v>0</v>
      </c>
      <c r="J55" s="238"/>
      <c r="K55" s="238"/>
      <c r="L55" s="353">
        <f t="shared" si="2"/>
        <v>0</v>
      </c>
      <c r="M55" s="627">
        <f t="shared" si="4"/>
        <v>145755</v>
      </c>
    </row>
    <row r="56" spans="1:13" ht="13.5" thickBot="1">
      <c r="A56" s="993" t="s">
        <v>817</v>
      </c>
      <c r="B56" s="994"/>
      <c r="C56" s="995"/>
      <c r="D56" s="369">
        <f aca="true" t="shared" si="6" ref="D56:M56">SUM(D10:D55)</f>
        <v>832386</v>
      </c>
      <c r="E56" s="369">
        <f t="shared" si="6"/>
        <v>900049</v>
      </c>
      <c r="F56" s="369">
        <f t="shared" si="6"/>
        <v>1732435</v>
      </c>
      <c r="G56" s="369">
        <f t="shared" si="6"/>
        <v>63815</v>
      </c>
      <c r="H56" s="369">
        <f t="shared" si="6"/>
        <v>371671</v>
      </c>
      <c r="I56" s="369">
        <f t="shared" si="6"/>
        <v>435486</v>
      </c>
      <c r="J56" s="369">
        <f t="shared" si="6"/>
        <v>37794</v>
      </c>
      <c r="K56" s="369">
        <f t="shared" si="6"/>
        <v>161</v>
      </c>
      <c r="L56" s="369">
        <f t="shared" si="6"/>
        <v>37955</v>
      </c>
      <c r="M56" s="678">
        <f t="shared" si="6"/>
        <v>2205876</v>
      </c>
    </row>
    <row r="57" spans="1:13" ht="24">
      <c r="A57" s="236" t="s">
        <v>653</v>
      </c>
      <c r="B57" s="611" t="s">
        <v>153</v>
      </c>
      <c r="C57" s="350" t="s">
        <v>789</v>
      </c>
      <c r="D57" s="348">
        <f>147768-20648-5467+135+36+1243+335+3234-440</f>
        <v>126196</v>
      </c>
      <c r="E57" s="349">
        <f>445+170</f>
        <v>615</v>
      </c>
      <c r="F57" s="353">
        <f>SUM(D57:E57)</f>
        <v>126811</v>
      </c>
      <c r="G57" s="348"/>
      <c r="H57" s="349"/>
      <c r="I57" s="350">
        <f>SUM(G57:H57)</f>
        <v>0</v>
      </c>
      <c r="J57" s="348"/>
      <c r="K57" s="349"/>
      <c r="L57" s="350">
        <f>SUM(J57:K57)</f>
        <v>0</v>
      </c>
      <c r="M57" s="627">
        <f>SUM(L57,I57,F57)</f>
        <v>126811</v>
      </c>
    </row>
    <row r="58" spans="1:13" ht="22.5">
      <c r="A58" s="236" t="s">
        <v>654</v>
      </c>
      <c r="B58" s="240" t="s">
        <v>202</v>
      </c>
      <c r="C58" s="237" t="s">
        <v>818</v>
      </c>
      <c r="D58" s="351">
        <f>26959+2580</f>
        <v>29539</v>
      </c>
      <c r="E58" s="352"/>
      <c r="F58" s="353">
        <f>SUM(D58:E58)</f>
        <v>29539</v>
      </c>
      <c r="G58" s="351"/>
      <c r="H58" s="352"/>
      <c r="I58" s="353">
        <f>SUM(G58:H58)</f>
        <v>0</v>
      </c>
      <c r="J58" s="351"/>
      <c r="K58" s="352"/>
      <c r="L58" s="353">
        <f>SUM(J58:K58)</f>
        <v>0</v>
      </c>
      <c r="M58" s="627">
        <f>SUM(L58,I58,F58)</f>
        <v>29539</v>
      </c>
    </row>
    <row r="59" spans="1:13" ht="24">
      <c r="A59" s="236" t="s">
        <v>655</v>
      </c>
      <c r="B59" s="240" t="s">
        <v>199</v>
      </c>
      <c r="C59" s="237" t="s">
        <v>819</v>
      </c>
      <c r="D59" s="351">
        <v>14669</v>
      </c>
      <c r="E59" s="352"/>
      <c r="F59" s="353">
        <f>SUM(D59:E59)</f>
        <v>14669</v>
      </c>
      <c r="G59" s="351"/>
      <c r="H59" s="352"/>
      <c r="I59" s="353">
        <f>SUM(G59:H59)</f>
        <v>0</v>
      </c>
      <c r="J59" s="351"/>
      <c r="K59" s="352"/>
      <c r="L59" s="353">
        <f>SUM(J59:K59)</f>
        <v>0</v>
      </c>
      <c r="M59" s="627">
        <f>SUM(L59,I59,F59)</f>
        <v>14669</v>
      </c>
    </row>
    <row r="60" spans="1:13" s="116" customFormat="1" ht="48">
      <c r="A60" s="236" t="s">
        <v>656</v>
      </c>
      <c r="B60" s="240" t="s">
        <v>200</v>
      </c>
      <c r="C60" s="244" t="s">
        <v>201</v>
      </c>
      <c r="D60" s="351">
        <v>12626</v>
      </c>
      <c r="E60" s="352"/>
      <c r="F60" s="353">
        <f>SUM(D60:E60)</f>
        <v>12626</v>
      </c>
      <c r="G60" s="351"/>
      <c r="H60" s="352"/>
      <c r="I60" s="353">
        <f>SUM(G60:H60)</f>
        <v>0</v>
      </c>
      <c r="J60" s="351"/>
      <c r="K60" s="352"/>
      <c r="L60" s="353">
        <f>SUM(J60:K60)</f>
        <v>0</v>
      </c>
      <c r="M60" s="627">
        <f>SUM(L60,I60,F60)</f>
        <v>12626</v>
      </c>
    </row>
    <row r="61" spans="1:13" ht="24.75" thickBot="1">
      <c r="A61" s="236" t="s">
        <v>657</v>
      </c>
      <c r="B61" s="240" t="s">
        <v>950</v>
      </c>
      <c r="C61" s="237" t="s">
        <v>821</v>
      </c>
      <c r="D61" s="373">
        <v>520</v>
      </c>
      <c r="E61" s="374"/>
      <c r="F61" s="375">
        <f>SUM(D61:E61)</f>
        <v>520</v>
      </c>
      <c r="G61" s="373"/>
      <c r="H61" s="374"/>
      <c r="I61" s="353">
        <f>SUM(G61:H61)</f>
        <v>0</v>
      </c>
      <c r="J61" s="373">
        <v>15</v>
      </c>
      <c r="K61" s="374"/>
      <c r="L61" s="353">
        <f>SUM(J61:K61)</f>
        <v>15</v>
      </c>
      <c r="M61" s="627">
        <f>SUM(L61,I61,F61)</f>
        <v>535</v>
      </c>
    </row>
    <row r="62" spans="1:13" ht="13.5" thickBot="1">
      <c r="A62" s="993" t="s">
        <v>822</v>
      </c>
      <c r="B62" s="994"/>
      <c r="C62" s="995"/>
      <c r="D62" s="376">
        <f aca="true" t="shared" si="7" ref="D62:M62">SUM(D57:D61)</f>
        <v>183550</v>
      </c>
      <c r="E62" s="376">
        <f t="shared" si="7"/>
        <v>615</v>
      </c>
      <c r="F62" s="376">
        <f t="shared" si="7"/>
        <v>184165</v>
      </c>
      <c r="G62" s="376">
        <f t="shared" si="7"/>
        <v>0</v>
      </c>
      <c r="H62" s="376">
        <f t="shared" si="7"/>
        <v>0</v>
      </c>
      <c r="I62" s="376">
        <f t="shared" si="7"/>
        <v>0</v>
      </c>
      <c r="J62" s="376">
        <f t="shared" si="7"/>
        <v>15</v>
      </c>
      <c r="K62" s="376">
        <f t="shared" si="7"/>
        <v>0</v>
      </c>
      <c r="L62" s="376">
        <f t="shared" si="7"/>
        <v>15</v>
      </c>
      <c r="M62" s="626">
        <f t="shared" si="7"/>
        <v>184180</v>
      </c>
    </row>
    <row r="63" spans="1:13" ht="15.75" customHeight="1">
      <c r="A63" s="236" t="s">
        <v>653</v>
      </c>
      <c r="B63" s="240" t="s">
        <v>823</v>
      </c>
      <c r="C63" s="241" t="s">
        <v>787</v>
      </c>
      <c r="D63" s="377">
        <f>32865-221</f>
        <v>32644</v>
      </c>
      <c r="E63" s="378"/>
      <c r="F63" s="350">
        <f>SUM(D63:E63)</f>
        <v>32644</v>
      </c>
      <c r="G63" s="377"/>
      <c r="H63" s="378"/>
      <c r="I63" s="366">
        <f>SUM(G63:H63)</f>
        <v>0</v>
      </c>
      <c r="J63" s="377"/>
      <c r="K63" s="378"/>
      <c r="L63" s="350">
        <f>SUM(J63:K63)</f>
        <v>0</v>
      </c>
      <c r="M63" s="627">
        <f>SUM(L63,I63,F63)</f>
        <v>32644</v>
      </c>
    </row>
    <row r="64" spans="1:13" ht="15.75" customHeight="1">
      <c r="A64" s="236" t="s">
        <v>654</v>
      </c>
      <c r="B64" s="240" t="s">
        <v>824</v>
      </c>
      <c r="C64" s="237" t="s">
        <v>825</v>
      </c>
      <c r="D64" s="351">
        <f>149459-2787+97+26+1048+283+77+9549</f>
        <v>157752</v>
      </c>
      <c r="E64" s="352">
        <f>254-50+333+667</f>
        <v>1204</v>
      </c>
      <c r="F64" s="353">
        <f>SUM(D64:E64)</f>
        <v>158956</v>
      </c>
      <c r="G64" s="351"/>
      <c r="H64" s="352"/>
      <c r="I64" s="375">
        <f>SUM(G64:H64)</f>
        <v>0</v>
      </c>
      <c r="J64" s="351"/>
      <c r="K64" s="352"/>
      <c r="L64" s="353">
        <f>SUM(J64:K64)</f>
        <v>0</v>
      </c>
      <c r="M64" s="627">
        <f>SUM(L64,I64,F64)</f>
        <v>158956</v>
      </c>
    </row>
    <row r="65" spans="1:13" ht="12.75">
      <c r="A65" s="372" t="s">
        <v>655</v>
      </c>
      <c r="B65" s="243" t="s">
        <v>826</v>
      </c>
      <c r="C65" s="353" t="s">
        <v>825</v>
      </c>
      <c r="D65" s="373">
        <v>11674</v>
      </c>
      <c r="E65" s="374"/>
      <c r="F65" s="375">
        <f>SUM(D65:E65)</f>
        <v>11674</v>
      </c>
      <c r="G65" s="373"/>
      <c r="H65" s="374"/>
      <c r="I65" s="375">
        <f>SUM(G65:H65)</f>
        <v>0</v>
      </c>
      <c r="J65" s="373"/>
      <c r="K65" s="374"/>
      <c r="L65" s="375">
        <f>SUM(J65:K65)</f>
        <v>0</v>
      </c>
      <c r="M65" s="627">
        <f>SUM(L65,I65,F65)</f>
        <v>11674</v>
      </c>
    </row>
    <row r="66" spans="1:13" s="746" customFormat="1" ht="15.75" thickBot="1">
      <c r="A66" s="372" t="s">
        <v>656</v>
      </c>
      <c r="B66" s="243" t="s">
        <v>952</v>
      </c>
      <c r="C66" s="365"/>
      <c r="D66" s="373"/>
      <c r="E66" s="374"/>
      <c r="F66" s="375">
        <f>SUM(D66:E66)</f>
        <v>0</v>
      </c>
      <c r="G66" s="373">
        <v>6245</v>
      </c>
      <c r="H66" s="374"/>
      <c r="I66" s="375">
        <f>SUM(G66:H66)</f>
        <v>6245</v>
      </c>
      <c r="J66" s="373"/>
      <c r="K66" s="374"/>
      <c r="L66" s="375">
        <f>SUM(J66:K66)</f>
        <v>0</v>
      </c>
      <c r="M66" s="627">
        <f>SUM(L66,I66,F66)</f>
        <v>6245</v>
      </c>
    </row>
    <row r="67" spans="1:13" ht="13.5" thickBot="1">
      <c r="A67" s="993" t="s">
        <v>878</v>
      </c>
      <c r="B67" s="994"/>
      <c r="C67" s="995"/>
      <c r="D67" s="380">
        <f>SUM(D63:D66)</f>
        <v>202070</v>
      </c>
      <c r="E67" s="380">
        <f aca="true" t="shared" si="8" ref="E67:L67">SUM(E63:E66)</f>
        <v>1204</v>
      </c>
      <c r="F67" s="380">
        <f t="shared" si="8"/>
        <v>203274</v>
      </c>
      <c r="G67" s="380">
        <f t="shared" si="8"/>
        <v>6245</v>
      </c>
      <c r="H67" s="380">
        <f t="shared" si="8"/>
        <v>0</v>
      </c>
      <c r="I67" s="380">
        <f t="shared" si="8"/>
        <v>6245</v>
      </c>
      <c r="J67" s="380">
        <f t="shared" si="8"/>
        <v>0</v>
      </c>
      <c r="K67" s="380">
        <f t="shared" si="8"/>
        <v>0</v>
      </c>
      <c r="L67" s="380">
        <f t="shared" si="8"/>
        <v>0</v>
      </c>
      <c r="M67" s="626">
        <f>SUM(M63:M66)</f>
        <v>209519</v>
      </c>
    </row>
    <row r="68" spans="1:13" ht="15.75" thickBot="1">
      <c r="A68" s="996" t="s">
        <v>827</v>
      </c>
      <c r="B68" s="997"/>
      <c r="C68" s="998"/>
      <c r="D68" s="379">
        <f aca="true" t="shared" si="9" ref="D68:M68">D56+D62+D67</f>
        <v>1218006</v>
      </c>
      <c r="E68" s="379">
        <f t="shared" si="9"/>
        <v>901868</v>
      </c>
      <c r="F68" s="379">
        <f t="shared" si="9"/>
        <v>2119874</v>
      </c>
      <c r="G68" s="379">
        <f t="shared" si="9"/>
        <v>70060</v>
      </c>
      <c r="H68" s="379">
        <f t="shared" si="9"/>
        <v>371671</v>
      </c>
      <c r="I68" s="379">
        <f t="shared" si="9"/>
        <v>441731</v>
      </c>
      <c r="J68" s="379">
        <f t="shared" si="9"/>
        <v>37809</v>
      </c>
      <c r="K68" s="379">
        <f t="shared" si="9"/>
        <v>161</v>
      </c>
      <c r="L68" s="625">
        <f t="shared" si="9"/>
        <v>37970</v>
      </c>
      <c r="M68" s="628">
        <f t="shared" si="9"/>
        <v>2599575</v>
      </c>
    </row>
    <row r="69" spans="1:13" ht="15">
      <c r="A69" s="756"/>
      <c r="B69" s="756"/>
      <c r="C69" s="756"/>
      <c r="D69" s="757"/>
      <c r="E69" s="757"/>
      <c r="F69" s="757"/>
      <c r="G69" s="757"/>
      <c r="H69" s="757"/>
      <c r="I69" s="757"/>
      <c r="J69" s="757"/>
      <c r="K69" s="757"/>
      <c r="L69" s="757"/>
      <c r="M69" s="757"/>
    </row>
    <row r="70" spans="1:2" ht="12.75">
      <c r="A70" t="s">
        <v>828</v>
      </c>
      <c r="B70" t="s">
        <v>829</v>
      </c>
    </row>
    <row r="71" spans="1:2" ht="12.75">
      <c r="A71" t="s">
        <v>830</v>
      </c>
      <c r="B71" t="s">
        <v>831</v>
      </c>
    </row>
    <row r="72" spans="1:2" ht="12.75">
      <c r="A72" t="s">
        <v>832</v>
      </c>
      <c r="B72" t="s">
        <v>833</v>
      </c>
    </row>
    <row r="73" spans="1:2" ht="12.75">
      <c r="A73" t="s">
        <v>834</v>
      </c>
      <c r="B73" t="s">
        <v>835</v>
      </c>
    </row>
    <row r="74" spans="1:2" ht="12.75">
      <c r="A74" t="s">
        <v>836</v>
      </c>
      <c r="B74" t="s">
        <v>837</v>
      </c>
    </row>
    <row r="75" spans="1:2" ht="12.75">
      <c r="A75" t="s">
        <v>838</v>
      </c>
      <c r="B75" t="s">
        <v>839</v>
      </c>
    </row>
    <row r="76" spans="1:2" ht="12.75">
      <c r="A76" t="s">
        <v>840</v>
      </c>
      <c r="B76" t="s">
        <v>841</v>
      </c>
    </row>
    <row r="78" spans="1:3" ht="14.25">
      <c r="A78" s="336" t="s">
        <v>1165</v>
      </c>
      <c r="B78" s="747"/>
      <c r="C78" s="747"/>
    </row>
    <row r="79" ht="13.5">
      <c r="A79" s="755" t="s">
        <v>1080</v>
      </c>
    </row>
    <row r="80" spans="1:10" ht="15">
      <c r="A80" s="818" t="s">
        <v>1166</v>
      </c>
      <c r="B80" s="819"/>
      <c r="C80" s="819"/>
      <c r="D80" s="819"/>
      <c r="F80" s="828"/>
      <c r="G80" s="828"/>
      <c r="H80" s="828"/>
      <c r="I80" s="828"/>
      <c r="J80" s="828"/>
    </row>
  </sheetData>
  <sheetProtection/>
  <mergeCells count="16">
    <mergeCell ref="J6:L7"/>
    <mergeCell ref="D6:F7"/>
    <mergeCell ref="B5:B8"/>
    <mergeCell ref="A5:A8"/>
    <mergeCell ref="C5:M5"/>
    <mergeCell ref="B9:M9"/>
    <mergeCell ref="C19:C21"/>
    <mergeCell ref="A56:C56"/>
    <mergeCell ref="A62:C62"/>
    <mergeCell ref="A67:C67"/>
    <mergeCell ref="A68:C68"/>
    <mergeCell ref="G1:M1"/>
    <mergeCell ref="M6:M8"/>
    <mergeCell ref="A3:M4"/>
    <mergeCell ref="C6:C8"/>
    <mergeCell ref="G6:I7"/>
  </mergeCells>
  <printOptions horizontalCentered="1" verticalCentered="1"/>
  <pageMargins left="0.3937007874015748" right="0.3937007874015748" top="0.9055118110236221" bottom="0.7874015748031497" header="0.5118110236220472" footer="0.511811023622047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HO73"/>
  <sheetViews>
    <sheetView zoomScalePageLayoutView="0" workbookViewId="0" topLeftCell="A49">
      <selection activeCell="A73" sqref="A73:F73"/>
    </sheetView>
  </sheetViews>
  <sheetFormatPr defaultColWidth="9.00390625" defaultRowHeight="12.75"/>
  <cols>
    <col min="3" max="3" width="19.125" style="0" customWidth="1"/>
    <col min="4" max="5" width="13.875" style="0" bestFit="1" customWidth="1"/>
    <col min="6" max="6" width="13.375" style="0" customWidth="1"/>
    <col min="7" max="7" width="12.625" style="0" customWidth="1"/>
    <col min="8" max="8" width="18.875" style="0" customWidth="1"/>
    <col min="9" max="9" width="9.25390625" style="0" bestFit="1" customWidth="1"/>
    <col min="10" max="10" width="10.125" style="0" bestFit="1" customWidth="1"/>
    <col min="11" max="11" width="19.25390625" style="0" customWidth="1"/>
    <col min="12" max="12" width="9.75390625" style="0" customWidth="1"/>
    <col min="14" max="14" width="12.625" style="0" customWidth="1"/>
    <col min="15" max="15" width="8.125" style="0" customWidth="1"/>
    <col min="16" max="16" width="9.75390625" style="0" bestFit="1" customWidth="1"/>
    <col min="17" max="17" width="11.75390625" style="0" customWidth="1"/>
    <col min="21" max="21" width="9.875" style="0" customWidth="1"/>
    <col min="22" max="22" width="10.125" style="0" bestFit="1" customWidth="1"/>
    <col min="23" max="23" width="13.875" style="0" customWidth="1"/>
    <col min="24" max="24" width="14.75390625" style="246" bestFit="1" customWidth="1"/>
    <col min="25" max="25" width="13.875" style="246" customWidth="1"/>
    <col min="26" max="26" width="14.75390625" style="246" bestFit="1" customWidth="1"/>
    <col min="27" max="27" width="13.125" style="246" bestFit="1" customWidth="1"/>
    <col min="28" max="28" width="12.625" style="246" bestFit="1" customWidth="1"/>
    <col min="29" max="29" width="13.125" style="246" bestFit="1" customWidth="1"/>
    <col min="30" max="223" width="9.125" style="246" customWidth="1"/>
  </cols>
  <sheetData>
    <row r="1" spans="1:28" ht="15.75">
      <c r="A1" s="227"/>
      <c r="B1" s="228"/>
      <c r="C1" s="229"/>
      <c r="H1" s="228"/>
      <c r="I1" s="228"/>
      <c r="J1" s="228"/>
      <c r="K1" s="232"/>
      <c r="L1" s="232"/>
      <c r="M1" s="232"/>
      <c r="N1" s="228"/>
      <c r="T1" s="1144" t="s">
        <v>1193</v>
      </c>
      <c r="U1" s="1145"/>
      <c r="V1" s="1145"/>
      <c r="W1" s="1145"/>
      <c r="X1" s="1146"/>
      <c r="Y1" s="1146"/>
      <c r="Z1" s="1146"/>
      <c r="AA1" s="1146"/>
      <c r="AB1" s="1146"/>
    </row>
    <row r="2" spans="1:14" ht="12.75">
      <c r="A2" s="227"/>
      <c r="B2" s="228"/>
      <c r="C2" s="229"/>
      <c r="D2" s="230"/>
      <c r="E2" s="231"/>
      <c r="F2" s="231"/>
      <c r="G2" s="231"/>
      <c r="H2" s="228"/>
      <c r="I2" s="228"/>
      <c r="J2" s="228"/>
      <c r="K2" s="232"/>
      <c r="L2" s="232"/>
      <c r="M2" s="232"/>
      <c r="N2" s="228"/>
    </row>
    <row r="3" spans="1:29" ht="15.75" customHeight="1">
      <c r="A3" s="1119" t="s">
        <v>1070</v>
      </c>
      <c r="B3" s="1119"/>
      <c r="C3" s="1119"/>
      <c r="D3" s="1119"/>
      <c r="E3" s="1119"/>
      <c r="F3" s="1119"/>
      <c r="G3" s="1119"/>
      <c r="H3" s="1119"/>
      <c r="I3" s="1119"/>
      <c r="J3" s="1119"/>
      <c r="K3" s="1119"/>
      <c r="L3" s="1119"/>
      <c r="M3" s="1119"/>
      <c r="N3" s="1119"/>
      <c r="O3" s="1119"/>
      <c r="P3" s="1119"/>
      <c r="Q3" s="1119"/>
      <c r="R3" s="1119"/>
      <c r="S3" s="1119"/>
      <c r="T3" s="1119"/>
      <c r="U3" s="1119"/>
      <c r="V3" s="1119"/>
      <c r="W3" s="1119"/>
      <c r="X3" s="1119"/>
      <c r="Y3" s="1119"/>
      <c r="Z3" s="1119"/>
      <c r="AA3" s="1119"/>
      <c r="AB3" s="1119"/>
      <c r="AC3" s="1119"/>
    </row>
    <row r="4" spans="1:24" ht="13.5" customHeight="1" thickBot="1">
      <c r="A4" s="834"/>
      <c r="B4" s="834"/>
      <c r="C4" s="834"/>
      <c r="D4" s="834"/>
      <c r="E4" s="834"/>
      <c r="F4" s="834"/>
      <c r="G4" s="834"/>
      <c r="H4" s="834"/>
      <c r="I4" s="834"/>
      <c r="J4" s="834"/>
      <c r="K4" s="834"/>
      <c r="L4" s="834"/>
      <c r="M4" s="834"/>
      <c r="N4" s="834"/>
      <c r="O4" s="834"/>
      <c r="P4" s="834"/>
      <c r="Q4" s="834"/>
      <c r="R4" s="834"/>
      <c r="S4" s="834"/>
      <c r="T4" s="834"/>
      <c r="U4" s="834"/>
      <c r="V4" s="834"/>
      <c r="W4" s="834"/>
      <c r="X4" s="834"/>
    </row>
    <row r="5" spans="1:223" s="247" customFormat="1" ht="15" customHeight="1" thickBot="1" thickTop="1">
      <c r="A5" s="1148" t="s">
        <v>203</v>
      </c>
      <c r="B5" s="1149"/>
      <c r="C5" s="1149"/>
      <c r="D5" s="1093" t="s">
        <v>611</v>
      </c>
      <c r="E5" s="1094"/>
      <c r="F5" s="1095"/>
      <c r="G5" s="1096" t="s">
        <v>842</v>
      </c>
      <c r="H5" s="1152"/>
      <c r="I5" s="1152"/>
      <c r="J5" s="1152"/>
      <c r="K5" s="1153"/>
      <c r="L5" s="1046" t="s">
        <v>843</v>
      </c>
      <c r="M5" s="1047"/>
      <c r="N5" s="1047"/>
      <c r="O5" s="1047"/>
      <c r="P5" s="1047"/>
      <c r="Q5" s="1048"/>
      <c r="R5" s="1046" t="s">
        <v>844</v>
      </c>
      <c r="S5" s="1047"/>
      <c r="T5" s="1047"/>
      <c r="U5" s="1047"/>
      <c r="V5" s="1047"/>
      <c r="W5" s="1047"/>
      <c r="X5" s="1147" t="s">
        <v>845</v>
      </c>
      <c r="Y5" s="1055"/>
      <c r="Z5" s="1055"/>
      <c r="AA5" s="1056" t="s">
        <v>204</v>
      </c>
      <c r="AB5" s="1057"/>
      <c r="AC5" s="1058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46"/>
      <c r="AZ5" s="246"/>
      <c r="BA5" s="246"/>
      <c r="BB5" s="246"/>
      <c r="BC5" s="246"/>
      <c r="BD5" s="246"/>
      <c r="BE5" s="246"/>
      <c r="BF5" s="246"/>
      <c r="BG5" s="246"/>
      <c r="BH5" s="246"/>
      <c r="BI5" s="246"/>
      <c r="BJ5" s="246"/>
      <c r="BK5" s="246"/>
      <c r="BL5" s="246"/>
      <c r="BM5" s="246"/>
      <c r="BN5" s="246"/>
      <c r="BO5" s="246"/>
      <c r="BP5" s="246"/>
      <c r="BQ5" s="246"/>
      <c r="BR5" s="246"/>
      <c r="BS5" s="246"/>
      <c r="BT5" s="246"/>
      <c r="BU5" s="246"/>
      <c r="BV5" s="246"/>
      <c r="BW5" s="246"/>
      <c r="BX5" s="246"/>
      <c r="BY5" s="246"/>
      <c r="BZ5" s="246"/>
      <c r="CA5" s="246"/>
      <c r="CB5" s="246"/>
      <c r="CC5" s="246"/>
      <c r="CD5" s="246"/>
      <c r="CE5" s="246"/>
      <c r="CF5" s="246"/>
      <c r="CG5" s="246"/>
      <c r="CH5" s="246"/>
      <c r="CI5" s="246"/>
      <c r="CJ5" s="246"/>
      <c r="CK5" s="246"/>
      <c r="CL5" s="246"/>
      <c r="CM5" s="246"/>
      <c r="CN5" s="246"/>
      <c r="CO5" s="246"/>
      <c r="CP5" s="246"/>
      <c r="CQ5" s="246"/>
      <c r="CR5" s="246"/>
      <c r="CS5" s="246"/>
      <c r="CT5" s="246"/>
      <c r="CU5" s="246"/>
      <c r="CV5" s="246"/>
      <c r="CW5" s="246"/>
      <c r="CX5" s="246"/>
      <c r="CY5" s="246"/>
      <c r="CZ5" s="246"/>
      <c r="DA5" s="246"/>
      <c r="DB5" s="246"/>
      <c r="DC5" s="246"/>
      <c r="DD5" s="246"/>
      <c r="DE5" s="246"/>
      <c r="DF5" s="246"/>
      <c r="DG5" s="246"/>
      <c r="DH5" s="246"/>
      <c r="DI5" s="246"/>
      <c r="DJ5" s="246"/>
      <c r="DK5" s="246"/>
      <c r="DL5" s="246"/>
      <c r="DM5" s="246"/>
      <c r="DN5" s="246"/>
      <c r="DO5" s="246"/>
      <c r="DP5" s="246"/>
      <c r="DQ5" s="246"/>
      <c r="DR5" s="246"/>
      <c r="DS5" s="246"/>
      <c r="DT5" s="246"/>
      <c r="DU5" s="246"/>
      <c r="DV5" s="246"/>
      <c r="DW5" s="246"/>
      <c r="DX5" s="246"/>
      <c r="DY5" s="246"/>
      <c r="DZ5" s="246"/>
      <c r="EA5" s="246"/>
      <c r="EB5" s="246"/>
      <c r="EC5" s="246"/>
      <c r="ED5" s="246"/>
      <c r="EE5" s="246"/>
      <c r="EF5" s="246"/>
      <c r="EG5" s="246"/>
      <c r="EH5" s="246"/>
      <c r="EI5" s="246"/>
      <c r="EJ5" s="246"/>
      <c r="EK5" s="246"/>
      <c r="EL5" s="246"/>
      <c r="EM5" s="246"/>
      <c r="EN5" s="246"/>
      <c r="EO5" s="246"/>
      <c r="EP5" s="246"/>
      <c r="EQ5" s="246"/>
      <c r="ER5" s="246"/>
      <c r="ES5" s="246"/>
      <c r="ET5" s="246"/>
      <c r="EU5" s="246"/>
      <c r="EV5" s="246"/>
      <c r="EW5" s="246"/>
      <c r="EX5" s="246"/>
      <c r="EY5" s="246"/>
      <c r="EZ5" s="246"/>
      <c r="FA5" s="246"/>
      <c r="FB5" s="246"/>
      <c r="FC5" s="246"/>
      <c r="FD5" s="246"/>
      <c r="FE5" s="246"/>
      <c r="FF5" s="246"/>
      <c r="FG5" s="246"/>
      <c r="FH5" s="246"/>
      <c r="FI5" s="246"/>
      <c r="FJ5" s="246"/>
      <c r="FK5" s="246"/>
      <c r="FL5" s="246"/>
      <c r="FM5" s="246"/>
      <c r="FN5" s="246"/>
      <c r="FO5" s="246"/>
      <c r="FP5" s="246"/>
      <c r="FQ5" s="246"/>
      <c r="FR5" s="246"/>
      <c r="FS5" s="246"/>
      <c r="FT5" s="246"/>
      <c r="FU5" s="246"/>
      <c r="FV5" s="246"/>
      <c r="FW5" s="246"/>
      <c r="FX5" s="246"/>
      <c r="FY5" s="246"/>
      <c r="FZ5" s="246"/>
      <c r="GA5" s="246"/>
      <c r="GB5" s="246"/>
      <c r="GC5" s="246"/>
      <c r="GD5" s="246"/>
      <c r="GE5" s="246"/>
      <c r="GF5" s="246"/>
      <c r="GG5" s="246"/>
      <c r="GH5" s="246"/>
      <c r="GI5" s="246"/>
      <c r="GJ5" s="246"/>
      <c r="GK5" s="246"/>
      <c r="GL5" s="246"/>
      <c r="GM5" s="246"/>
      <c r="GN5" s="246"/>
      <c r="GO5" s="246"/>
      <c r="GP5" s="246"/>
      <c r="GQ5" s="246"/>
      <c r="GR5" s="246"/>
      <c r="GS5" s="246"/>
      <c r="GT5" s="246"/>
      <c r="GU5" s="246"/>
      <c r="GV5" s="246"/>
      <c r="GW5" s="246"/>
      <c r="GX5" s="246"/>
      <c r="GY5" s="246"/>
      <c r="GZ5" s="246"/>
      <c r="HA5" s="246"/>
      <c r="HB5" s="246"/>
      <c r="HC5" s="246"/>
      <c r="HD5" s="246"/>
      <c r="HE5" s="246"/>
      <c r="HF5" s="246"/>
      <c r="HG5" s="246"/>
      <c r="HH5" s="246"/>
      <c r="HI5" s="246"/>
      <c r="HJ5" s="246"/>
      <c r="HK5" s="246"/>
      <c r="HL5" s="246"/>
      <c r="HM5" s="246"/>
      <c r="HN5" s="246"/>
      <c r="HO5" s="246"/>
    </row>
    <row r="6" spans="1:29" s="246" customFormat="1" ht="16.5" customHeight="1" thickBot="1">
      <c r="A6" s="1150"/>
      <c r="B6" s="1151"/>
      <c r="C6" s="1151"/>
      <c r="D6" s="382" t="s">
        <v>205</v>
      </c>
      <c r="E6" s="383" t="s">
        <v>192</v>
      </c>
      <c r="F6" s="384" t="s">
        <v>206</v>
      </c>
      <c r="G6" s="1154"/>
      <c r="H6" s="1155"/>
      <c r="I6" s="1155"/>
      <c r="J6" s="1155"/>
      <c r="K6" s="1156"/>
      <c r="L6" s="1049"/>
      <c r="M6" s="1050"/>
      <c r="N6" s="1050"/>
      <c r="O6" s="1050"/>
      <c r="P6" s="1050"/>
      <c r="Q6" s="1051"/>
      <c r="R6" s="1049"/>
      <c r="S6" s="1050"/>
      <c r="T6" s="1050"/>
      <c r="U6" s="1050"/>
      <c r="V6" s="1050"/>
      <c r="W6" s="1050"/>
      <c r="X6" s="385" t="s">
        <v>205</v>
      </c>
      <c r="Y6" s="386" t="s">
        <v>192</v>
      </c>
      <c r="Z6" s="387" t="s">
        <v>206</v>
      </c>
      <c r="AA6" s="388" t="s">
        <v>205</v>
      </c>
      <c r="AB6" s="389" t="s">
        <v>192</v>
      </c>
      <c r="AC6" s="390" t="s">
        <v>206</v>
      </c>
    </row>
    <row r="7" spans="1:29" s="248" customFormat="1" ht="26.25" customHeight="1">
      <c r="A7" s="391"/>
      <c r="B7" s="392"/>
      <c r="C7" s="393"/>
      <c r="D7" s="394"/>
      <c r="E7" s="392"/>
      <c r="F7" s="395"/>
      <c r="G7" s="1143" t="s">
        <v>846</v>
      </c>
      <c r="H7" s="1078"/>
      <c r="I7" s="1078"/>
      <c r="J7" s="399">
        <v>80739</v>
      </c>
      <c r="K7" s="1039">
        <f>SUM(J7:J25)</f>
        <v>214291</v>
      </c>
      <c r="L7" s="1107" t="s">
        <v>219</v>
      </c>
      <c r="M7" s="1042"/>
      <c r="N7" s="1042"/>
      <c r="O7" s="1042"/>
      <c r="P7" s="396">
        <v>1365</v>
      </c>
      <c r="Q7" s="1120">
        <f>SUM(P7:P25)</f>
        <v>153032</v>
      </c>
      <c r="R7" s="1083" t="s">
        <v>847</v>
      </c>
      <c r="S7" s="1084"/>
      <c r="T7" s="1084"/>
      <c r="U7" s="1084"/>
      <c r="V7" s="399">
        <v>248</v>
      </c>
      <c r="W7" s="1081">
        <f>SUM(V7:V25)</f>
        <v>430200</v>
      </c>
      <c r="X7" s="400"/>
      <c r="Y7" s="401"/>
      <c r="Z7" s="402"/>
      <c r="AA7" s="403"/>
      <c r="AB7" s="404"/>
      <c r="AC7" s="405"/>
    </row>
    <row r="8" spans="1:29" s="248" customFormat="1" ht="30.75" customHeight="1">
      <c r="A8" s="391"/>
      <c r="B8" s="392"/>
      <c r="C8" s="394"/>
      <c r="D8" s="394"/>
      <c r="E8" s="392"/>
      <c r="F8" s="395"/>
      <c r="G8" s="1157" t="s">
        <v>850</v>
      </c>
      <c r="H8" s="1158"/>
      <c r="I8" s="1158"/>
      <c r="J8" s="399">
        <v>7276</v>
      </c>
      <c r="K8" s="1040"/>
      <c r="L8" s="1036" t="s">
        <v>848</v>
      </c>
      <c r="M8" s="1037"/>
      <c r="N8" s="1037"/>
      <c r="O8" s="1037"/>
      <c r="P8" s="399">
        <v>2960</v>
      </c>
      <c r="Q8" s="1121"/>
      <c r="R8" s="1036" t="s">
        <v>849</v>
      </c>
      <c r="S8" s="1037"/>
      <c r="T8" s="1037"/>
      <c r="U8" s="1037"/>
      <c r="V8" s="399">
        <v>1007</v>
      </c>
      <c r="W8" s="1082"/>
      <c r="X8" s="406"/>
      <c r="Y8" s="401"/>
      <c r="Z8" s="407"/>
      <c r="AA8" s="391"/>
      <c r="AB8" s="408"/>
      <c r="AC8" s="409"/>
    </row>
    <row r="9" spans="1:29" s="248" customFormat="1" ht="24.75" customHeight="1">
      <c r="A9" s="410"/>
      <c r="B9" s="411"/>
      <c r="C9" s="412" t="s">
        <v>780</v>
      </c>
      <c r="D9" s="413">
        <v>832386</v>
      </c>
      <c r="E9" s="414">
        <v>900049</v>
      </c>
      <c r="F9" s="415">
        <f>SUM(D9:E9)</f>
        <v>1732435</v>
      </c>
      <c r="G9" s="1038" t="s">
        <v>853</v>
      </c>
      <c r="H9" s="1037"/>
      <c r="I9" s="1037"/>
      <c r="J9" s="399">
        <v>10499</v>
      </c>
      <c r="K9" s="1040"/>
      <c r="L9" s="1083" t="s">
        <v>851</v>
      </c>
      <c r="M9" s="1084"/>
      <c r="N9" s="1084"/>
      <c r="O9" s="1084"/>
      <c r="P9" s="399">
        <v>12792</v>
      </c>
      <c r="Q9" s="1121"/>
      <c r="R9" s="1083" t="s">
        <v>852</v>
      </c>
      <c r="S9" s="1084"/>
      <c r="T9" s="1084"/>
      <c r="U9" s="1084"/>
      <c r="V9" s="399">
        <v>97395</v>
      </c>
      <c r="W9" s="1082"/>
      <c r="X9" s="416"/>
      <c r="Y9" s="417"/>
      <c r="Z9" s="407"/>
      <c r="AA9" s="418"/>
      <c r="AB9" s="419"/>
      <c r="AC9" s="420"/>
    </row>
    <row r="10" spans="1:29" s="248" customFormat="1" ht="28.5" customHeight="1">
      <c r="A10" s="421"/>
      <c r="B10" s="422"/>
      <c r="C10" s="423"/>
      <c r="D10" s="423"/>
      <c r="E10" s="392"/>
      <c r="F10" s="395"/>
      <c r="G10" s="1037" t="s">
        <v>955</v>
      </c>
      <c r="H10" s="1037"/>
      <c r="I10" s="1037"/>
      <c r="J10" s="399">
        <v>14804</v>
      </c>
      <c r="K10" s="1040"/>
      <c r="L10" s="1036" t="s">
        <v>854</v>
      </c>
      <c r="M10" s="1037"/>
      <c r="N10" s="1037"/>
      <c r="O10" s="1037"/>
      <c r="P10" s="399">
        <v>18000</v>
      </c>
      <c r="Q10" s="1121"/>
      <c r="R10" s="1083" t="s">
        <v>855</v>
      </c>
      <c r="S10" s="1084"/>
      <c r="T10" s="1084"/>
      <c r="U10" s="1084"/>
      <c r="V10" s="399">
        <v>4943</v>
      </c>
      <c r="W10" s="1082"/>
      <c r="X10" s="416"/>
      <c r="Y10" s="417"/>
      <c r="Z10" s="407"/>
      <c r="AA10" s="418"/>
      <c r="AB10" s="419"/>
      <c r="AC10" s="420"/>
    </row>
    <row r="11" spans="1:29" s="248" customFormat="1" ht="24.75" customHeight="1">
      <c r="A11" s="421"/>
      <c r="B11" s="422"/>
      <c r="C11" s="423"/>
      <c r="D11" s="423"/>
      <c r="E11" s="392"/>
      <c r="F11" s="395"/>
      <c r="G11" s="1038" t="s">
        <v>490</v>
      </c>
      <c r="H11" s="1037"/>
      <c r="I11" s="1037"/>
      <c r="J11" s="399">
        <v>25652</v>
      </c>
      <c r="K11" s="1040"/>
      <c r="L11" s="1036" t="s">
        <v>960</v>
      </c>
      <c r="M11" s="1037"/>
      <c r="N11" s="1037"/>
      <c r="O11" s="1037"/>
      <c r="P11" s="399">
        <v>303</v>
      </c>
      <c r="Q11" s="1121"/>
      <c r="R11" s="1036" t="s">
        <v>856</v>
      </c>
      <c r="S11" s="1037"/>
      <c r="T11" s="1037"/>
      <c r="U11" s="1037"/>
      <c r="V11" s="399">
        <f>168900+1970</f>
        <v>170870</v>
      </c>
      <c r="W11" s="1082"/>
      <c r="X11" s="416"/>
      <c r="Y11" s="417"/>
      <c r="Z11" s="407"/>
      <c r="AA11" s="418"/>
      <c r="AB11" s="419"/>
      <c r="AC11" s="420"/>
    </row>
    <row r="12" spans="1:29" s="248" customFormat="1" ht="25.5" customHeight="1">
      <c r="A12" s="421"/>
      <c r="B12" s="422"/>
      <c r="C12" s="423"/>
      <c r="D12" s="423"/>
      <c r="E12" s="392"/>
      <c r="F12" s="425"/>
      <c r="G12" s="1084" t="s">
        <v>954</v>
      </c>
      <c r="H12" s="1084"/>
      <c r="I12" s="1084"/>
      <c r="J12" s="399">
        <v>70079</v>
      </c>
      <c r="K12" s="1040"/>
      <c r="L12" s="1036" t="s">
        <v>961</v>
      </c>
      <c r="M12" s="1037"/>
      <c r="N12" s="1037"/>
      <c r="O12" s="1037"/>
      <c r="P12" s="399">
        <v>24353</v>
      </c>
      <c r="Q12" s="1121"/>
      <c r="R12" s="1036" t="s">
        <v>220</v>
      </c>
      <c r="S12" s="1037"/>
      <c r="T12" s="1037"/>
      <c r="U12" s="1037"/>
      <c r="V12" s="399">
        <f>5550+500</f>
        <v>6050</v>
      </c>
      <c r="W12" s="1082"/>
      <c r="X12" s="426">
        <f>SUM(W7,Q7,K7)</f>
        <v>797523</v>
      </c>
      <c r="Y12" s="427">
        <f>SUM(Q26,W26,K26)</f>
        <v>901584</v>
      </c>
      <c r="Z12" s="428">
        <f>SUM(Y12,X12)</f>
        <v>1699107</v>
      </c>
      <c r="AA12" s="426">
        <f>X12-D9</f>
        <v>-34863</v>
      </c>
      <c r="AB12" s="427">
        <f>Y12-E9</f>
        <v>1535</v>
      </c>
      <c r="AC12" s="429">
        <f>SUM(AA12:AB12)</f>
        <v>-33328</v>
      </c>
    </row>
    <row r="13" spans="1:29" s="246" customFormat="1" ht="27.75" customHeight="1">
      <c r="A13" s="430"/>
      <c r="B13" s="431"/>
      <c r="C13" s="432"/>
      <c r="D13" s="432"/>
      <c r="E13" s="433"/>
      <c r="F13" s="434"/>
      <c r="G13" s="1038" t="s">
        <v>1071</v>
      </c>
      <c r="H13" s="1037"/>
      <c r="I13" s="1037"/>
      <c r="J13" s="399">
        <v>1589</v>
      </c>
      <c r="K13" s="1040"/>
      <c r="L13" s="1036" t="s">
        <v>962</v>
      </c>
      <c r="M13" s="1037"/>
      <c r="N13" s="1037"/>
      <c r="O13" s="1037"/>
      <c r="P13" s="399">
        <v>24756</v>
      </c>
      <c r="Q13" s="1121"/>
      <c r="R13" s="1083" t="s">
        <v>857</v>
      </c>
      <c r="S13" s="1084"/>
      <c r="T13" s="1084"/>
      <c r="U13" s="1084"/>
      <c r="V13" s="435">
        <v>512</v>
      </c>
      <c r="W13" s="1082"/>
      <c r="X13" s="416"/>
      <c r="Y13" s="417"/>
      <c r="Z13" s="407"/>
      <c r="AA13" s="418"/>
      <c r="AB13" s="419"/>
      <c r="AC13" s="420"/>
    </row>
    <row r="14" spans="1:29" s="246" customFormat="1" ht="16.5" customHeight="1">
      <c r="A14" s="430"/>
      <c r="B14" s="431"/>
      <c r="C14" s="432"/>
      <c r="D14" s="432"/>
      <c r="E14" s="433"/>
      <c r="F14" s="434"/>
      <c r="G14" s="1038" t="s">
        <v>1072</v>
      </c>
      <c r="H14" s="1037"/>
      <c r="I14" s="1037"/>
      <c r="J14" s="399">
        <v>226</v>
      </c>
      <c r="K14" s="1040"/>
      <c r="L14" s="1036" t="s">
        <v>224</v>
      </c>
      <c r="M14" s="1037"/>
      <c r="N14" s="1037"/>
      <c r="O14" s="1037"/>
      <c r="P14" s="399"/>
      <c r="Q14" s="1121"/>
      <c r="R14" s="1083" t="s">
        <v>868</v>
      </c>
      <c r="S14" s="1084"/>
      <c r="T14" s="1084"/>
      <c r="U14" s="1084"/>
      <c r="V14" s="435">
        <v>447</v>
      </c>
      <c r="W14" s="1082"/>
      <c r="X14" s="416"/>
      <c r="Y14" s="417"/>
      <c r="Z14" s="407"/>
      <c r="AA14" s="418"/>
      <c r="AB14" s="419"/>
      <c r="AC14" s="420"/>
    </row>
    <row r="15" spans="1:29" s="246" customFormat="1" ht="12.75" customHeight="1">
      <c r="A15" s="430"/>
      <c r="B15" s="431"/>
      <c r="C15" s="432"/>
      <c r="D15" s="432"/>
      <c r="E15" s="433"/>
      <c r="F15" s="434"/>
      <c r="G15" s="1038" t="s">
        <v>1073</v>
      </c>
      <c r="H15" s="1037"/>
      <c r="I15" s="1037"/>
      <c r="J15" s="399">
        <v>2051</v>
      </c>
      <c r="K15" s="1040"/>
      <c r="L15" s="1083" t="s">
        <v>956</v>
      </c>
      <c r="M15" s="1084"/>
      <c r="N15" s="1084"/>
      <c r="O15" s="1084"/>
      <c r="P15" s="436">
        <f>842+1455</f>
        <v>2297</v>
      </c>
      <c r="Q15" s="1121"/>
      <c r="R15" s="1083" t="s">
        <v>1173</v>
      </c>
      <c r="S15" s="1084"/>
      <c r="T15" s="1084"/>
      <c r="U15" s="1084"/>
      <c r="V15" s="435">
        <f>127+18+80+103</f>
        <v>328</v>
      </c>
      <c r="W15" s="1082"/>
      <c r="X15" s="416"/>
      <c r="Y15" s="417"/>
      <c r="Z15" s="407"/>
      <c r="AA15" s="418"/>
      <c r="AB15" s="419"/>
      <c r="AC15" s="420"/>
    </row>
    <row r="16" spans="1:29" s="246" customFormat="1" ht="12.75" customHeight="1">
      <c r="A16" s="430"/>
      <c r="B16" s="431"/>
      <c r="C16" s="432"/>
      <c r="D16" s="432"/>
      <c r="E16" s="433"/>
      <c r="F16" s="434"/>
      <c r="G16" s="1038" t="s">
        <v>1074</v>
      </c>
      <c r="H16" s="1037"/>
      <c r="I16" s="1037"/>
      <c r="J16" s="399">
        <v>416</v>
      </c>
      <c r="K16" s="1040"/>
      <c r="L16" s="1083" t="s">
        <v>957</v>
      </c>
      <c r="M16" s="1084"/>
      <c r="N16" s="1084"/>
      <c r="O16" s="1084"/>
      <c r="P16" s="455">
        <v>14668</v>
      </c>
      <c r="Q16" s="1121"/>
      <c r="R16" s="1083" t="s">
        <v>964</v>
      </c>
      <c r="S16" s="1084"/>
      <c r="T16" s="1084"/>
      <c r="U16" s="1084"/>
      <c r="V16" s="435">
        <v>364</v>
      </c>
      <c r="W16" s="1082"/>
      <c r="X16" s="416"/>
      <c r="Y16" s="417"/>
      <c r="Z16" s="407"/>
      <c r="AA16" s="418"/>
      <c r="AB16" s="419"/>
      <c r="AC16" s="420"/>
    </row>
    <row r="17" spans="1:29" s="246" customFormat="1" ht="12.75" customHeight="1">
      <c r="A17" s="430"/>
      <c r="B17" s="431"/>
      <c r="C17" s="432"/>
      <c r="D17" s="432"/>
      <c r="E17" s="433"/>
      <c r="F17" s="434"/>
      <c r="G17" s="1136" t="s">
        <v>1174</v>
      </c>
      <c r="H17" s="1084"/>
      <c r="I17" s="1084"/>
      <c r="J17" s="399">
        <v>960</v>
      </c>
      <c r="K17" s="1040"/>
      <c r="L17" s="1083" t="s">
        <v>1175</v>
      </c>
      <c r="M17" s="1084"/>
      <c r="N17" s="1084"/>
      <c r="O17" s="1084"/>
      <c r="P17" s="455">
        <f>9130-5429+20</f>
        <v>3721</v>
      </c>
      <c r="Q17" s="1121"/>
      <c r="R17" s="1036" t="s">
        <v>858</v>
      </c>
      <c r="S17" s="1037"/>
      <c r="T17" s="1037"/>
      <c r="U17" s="1037"/>
      <c r="V17" s="435">
        <f>270</f>
        <v>270</v>
      </c>
      <c r="W17" s="1082"/>
      <c r="X17" s="416"/>
      <c r="Y17" s="417"/>
      <c r="Z17" s="407"/>
      <c r="AA17" s="418"/>
      <c r="AB17" s="419"/>
      <c r="AC17" s="420"/>
    </row>
    <row r="18" spans="1:29" s="246" customFormat="1" ht="26.25" customHeight="1">
      <c r="A18" s="430"/>
      <c r="B18" s="431"/>
      <c r="C18" s="432"/>
      <c r="D18" s="432"/>
      <c r="E18" s="433"/>
      <c r="F18" s="434"/>
      <c r="G18" s="553"/>
      <c r="H18" s="552"/>
      <c r="I18" s="552"/>
      <c r="J18" s="551"/>
      <c r="K18" s="1040"/>
      <c r="L18" s="1036" t="s">
        <v>1035</v>
      </c>
      <c r="M18" s="1037"/>
      <c r="N18" s="1037"/>
      <c r="O18" s="1037"/>
      <c r="P18" s="455">
        <v>7000</v>
      </c>
      <c r="Q18" s="1121"/>
      <c r="R18" s="1036" t="s">
        <v>1176</v>
      </c>
      <c r="S18" s="1037"/>
      <c r="T18" s="1037"/>
      <c r="U18" s="1037"/>
      <c r="V18" s="436">
        <v>2964</v>
      </c>
      <c r="W18" s="1082"/>
      <c r="X18" s="416"/>
      <c r="Y18" s="417"/>
      <c r="Z18" s="407"/>
      <c r="AA18" s="418"/>
      <c r="AB18" s="419"/>
      <c r="AC18" s="420"/>
    </row>
    <row r="19" spans="1:29" s="246" customFormat="1" ht="14.25" customHeight="1">
      <c r="A19" s="430"/>
      <c r="B19" s="431"/>
      <c r="C19" s="432"/>
      <c r="D19" s="432"/>
      <c r="E19" s="433"/>
      <c r="F19" s="434"/>
      <c r="G19" s="553"/>
      <c r="H19" s="552"/>
      <c r="I19" s="552"/>
      <c r="J19" s="551"/>
      <c r="K19" s="1040"/>
      <c r="L19" s="1159" t="s">
        <v>1177</v>
      </c>
      <c r="M19" s="1158"/>
      <c r="N19" s="1158"/>
      <c r="O19" s="1158"/>
      <c r="P19" s="1142">
        <v>700</v>
      </c>
      <c r="Q19" s="1121"/>
      <c r="R19" s="1036" t="s">
        <v>1075</v>
      </c>
      <c r="S19" s="1037"/>
      <c r="T19" s="1037"/>
      <c r="U19" s="1037"/>
      <c r="V19" s="436">
        <v>410</v>
      </c>
      <c r="W19" s="1082"/>
      <c r="X19" s="416"/>
      <c r="Y19" s="417"/>
      <c r="Z19" s="407"/>
      <c r="AA19" s="418"/>
      <c r="AB19" s="419"/>
      <c r="AC19" s="420"/>
    </row>
    <row r="20" spans="1:29" s="246" customFormat="1" ht="14.25" customHeight="1">
      <c r="A20" s="430"/>
      <c r="B20" s="431"/>
      <c r="C20" s="432"/>
      <c r="D20" s="432"/>
      <c r="E20" s="433"/>
      <c r="F20" s="434"/>
      <c r="G20" s="553"/>
      <c r="H20" s="552"/>
      <c r="I20" s="552"/>
      <c r="J20" s="551"/>
      <c r="K20" s="1040"/>
      <c r="L20" s="1159"/>
      <c r="M20" s="1158"/>
      <c r="N20" s="1158"/>
      <c r="O20" s="1158"/>
      <c r="P20" s="1142"/>
      <c r="Q20" s="1121"/>
      <c r="R20" s="397" t="s">
        <v>1076</v>
      </c>
      <c r="S20" s="398"/>
      <c r="T20" s="398"/>
      <c r="U20" s="398"/>
      <c r="V20" s="436">
        <f>284628+4762-284628</f>
        <v>4762</v>
      </c>
      <c r="W20" s="1082"/>
      <c r="X20" s="416"/>
      <c r="Y20" s="417"/>
      <c r="Z20" s="407"/>
      <c r="AA20" s="418"/>
      <c r="AB20" s="419"/>
      <c r="AC20" s="420"/>
    </row>
    <row r="21" spans="1:29" s="246" customFormat="1" ht="12.75" customHeight="1">
      <c r="A21" s="430"/>
      <c r="B21" s="431"/>
      <c r="C21" s="432"/>
      <c r="D21" s="432"/>
      <c r="E21" s="433"/>
      <c r="F21" s="434"/>
      <c r="G21" s="553"/>
      <c r="H21" s="552"/>
      <c r="I21" s="552"/>
      <c r="J21" s="551"/>
      <c r="K21" s="1040"/>
      <c r="L21" s="1083" t="s">
        <v>1178</v>
      </c>
      <c r="M21" s="1084"/>
      <c r="N21" s="1084"/>
      <c r="O21" s="1084"/>
      <c r="P21" s="436">
        <v>39900</v>
      </c>
      <c r="Q21" s="1121"/>
      <c r="R21" s="397" t="s">
        <v>1077</v>
      </c>
      <c r="S21" s="398"/>
      <c r="T21" s="398"/>
      <c r="U21" s="398"/>
      <c r="V21" s="436">
        <v>12783</v>
      </c>
      <c r="W21" s="1082"/>
      <c r="X21" s="416"/>
      <c r="Y21" s="417"/>
      <c r="Z21" s="407"/>
      <c r="AA21" s="418"/>
      <c r="AB21" s="419"/>
      <c r="AC21" s="420"/>
    </row>
    <row r="22" spans="1:29" s="246" customFormat="1" ht="12.75" customHeight="1">
      <c r="A22" s="430"/>
      <c r="B22" s="431"/>
      <c r="C22" s="432"/>
      <c r="D22" s="432"/>
      <c r="E22" s="433"/>
      <c r="F22" s="434"/>
      <c r="G22" s="553"/>
      <c r="H22" s="552"/>
      <c r="I22" s="552"/>
      <c r="J22" s="551"/>
      <c r="K22" s="1040"/>
      <c r="L22" s="1083" t="s">
        <v>1179</v>
      </c>
      <c r="M22" s="1084"/>
      <c r="N22" s="1084"/>
      <c r="O22" s="1084"/>
      <c r="P22" s="436">
        <v>217</v>
      </c>
      <c r="Q22" s="1121"/>
      <c r="R22" s="397" t="s">
        <v>994</v>
      </c>
      <c r="S22" s="398"/>
      <c r="T22" s="398"/>
      <c r="U22" s="398"/>
      <c r="V22" s="436">
        <f>30+24</f>
        <v>54</v>
      </c>
      <c r="W22" s="1082"/>
      <c r="X22" s="416"/>
      <c r="Y22" s="417"/>
      <c r="Z22" s="407"/>
      <c r="AA22" s="418"/>
      <c r="AB22" s="419"/>
      <c r="AC22" s="420"/>
    </row>
    <row r="23" spans="1:29" s="246" customFormat="1" ht="12.75" customHeight="1">
      <c r="A23" s="430"/>
      <c r="B23" s="431"/>
      <c r="C23" s="432"/>
      <c r="D23" s="432"/>
      <c r="E23" s="433"/>
      <c r="F23" s="434"/>
      <c r="G23" s="553"/>
      <c r="H23" s="552"/>
      <c r="I23" s="552"/>
      <c r="J23" s="551"/>
      <c r="K23" s="1040"/>
      <c r="L23" s="397"/>
      <c r="M23" s="398"/>
      <c r="N23" s="398"/>
      <c r="O23" s="398"/>
      <c r="P23" s="436"/>
      <c r="Q23" s="1121"/>
      <c r="R23" s="397" t="s">
        <v>1180</v>
      </c>
      <c r="S23" s="398"/>
      <c r="T23" s="398"/>
      <c r="U23" s="398"/>
      <c r="V23" s="436">
        <v>47</v>
      </c>
      <c r="W23" s="1082"/>
      <c r="X23" s="416"/>
      <c r="Y23" s="417"/>
      <c r="Z23" s="407"/>
      <c r="AA23" s="418"/>
      <c r="AB23" s="419"/>
      <c r="AC23" s="420"/>
    </row>
    <row r="24" spans="1:29" s="246" customFormat="1" ht="13.5" customHeight="1" thickBot="1">
      <c r="A24" s="430"/>
      <c r="B24" s="431"/>
      <c r="C24" s="432"/>
      <c r="D24" s="432"/>
      <c r="E24" s="433"/>
      <c r="F24" s="434"/>
      <c r="G24" s="553"/>
      <c r="H24" s="552"/>
      <c r="I24" s="552"/>
      <c r="J24" s="551"/>
      <c r="K24" s="1040"/>
      <c r="Q24" s="1121"/>
      <c r="R24" s="397" t="s">
        <v>1181</v>
      </c>
      <c r="S24" s="398"/>
      <c r="T24" s="398"/>
      <c r="U24" s="398"/>
      <c r="V24" s="436">
        <v>70000</v>
      </c>
      <c r="W24" s="1082"/>
      <c r="X24" s="416"/>
      <c r="Y24" s="417"/>
      <c r="Z24" s="407"/>
      <c r="AA24" s="418"/>
      <c r="AB24" s="419"/>
      <c r="AC24" s="420"/>
    </row>
    <row r="25" spans="1:223" s="250" customFormat="1" ht="15.75" customHeight="1" thickBot="1">
      <c r="A25" s="430"/>
      <c r="B25" s="431"/>
      <c r="C25" s="432"/>
      <c r="D25" s="432"/>
      <c r="E25" s="433"/>
      <c r="F25" s="434"/>
      <c r="G25" s="553"/>
      <c r="H25" s="552"/>
      <c r="I25" s="552"/>
      <c r="J25" s="551"/>
      <c r="K25" s="1040"/>
      <c r="L25" s="1083"/>
      <c r="M25" s="1084"/>
      <c r="N25" s="1084"/>
      <c r="O25" s="1084"/>
      <c r="P25" s="436"/>
      <c r="Q25" s="1121"/>
      <c r="R25" s="1036" t="s">
        <v>1078</v>
      </c>
      <c r="S25" s="1037"/>
      <c r="T25" s="1037"/>
      <c r="U25" s="1037"/>
      <c r="V25" s="436">
        <f>3569+53177</f>
        <v>56746</v>
      </c>
      <c r="W25" s="1082"/>
      <c r="X25" s="416"/>
      <c r="Y25" s="417"/>
      <c r="Z25" s="407"/>
      <c r="AA25" s="418"/>
      <c r="AB25" s="419"/>
      <c r="AC25" s="420"/>
      <c r="AD25" s="246"/>
      <c r="AE25" s="246"/>
      <c r="AF25" s="246"/>
      <c r="AG25" s="246"/>
      <c r="AH25" s="246"/>
      <c r="AI25" s="246"/>
      <c r="AJ25" s="246"/>
      <c r="AK25" s="246"/>
      <c r="AL25" s="246"/>
      <c r="AM25" s="246"/>
      <c r="AN25" s="246"/>
      <c r="AO25" s="246"/>
      <c r="AP25" s="246"/>
      <c r="AQ25" s="246"/>
      <c r="AR25" s="246"/>
      <c r="AS25" s="246"/>
      <c r="AT25" s="246"/>
      <c r="AU25" s="246"/>
      <c r="AV25" s="246"/>
      <c r="AW25" s="246"/>
      <c r="AX25" s="246"/>
      <c r="AY25" s="246"/>
      <c r="AZ25" s="246"/>
      <c r="BA25" s="246"/>
      <c r="BB25" s="246"/>
      <c r="BC25" s="246"/>
      <c r="BD25" s="246"/>
      <c r="BE25" s="246"/>
      <c r="BF25" s="246"/>
      <c r="BG25" s="246"/>
      <c r="BH25" s="246"/>
      <c r="BI25" s="246"/>
      <c r="BJ25" s="246"/>
      <c r="BK25" s="246"/>
      <c r="BL25" s="246"/>
      <c r="BM25" s="246"/>
      <c r="BN25" s="246"/>
      <c r="BO25" s="246"/>
      <c r="BP25" s="246"/>
      <c r="BQ25" s="246"/>
      <c r="BR25" s="246"/>
      <c r="BS25" s="246"/>
      <c r="BT25" s="246"/>
      <c r="BU25" s="246"/>
      <c r="BV25" s="246"/>
      <c r="BW25" s="246"/>
      <c r="BX25" s="246"/>
      <c r="BY25" s="246"/>
      <c r="BZ25" s="246"/>
      <c r="CA25" s="246"/>
      <c r="CB25" s="246"/>
      <c r="CC25" s="246"/>
      <c r="CD25" s="246"/>
      <c r="CE25" s="246"/>
      <c r="CF25" s="246"/>
      <c r="CG25" s="246"/>
      <c r="CH25" s="246"/>
      <c r="CI25" s="246"/>
      <c r="CJ25" s="246"/>
      <c r="CK25" s="246"/>
      <c r="CL25" s="246"/>
      <c r="CM25" s="246"/>
      <c r="CN25" s="246"/>
      <c r="CO25" s="246"/>
      <c r="CP25" s="246"/>
      <c r="CQ25" s="246"/>
      <c r="CR25" s="246"/>
      <c r="CS25" s="246"/>
      <c r="CT25" s="246"/>
      <c r="CU25" s="246"/>
      <c r="CV25" s="246"/>
      <c r="CW25" s="246"/>
      <c r="CX25" s="246"/>
      <c r="CY25" s="246"/>
      <c r="CZ25" s="246"/>
      <c r="DA25" s="246"/>
      <c r="DB25" s="246"/>
      <c r="DC25" s="246"/>
      <c r="DD25" s="246"/>
      <c r="DE25" s="246"/>
      <c r="DF25" s="246"/>
      <c r="DG25" s="246"/>
      <c r="DH25" s="246"/>
      <c r="DI25" s="246"/>
      <c r="DJ25" s="246"/>
      <c r="DK25" s="246"/>
      <c r="DL25" s="246"/>
      <c r="DM25" s="246"/>
      <c r="DN25" s="246"/>
      <c r="DO25" s="246"/>
      <c r="DP25" s="246"/>
      <c r="DQ25" s="246"/>
      <c r="DR25" s="246"/>
      <c r="DS25" s="246"/>
      <c r="DT25" s="246"/>
      <c r="DU25" s="246"/>
      <c r="DV25" s="246"/>
      <c r="DW25" s="246"/>
      <c r="DX25" s="246"/>
      <c r="DY25" s="246"/>
      <c r="DZ25" s="246"/>
      <c r="EA25" s="246"/>
      <c r="EB25" s="246"/>
      <c r="EC25" s="246"/>
      <c r="ED25" s="246"/>
      <c r="EE25" s="246"/>
      <c r="EF25" s="246"/>
      <c r="EG25" s="246"/>
      <c r="EH25" s="246"/>
      <c r="EI25" s="246"/>
      <c r="EJ25" s="246"/>
      <c r="EK25" s="246"/>
      <c r="EL25" s="246"/>
      <c r="EM25" s="246"/>
      <c r="EN25" s="246"/>
      <c r="EO25" s="246"/>
      <c r="EP25" s="246"/>
      <c r="EQ25" s="246"/>
      <c r="ER25" s="246"/>
      <c r="ES25" s="246"/>
      <c r="ET25" s="246"/>
      <c r="EU25" s="246"/>
      <c r="EV25" s="246"/>
      <c r="EW25" s="246"/>
      <c r="EX25" s="246"/>
      <c r="EY25" s="246"/>
      <c r="EZ25" s="246"/>
      <c r="FA25" s="246"/>
      <c r="FB25" s="246"/>
      <c r="FC25" s="246"/>
      <c r="FD25" s="246"/>
      <c r="FE25" s="246"/>
      <c r="FF25" s="246"/>
      <c r="FG25" s="246"/>
      <c r="FH25" s="246"/>
      <c r="FI25" s="246"/>
      <c r="FJ25" s="246"/>
      <c r="FK25" s="246"/>
      <c r="FL25" s="246"/>
      <c r="FM25" s="246"/>
      <c r="FN25" s="246"/>
      <c r="FO25" s="246"/>
      <c r="FP25" s="246"/>
      <c r="FQ25" s="246"/>
      <c r="FR25" s="246"/>
      <c r="FS25" s="246"/>
      <c r="FT25" s="246"/>
      <c r="FU25" s="246"/>
      <c r="FV25" s="246"/>
      <c r="FW25" s="246"/>
      <c r="FX25" s="246"/>
      <c r="FY25" s="246"/>
      <c r="FZ25" s="246"/>
      <c r="GA25" s="246"/>
      <c r="GB25" s="246"/>
      <c r="GC25" s="246"/>
      <c r="GD25" s="246"/>
      <c r="GE25" s="246"/>
      <c r="GF25" s="246"/>
      <c r="GG25" s="246"/>
      <c r="GH25" s="246"/>
      <c r="GI25" s="246"/>
      <c r="GJ25" s="246"/>
      <c r="GK25" s="246"/>
      <c r="GL25" s="246"/>
      <c r="GM25" s="246"/>
      <c r="GN25" s="246"/>
      <c r="GO25" s="246"/>
      <c r="GP25" s="246"/>
      <c r="GQ25" s="246"/>
      <c r="GR25" s="246"/>
      <c r="GS25" s="246"/>
      <c r="GT25" s="246"/>
      <c r="GU25" s="246"/>
      <c r="GV25" s="246"/>
      <c r="GW25" s="246"/>
      <c r="GX25" s="246"/>
      <c r="GY25" s="246"/>
      <c r="GZ25" s="246"/>
      <c r="HA25" s="246"/>
      <c r="HB25" s="246"/>
      <c r="HC25" s="246"/>
      <c r="HD25" s="246"/>
      <c r="HE25" s="246"/>
      <c r="HF25" s="246"/>
      <c r="HG25" s="246"/>
      <c r="HH25" s="246"/>
      <c r="HI25" s="246"/>
      <c r="HJ25" s="246"/>
      <c r="HK25" s="246"/>
      <c r="HL25" s="246"/>
      <c r="HM25" s="246"/>
      <c r="HN25" s="246"/>
      <c r="HO25" s="246"/>
    </row>
    <row r="26" spans="1:223" s="251" customFormat="1" ht="24.75" customHeight="1" thickBot="1">
      <c r="A26" s="430"/>
      <c r="B26" s="431"/>
      <c r="C26" s="432"/>
      <c r="D26" s="432"/>
      <c r="E26" s="835" t="s">
        <v>208</v>
      </c>
      <c r="F26" s="434"/>
      <c r="G26" s="1041" t="s">
        <v>402</v>
      </c>
      <c r="H26" s="1042"/>
      <c r="I26" s="1042"/>
      <c r="J26" s="437">
        <f>12750</f>
        <v>12750</v>
      </c>
      <c r="K26" s="1039">
        <f>SUM(J26:J31)</f>
        <v>12750</v>
      </c>
      <c r="L26" s="1107" t="s">
        <v>958</v>
      </c>
      <c r="M26" s="1042"/>
      <c r="N26" s="1042"/>
      <c r="O26" s="1042"/>
      <c r="P26" s="437">
        <v>40540</v>
      </c>
      <c r="Q26" s="1039">
        <f>SUM(P26:P31)</f>
        <v>776583</v>
      </c>
      <c r="R26" s="1107" t="s">
        <v>1182</v>
      </c>
      <c r="S26" s="1042"/>
      <c r="T26" s="1042"/>
      <c r="U26" s="1042"/>
      <c r="V26" s="438">
        <f>16000+10000+17272</f>
        <v>43272</v>
      </c>
      <c r="W26" s="1081">
        <f>SUM(V26:V31)</f>
        <v>112251</v>
      </c>
      <c r="X26" s="416"/>
      <c r="Y26" s="417"/>
      <c r="Z26" s="407"/>
      <c r="AA26" s="418"/>
      <c r="AB26" s="419"/>
      <c r="AC26" s="420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  <c r="AN26" s="246"/>
      <c r="AO26" s="246"/>
      <c r="AP26" s="246"/>
      <c r="AQ26" s="246"/>
      <c r="AR26" s="246"/>
      <c r="AS26" s="246"/>
      <c r="AT26" s="246"/>
      <c r="AU26" s="246"/>
      <c r="AV26" s="246"/>
      <c r="AW26" s="246"/>
      <c r="AX26" s="246"/>
      <c r="AY26" s="246"/>
      <c r="AZ26" s="246"/>
      <c r="BA26" s="246"/>
      <c r="BB26" s="246"/>
      <c r="BC26" s="246"/>
      <c r="BD26" s="246"/>
      <c r="BE26" s="246"/>
      <c r="BF26" s="246"/>
      <c r="BG26" s="246"/>
      <c r="BH26" s="246"/>
      <c r="BI26" s="246"/>
      <c r="BJ26" s="246"/>
      <c r="BK26" s="246"/>
      <c r="BL26" s="246"/>
      <c r="BM26" s="246"/>
      <c r="BN26" s="246"/>
      <c r="BO26" s="246"/>
      <c r="BP26" s="246"/>
      <c r="BQ26" s="246"/>
      <c r="BR26" s="246"/>
      <c r="BS26" s="246"/>
      <c r="BT26" s="246"/>
      <c r="BU26" s="246"/>
      <c r="BV26" s="246"/>
      <c r="BW26" s="246"/>
      <c r="BX26" s="246"/>
      <c r="BY26" s="246"/>
      <c r="BZ26" s="246"/>
      <c r="CA26" s="246"/>
      <c r="CB26" s="246"/>
      <c r="CC26" s="246"/>
      <c r="CD26" s="246"/>
      <c r="CE26" s="246"/>
      <c r="CF26" s="246"/>
      <c r="CG26" s="246"/>
      <c r="CH26" s="246"/>
      <c r="CI26" s="246"/>
      <c r="CJ26" s="246"/>
      <c r="CK26" s="246"/>
      <c r="CL26" s="246"/>
      <c r="CM26" s="246"/>
      <c r="CN26" s="246"/>
      <c r="CO26" s="246"/>
      <c r="CP26" s="246"/>
      <c r="CQ26" s="246"/>
      <c r="CR26" s="246"/>
      <c r="CS26" s="246"/>
      <c r="CT26" s="246"/>
      <c r="CU26" s="246"/>
      <c r="CV26" s="246"/>
      <c r="CW26" s="246"/>
      <c r="CX26" s="246"/>
      <c r="CY26" s="246"/>
      <c r="CZ26" s="246"/>
      <c r="DA26" s="246"/>
      <c r="DB26" s="246"/>
      <c r="DC26" s="246"/>
      <c r="DD26" s="246"/>
      <c r="DE26" s="246"/>
      <c r="DF26" s="246"/>
      <c r="DG26" s="246"/>
      <c r="DH26" s="246"/>
      <c r="DI26" s="246"/>
      <c r="DJ26" s="246"/>
      <c r="DK26" s="246"/>
      <c r="DL26" s="246"/>
      <c r="DM26" s="246"/>
      <c r="DN26" s="246"/>
      <c r="DO26" s="246"/>
      <c r="DP26" s="246"/>
      <c r="DQ26" s="246"/>
      <c r="DR26" s="246"/>
      <c r="DS26" s="246"/>
      <c r="DT26" s="246"/>
      <c r="DU26" s="246"/>
      <c r="DV26" s="246"/>
      <c r="DW26" s="246"/>
      <c r="DX26" s="246"/>
      <c r="DY26" s="246"/>
      <c r="DZ26" s="246"/>
      <c r="EA26" s="246"/>
      <c r="EB26" s="246"/>
      <c r="EC26" s="246"/>
      <c r="ED26" s="246"/>
      <c r="EE26" s="246"/>
      <c r="EF26" s="246"/>
      <c r="EG26" s="246"/>
      <c r="EH26" s="246"/>
      <c r="EI26" s="246"/>
      <c r="EJ26" s="246"/>
      <c r="EK26" s="246"/>
      <c r="EL26" s="246"/>
      <c r="EM26" s="246"/>
      <c r="EN26" s="246"/>
      <c r="EO26" s="246"/>
      <c r="EP26" s="246"/>
      <c r="EQ26" s="246"/>
      <c r="ER26" s="246"/>
      <c r="ES26" s="246"/>
      <c r="ET26" s="246"/>
      <c r="EU26" s="246"/>
      <c r="EV26" s="246"/>
      <c r="EW26" s="246"/>
      <c r="EX26" s="246"/>
      <c r="EY26" s="246"/>
      <c r="EZ26" s="246"/>
      <c r="FA26" s="246"/>
      <c r="FB26" s="246"/>
      <c r="FC26" s="246"/>
      <c r="FD26" s="246"/>
      <c r="FE26" s="246"/>
      <c r="FF26" s="246"/>
      <c r="FG26" s="246"/>
      <c r="FH26" s="246"/>
      <c r="FI26" s="246"/>
      <c r="FJ26" s="246"/>
      <c r="FK26" s="246"/>
      <c r="FL26" s="246"/>
      <c r="FM26" s="246"/>
      <c r="FN26" s="246"/>
      <c r="FO26" s="246"/>
      <c r="FP26" s="246"/>
      <c r="FQ26" s="246"/>
      <c r="FR26" s="246"/>
      <c r="FS26" s="246"/>
      <c r="FT26" s="246"/>
      <c r="FU26" s="246"/>
      <c r="FV26" s="246"/>
      <c r="FW26" s="246"/>
      <c r="FX26" s="246"/>
      <c r="FY26" s="246"/>
      <c r="FZ26" s="246"/>
      <c r="GA26" s="246"/>
      <c r="GB26" s="246"/>
      <c r="GC26" s="246"/>
      <c r="GD26" s="246"/>
      <c r="GE26" s="246"/>
      <c r="GF26" s="246"/>
      <c r="GG26" s="246"/>
      <c r="GH26" s="246"/>
      <c r="GI26" s="246"/>
      <c r="GJ26" s="246"/>
      <c r="GK26" s="246"/>
      <c r="GL26" s="246"/>
      <c r="GM26" s="246"/>
      <c r="GN26" s="246"/>
      <c r="GO26" s="246"/>
      <c r="GP26" s="246"/>
      <c r="GQ26" s="246"/>
      <c r="GR26" s="246"/>
      <c r="GS26" s="246"/>
      <c r="GT26" s="246"/>
      <c r="GU26" s="246"/>
      <c r="GV26" s="246"/>
      <c r="GW26" s="246"/>
      <c r="GX26" s="246"/>
      <c r="GY26" s="246"/>
      <c r="GZ26" s="246"/>
      <c r="HA26" s="246"/>
      <c r="HB26" s="246"/>
      <c r="HC26" s="246"/>
      <c r="HD26" s="246"/>
      <c r="HE26" s="246"/>
      <c r="HF26" s="246"/>
      <c r="HG26" s="246"/>
      <c r="HH26" s="246"/>
      <c r="HI26" s="246"/>
      <c r="HJ26" s="246"/>
      <c r="HK26" s="246"/>
      <c r="HL26" s="246"/>
      <c r="HM26" s="246"/>
      <c r="HN26" s="246"/>
      <c r="HO26" s="246"/>
    </row>
    <row r="27" spans="1:29" ht="19.5" customHeight="1" thickTop="1">
      <c r="A27" s="430"/>
      <c r="B27" s="431"/>
      <c r="C27" s="432"/>
      <c r="D27" s="432"/>
      <c r="E27" s="433"/>
      <c r="F27" s="434"/>
      <c r="G27" s="555"/>
      <c r="H27" s="556"/>
      <c r="I27" s="556"/>
      <c r="J27" s="554"/>
      <c r="K27" s="1040"/>
      <c r="L27" s="1083" t="s">
        <v>503</v>
      </c>
      <c r="M27" s="1084"/>
      <c r="N27" s="1084"/>
      <c r="O27" s="1084"/>
      <c r="P27" s="455">
        <v>172401</v>
      </c>
      <c r="Q27" s="1114"/>
      <c r="R27" s="1083" t="s">
        <v>482</v>
      </c>
      <c r="S27" s="1084"/>
      <c r="T27" s="1084"/>
      <c r="U27" s="1084"/>
      <c r="V27" s="436">
        <v>10</v>
      </c>
      <c r="W27" s="1118"/>
      <c r="X27" s="416"/>
      <c r="Y27" s="417"/>
      <c r="Z27" s="407"/>
      <c r="AA27" s="418"/>
      <c r="AB27" s="419"/>
      <c r="AC27" s="420"/>
    </row>
    <row r="28" spans="1:29" ht="24.75" customHeight="1">
      <c r="A28" s="430"/>
      <c r="B28" s="431"/>
      <c r="C28" s="432"/>
      <c r="D28" s="432"/>
      <c r="E28" s="433"/>
      <c r="F28" s="434"/>
      <c r="G28" s="555"/>
      <c r="H28" s="556"/>
      <c r="I28" s="556"/>
      <c r="J28" s="556"/>
      <c r="K28" s="1040"/>
      <c r="L28" s="1083" t="s">
        <v>504</v>
      </c>
      <c r="M28" s="1084"/>
      <c r="N28" s="1084"/>
      <c r="O28" s="1084"/>
      <c r="P28" s="455">
        <v>560125</v>
      </c>
      <c r="Q28" s="1114"/>
      <c r="R28" s="1036" t="s">
        <v>1183</v>
      </c>
      <c r="S28" s="1037"/>
      <c r="T28" s="1037"/>
      <c r="U28" s="1037"/>
      <c r="V28" s="436">
        <v>68969</v>
      </c>
      <c r="W28" s="1118"/>
      <c r="X28" s="416"/>
      <c r="Y28" s="417"/>
      <c r="Z28" s="407"/>
      <c r="AA28" s="418"/>
      <c r="AB28" s="419"/>
      <c r="AC28" s="420"/>
    </row>
    <row r="29" spans="1:29" ht="22.5" customHeight="1">
      <c r="A29" s="430"/>
      <c r="B29" s="431"/>
      <c r="C29" s="432"/>
      <c r="D29" s="432"/>
      <c r="E29" s="433"/>
      <c r="F29" s="434"/>
      <c r="G29" s="439"/>
      <c r="H29" s="433"/>
      <c r="I29" s="433"/>
      <c r="J29" s="433"/>
      <c r="K29" s="1040"/>
      <c r="L29" s="1036" t="s">
        <v>1036</v>
      </c>
      <c r="M29" s="1037"/>
      <c r="N29" s="1037"/>
      <c r="O29" s="1037"/>
      <c r="P29" s="1080">
        <f>8223-8223</f>
        <v>0</v>
      </c>
      <c r="Q29" s="1114"/>
      <c r="R29" s="1063"/>
      <c r="S29" s="1064"/>
      <c r="T29" s="1064"/>
      <c r="U29" s="1064"/>
      <c r="V29" s="557"/>
      <c r="W29" s="1118"/>
      <c r="X29" s="416"/>
      <c r="Y29" s="417"/>
      <c r="Z29" s="407"/>
      <c r="AA29" s="418"/>
      <c r="AB29" s="419"/>
      <c r="AC29" s="420"/>
    </row>
    <row r="30" spans="1:29" ht="27" customHeight="1">
      <c r="A30" s="430"/>
      <c r="B30" s="431"/>
      <c r="C30" s="432"/>
      <c r="D30" s="432"/>
      <c r="E30" s="433"/>
      <c r="F30" s="434"/>
      <c r="G30" s="439"/>
      <c r="H30" s="440"/>
      <c r="I30" s="440"/>
      <c r="J30" s="433"/>
      <c r="K30" s="1040"/>
      <c r="L30" s="1036"/>
      <c r="M30" s="1037"/>
      <c r="N30" s="1037"/>
      <c r="O30" s="1037"/>
      <c r="P30" s="1080"/>
      <c r="Q30" s="1114"/>
      <c r="R30" s="564"/>
      <c r="S30" s="246"/>
      <c r="T30" s="246"/>
      <c r="U30" s="246"/>
      <c r="V30" s="267"/>
      <c r="W30" s="1118"/>
      <c r="X30" s="416"/>
      <c r="Y30" s="417"/>
      <c r="Z30" s="407"/>
      <c r="AA30" s="418"/>
      <c r="AB30" s="419"/>
      <c r="AC30" s="420"/>
    </row>
    <row r="31" spans="1:29" ht="27" customHeight="1" thickBot="1">
      <c r="A31" s="430"/>
      <c r="B31" s="431"/>
      <c r="C31" s="432"/>
      <c r="D31" s="432"/>
      <c r="E31" s="433"/>
      <c r="F31" s="434"/>
      <c r="G31" s="439"/>
      <c r="H31" s="440"/>
      <c r="I31" s="440"/>
      <c r="J31" s="433"/>
      <c r="K31" s="1040"/>
      <c r="L31" s="1140" t="s">
        <v>1042</v>
      </c>
      <c r="M31" s="1141"/>
      <c r="N31" s="1141"/>
      <c r="O31" s="1141"/>
      <c r="P31" s="433">
        <v>3517</v>
      </c>
      <c r="Q31" s="1040"/>
      <c r="R31" s="560"/>
      <c r="S31" s="552"/>
      <c r="T31" s="552"/>
      <c r="U31" s="552"/>
      <c r="V31" s="562"/>
      <c r="W31" s="1082"/>
      <c r="X31" s="416"/>
      <c r="Y31" s="417"/>
      <c r="Z31" s="407"/>
      <c r="AA31" s="418"/>
      <c r="AB31" s="419"/>
      <c r="AC31" s="420"/>
    </row>
    <row r="32" spans="1:29" ht="27" customHeight="1" thickBot="1" thickTop="1">
      <c r="A32" s="441"/>
      <c r="B32" s="1108" t="s">
        <v>209</v>
      </c>
      <c r="C32" s="1109"/>
      <c r="D32" s="442">
        <v>37794</v>
      </c>
      <c r="E32" s="443">
        <v>161</v>
      </c>
      <c r="F32" s="444">
        <f>SUM(D32:E32)</f>
        <v>37955</v>
      </c>
      <c r="G32" s="1110"/>
      <c r="H32" s="1111"/>
      <c r="I32" s="1111"/>
      <c r="J32" s="559"/>
      <c r="K32" s="445"/>
      <c r="L32" s="1138" t="s">
        <v>860</v>
      </c>
      <c r="M32" s="1139"/>
      <c r="N32" s="1139"/>
      <c r="O32" s="1139"/>
      <c r="P32" s="836">
        <v>29532</v>
      </c>
      <c r="Q32" s="445">
        <f>SUM(P32)</f>
        <v>29532</v>
      </c>
      <c r="R32" s="1138"/>
      <c r="S32" s="1139"/>
      <c r="T32" s="1139"/>
      <c r="U32" s="1139"/>
      <c r="V32" s="446"/>
      <c r="W32" s="447"/>
      <c r="X32" s="448">
        <f>SUM(W32,Q32,K32)</f>
        <v>29532</v>
      </c>
      <c r="Y32" s="449">
        <v>0</v>
      </c>
      <c r="Z32" s="450">
        <f>SUM(X32:Y32)</f>
        <v>29532</v>
      </c>
      <c r="AA32" s="448">
        <f>X32-D32</f>
        <v>-8262</v>
      </c>
      <c r="AB32" s="449">
        <f>Y32-E32</f>
        <v>-161</v>
      </c>
      <c r="AC32" s="451">
        <f>SUM(AA32:AB32)</f>
        <v>-8423</v>
      </c>
    </row>
    <row r="33" spans="1:29" ht="16.5" customHeight="1" thickTop="1">
      <c r="A33" s="452"/>
      <c r="B33" s="433"/>
      <c r="C33" s="453"/>
      <c r="D33" s="454"/>
      <c r="E33" s="454"/>
      <c r="F33" s="434"/>
      <c r="G33" s="553"/>
      <c r="H33" s="552"/>
      <c r="I33" s="552"/>
      <c r="J33" s="630"/>
      <c r="K33" s="1112"/>
      <c r="L33" s="1083" t="s">
        <v>222</v>
      </c>
      <c r="M33" s="1084"/>
      <c r="N33" s="1084"/>
      <c r="O33" s="1084"/>
      <c r="P33" s="399">
        <v>12456</v>
      </c>
      <c r="Q33" s="1112">
        <f>SUM(P33:P36)</f>
        <v>17047</v>
      </c>
      <c r="R33" s="1036" t="s">
        <v>965</v>
      </c>
      <c r="S33" s="1037"/>
      <c r="T33" s="1037"/>
      <c r="U33" s="1037"/>
      <c r="V33" s="436">
        <f>7937+84</f>
        <v>8021</v>
      </c>
      <c r="W33" s="1113">
        <f>SUM(V33:V36)</f>
        <v>8568</v>
      </c>
      <c r="X33" s="456"/>
      <c r="Y33" s="457"/>
      <c r="Z33" s="571"/>
      <c r="AA33" s="456"/>
      <c r="AB33" s="457"/>
      <c r="AC33" s="458"/>
    </row>
    <row r="34" spans="1:29" ht="25.5" customHeight="1">
      <c r="A34" s="452"/>
      <c r="B34" s="433"/>
      <c r="C34" s="453"/>
      <c r="D34" s="454"/>
      <c r="E34" s="433"/>
      <c r="F34" s="434"/>
      <c r="G34" s="553"/>
      <c r="H34" s="552"/>
      <c r="I34" s="552"/>
      <c r="J34" s="630"/>
      <c r="K34" s="1040"/>
      <c r="L34" s="1083" t="s">
        <v>1184</v>
      </c>
      <c r="M34" s="1084"/>
      <c r="N34" s="1084"/>
      <c r="O34" s="1084"/>
      <c r="P34" s="399">
        <v>1</v>
      </c>
      <c r="Q34" s="1040"/>
      <c r="R34" s="1036" t="s">
        <v>1185</v>
      </c>
      <c r="S34" s="1037"/>
      <c r="T34" s="1037"/>
      <c r="U34" s="1037"/>
      <c r="V34" s="436">
        <v>102</v>
      </c>
      <c r="W34" s="1114"/>
      <c r="X34" s="837"/>
      <c r="Y34" s="454"/>
      <c r="Z34" s="433"/>
      <c r="AA34" s="439"/>
      <c r="AB34" s="454"/>
      <c r="AC34" s="434"/>
    </row>
    <row r="35" spans="1:29" ht="27.75" customHeight="1" thickBot="1">
      <c r="A35" s="452"/>
      <c r="B35" s="433"/>
      <c r="C35" s="453"/>
      <c r="D35" s="454"/>
      <c r="E35" s="433"/>
      <c r="F35" s="434"/>
      <c r="G35" s="553"/>
      <c r="H35" s="552"/>
      <c r="I35" s="552"/>
      <c r="J35" s="630"/>
      <c r="K35" s="1040"/>
      <c r="L35" s="1083" t="s">
        <v>1186</v>
      </c>
      <c r="M35" s="1084"/>
      <c r="N35" s="1084"/>
      <c r="O35" s="1084"/>
      <c r="P35" s="436">
        <v>230</v>
      </c>
      <c r="Q35" s="1040"/>
      <c r="R35" s="1036" t="s">
        <v>1187</v>
      </c>
      <c r="S35" s="1037"/>
      <c r="T35" s="1037"/>
      <c r="U35" s="1037"/>
      <c r="V35" s="436">
        <v>115</v>
      </c>
      <c r="W35" s="1114"/>
      <c r="X35" s="837"/>
      <c r="Y35" s="454"/>
      <c r="Z35" s="433"/>
      <c r="AA35" s="439"/>
      <c r="AB35" s="454"/>
      <c r="AC35" s="434"/>
    </row>
    <row r="36" spans="1:223" s="252" customFormat="1" ht="18.75" customHeight="1" thickBot="1" thickTop="1">
      <c r="A36" s="452"/>
      <c r="B36" s="433"/>
      <c r="C36" s="453"/>
      <c r="D36" s="454"/>
      <c r="E36" s="433"/>
      <c r="F36" s="434"/>
      <c r="G36" s="424"/>
      <c r="H36" s="398"/>
      <c r="I36" s="398"/>
      <c r="J36" s="455"/>
      <c r="K36" s="1059"/>
      <c r="L36" s="1083" t="s">
        <v>505</v>
      </c>
      <c r="M36" s="1084"/>
      <c r="N36" s="1084"/>
      <c r="O36" s="1084"/>
      <c r="P36" s="399">
        <f>2932+1428</f>
        <v>4360</v>
      </c>
      <c r="Q36" s="1059"/>
      <c r="R36" s="1116" t="s">
        <v>1188</v>
      </c>
      <c r="S36" s="1117"/>
      <c r="T36" s="1117"/>
      <c r="U36" s="1117"/>
      <c r="V36" s="838">
        <v>330</v>
      </c>
      <c r="W36" s="1115"/>
      <c r="X36" s="459">
        <f>SUM(W33,Q33,K33)</f>
        <v>25615</v>
      </c>
      <c r="Y36" s="427">
        <f>SUM(Q37,W37,K37)</f>
        <v>474026</v>
      </c>
      <c r="Z36" s="428">
        <f>SUM(X36:Y36)</f>
        <v>499641</v>
      </c>
      <c r="AA36" s="426">
        <f>X36-D37</f>
        <v>-38200</v>
      </c>
      <c r="AB36" s="427">
        <f>Y36-E37</f>
        <v>102355</v>
      </c>
      <c r="AC36" s="429">
        <f>SUM(AA36:AB36)</f>
        <v>64155</v>
      </c>
      <c r="AD36" s="246"/>
      <c r="AE36" s="246"/>
      <c r="AF36" s="246"/>
      <c r="AG36" s="246"/>
      <c r="AH36" s="246"/>
      <c r="AI36" s="246"/>
      <c r="AJ36" s="246"/>
      <c r="AK36" s="246"/>
      <c r="AL36" s="246"/>
      <c r="AM36" s="246"/>
      <c r="AN36" s="246"/>
      <c r="AO36" s="246"/>
      <c r="AP36" s="246"/>
      <c r="AQ36" s="246"/>
      <c r="AR36" s="246"/>
      <c r="AS36" s="246"/>
      <c r="AT36" s="246"/>
      <c r="AU36" s="246"/>
      <c r="AV36" s="246"/>
      <c r="AW36" s="246"/>
      <c r="AX36" s="246"/>
      <c r="AY36" s="246"/>
      <c r="AZ36" s="246"/>
      <c r="BA36" s="246"/>
      <c r="BB36" s="246"/>
      <c r="BC36" s="246"/>
      <c r="BD36" s="246"/>
      <c r="BE36" s="246"/>
      <c r="BF36" s="246"/>
      <c r="BG36" s="246"/>
      <c r="BH36" s="246"/>
      <c r="BI36" s="246"/>
      <c r="BJ36" s="246"/>
      <c r="BK36" s="246"/>
      <c r="BL36" s="246"/>
      <c r="BM36" s="246"/>
      <c r="BN36" s="246"/>
      <c r="BO36" s="246"/>
      <c r="BP36" s="246"/>
      <c r="BQ36" s="246"/>
      <c r="BR36" s="246"/>
      <c r="BS36" s="246"/>
      <c r="BT36" s="246"/>
      <c r="BU36" s="246"/>
      <c r="BV36" s="246"/>
      <c r="BW36" s="246"/>
      <c r="BX36" s="246"/>
      <c r="BY36" s="246"/>
      <c r="BZ36" s="246"/>
      <c r="CA36" s="246"/>
      <c r="CB36" s="246"/>
      <c r="CC36" s="246"/>
      <c r="CD36" s="246"/>
      <c r="CE36" s="246"/>
      <c r="CF36" s="246"/>
      <c r="CG36" s="246"/>
      <c r="CH36" s="246"/>
      <c r="CI36" s="246"/>
      <c r="CJ36" s="246"/>
      <c r="CK36" s="246"/>
      <c r="CL36" s="246"/>
      <c r="CM36" s="246"/>
      <c r="CN36" s="246"/>
      <c r="CO36" s="246"/>
      <c r="CP36" s="246"/>
      <c r="CQ36" s="246"/>
      <c r="CR36" s="246"/>
      <c r="CS36" s="246"/>
      <c r="CT36" s="246"/>
      <c r="CU36" s="246"/>
      <c r="CV36" s="246"/>
      <c r="CW36" s="246"/>
      <c r="CX36" s="246"/>
      <c r="CY36" s="246"/>
      <c r="CZ36" s="246"/>
      <c r="DA36" s="246"/>
      <c r="DB36" s="246"/>
      <c r="DC36" s="246"/>
      <c r="DD36" s="246"/>
      <c r="DE36" s="246"/>
      <c r="DF36" s="246"/>
      <c r="DG36" s="246"/>
      <c r="DH36" s="246"/>
      <c r="DI36" s="246"/>
      <c r="DJ36" s="246"/>
      <c r="DK36" s="246"/>
      <c r="DL36" s="246"/>
      <c r="DM36" s="246"/>
      <c r="DN36" s="246"/>
      <c r="DO36" s="246"/>
      <c r="DP36" s="246"/>
      <c r="DQ36" s="246"/>
      <c r="DR36" s="246"/>
      <c r="DS36" s="246"/>
      <c r="DT36" s="246"/>
      <c r="DU36" s="246"/>
      <c r="DV36" s="246"/>
      <c r="DW36" s="246"/>
      <c r="DX36" s="246"/>
      <c r="DY36" s="246"/>
      <c r="DZ36" s="246"/>
      <c r="EA36" s="246"/>
      <c r="EB36" s="246"/>
      <c r="EC36" s="246"/>
      <c r="ED36" s="246"/>
      <c r="EE36" s="246"/>
      <c r="EF36" s="246"/>
      <c r="EG36" s="246"/>
      <c r="EH36" s="246"/>
      <c r="EI36" s="246"/>
      <c r="EJ36" s="246"/>
      <c r="EK36" s="246"/>
      <c r="EL36" s="246"/>
      <c r="EM36" s="246"/>
      <c r="EN36" s="246"/>
      <c r="EO36" s="246"/>
      <c r="EP36" s="246"/>
      <c r="EQ36" s="246"/>
      <c r="ER36" s="246"/>
      <c r="ES36" s="246"/>
      <c r="ET36" s="246"/>
      <c r="EU36" s="246"/>
      <c r="EV36" s="246"/>
      <c r="EW36" s="246"/>
      <c r="EX36" s="246"/>
      <c r="EY36" s="246"/>
      <c r="EZ36" s="246"/>
      <c r="FA36" s="246"/>
      <c r="FB36" s="246"/>
      <c r="FC36" s="246"/>
      <c r="FD36" s="246"/>
      <c r="FE36" s="246"/>
      <c r="FF36" s="246"/>
      <c r="FG36" s="246"/>
      <c r="FH36" s="246"/>
      <c r="FI36" s="246"/>
      <c r="FJ36" s="246"/>
      <c r="FK36" s="246"/>
      <c r="FL36" s="246"/>
      <c r="FM36" s="246"/>
      <c r="FN36" s="246"/>
      <c r="FO36" s="246"/>
      <c r="FP36" s="246"/>
      <c r="FQ36" s="246"/>
      <c r="FR36" s="246"/>
      <c r="FS36" s="246"/>
      <c r="FT36" s="246"/>
      <c r="FU36" s="246"/>
      <c r="FV36" s="246"/>
      <c r="FW36" s="246"/>
      <c r="FX36" s="246"/>
      <c r="FY36" s="246"/>
      <c r="FZ36" s="246"/>
      <c r="GA36" s="246"/>
      <c r="GB36" s="246"/>
      <c r="GC36" s="246"/>
      <c r="GD36" s="246"/>
      <c r="GE36" s="246"/>
      <c r="GF36" s="246"/>
      <c r="GG36" s="246"/>
      <c r="GH36" s="246"/>
      <c r="GI36" s="246"/>
      <c r="GJ36" s="246"/>
      <c r="GK36" s="246"/>
      <c r="GL36" s="246"/>
      <c r="GM36" s="246"/>
      <c r="GN36" s="246"/>
      <c r="GO36" s="246"/>
      <c r="GP36" s="246"/>
      <c r="GQ36" s="246"/>
      <c r="GR36" s="246"/>
      <c r="GS36" s="246"/>
      <c r="GT36" s="246"/>
      <c r="GU36" s="246"/>
      <c r="GV36" s="246"/>
      <c r="GW36" s="246"/>
      <c r="GX36" s="246"/>
      <c r="GY36" s="246"/>
      <c r="GZ36" s="246"/>
      <c r="HA36" s="246"/>
      <c r="HB36" s="246"/>
      <c r="HC36" s="246"/>
      <c r="HD36" s="246"/>
      <c r="HE36" s="246"/>
      <c r="HF36" s="246"/>
      <c r="HG36" s="246"/>
      <c r="HH36" s="246"/>
      <c r="HI36" s="246"/>
      <c r="HJ36" s="246"/>
      <c r="HK36" s="246"/>
      <c r="HL36" s="246"/>
      <c r="HM36" s="246"/>
      <c r="HN36" s="246"/>
      <c r="HO36" s="246"/>
    </row>
    <row r="37" spans="1:29" ht="12.75" customHeight="1">
      <c r="A37" s="1043" t="s">
        <v>781</v>
      </c>
      <c r="B37" s="1044"/>
      <c r="C37" s="1045"/>
      <c r="D37" s="461">
        <v>63815</v>
      </c>
      <c r="E37" s="414">
        <v>371671</v>
      </c>
      <c r="F37" s="415">
        <f>SUM(D37:E37)</f>
        <v>435486</v>
      </c>
      <c r="G37" s="839"/>
      <c r="H37" s="840"/>
      <c r="I37" s="840"/>
      <c r="J37" s="841"/>
      <c r="K37" s="1039"/>
      <c r="L37" s="1107" t="s">
        <v>1189</v>
      </c>
      <c r="M37" s="1042"/>
      <c r="N37" s="1042"/>
      <c r="O37" s="1042"/>
      <c r="P37" s="437">
        <f>65850</f>
        <v>65850</v>
      </c>
      <c r="Q37" s="1039">
        <f>SUM(P37:P40)</f>
        <v>474026</v>
      </c>
      <c r="R37" s="842"/>
      <c r="S37" s="843"/>
      <c r="T37" s="843"/>
      <c r="U37" s="843"/>
      <c r="V37" s="436"/>
      <c r="W37" s="1039"/>
      <c r="X37" s="462"/>
      <c r="Y37" s="460"/>
      <c r="Z37" s="428"/>
      <c r="AA37" s="426"/>
      <c r="AB37" s="427"/>
      <c r="AC37" s="420"/>
    </row>
    <row r="38" spans="1:29" ht="12.75" customHeight="1">
      <c r="A38" s="548"/>
      <c r="B38" s="411"/>
      <c r="C38" s="412"/>
      <c r="D38" s="461"/>
      <c r="E38" s="414"/>
      <c r="F38" s="415"/>
      <c r="G38" s="553"/>
      <c r="H38" s="552"/>
      <c r="I38" s="552"/>
      <c r="J38" s="558"/>
      <c r="K38" s="1040"/>
      <c r="L38" s="1036" t="s">
        <v>1190</v>
      </c>
      <c r="M38" s="1037"/>
      <c r="N38" s="1037"/>
      <c r="O38" s="1037"/>
      <c r="P38" s="455">
        <v>373150</v>
      </c>
      <c r="Q38" s="1040"/>
      <c r="R38" s="672"/>
      <c r="S38" s="672"/>
      <c r="T38" s="672"/>
      <c r="U38" s="672"/>
      <c r="V38" s="435"/>
      <c r="W38" s="1040"/>
      <c r="X38" s="462"/>
      <c r="Y38" s="460"/>
      <c r="Z38" s="428"/>
      <c r="AA38" s="426"/>
      <c r="AB38" s="427"/>
      <c r="AC38" s="420"/>
    </row>
    <row r="39" spans="1:29" ht="12.75" customHeight="1">
      <c r="A39" s="548"/>
      <c r="B39" s="411"/>
      <c r="C39" s="412"/>
      <c r="D39" s="461"/>
      <c r="E39" s="414"/>
      <c r="F39" s="415"/>
      <c r="G39" s="553"/>
      <c r="H39" s="552"/>
      <c r="I39" s="552"/>
      <c r="J39" s="558"/>
      <c r="K39" s="1040"/>
      <c r="L39" s="1036" t="s">
        <v>226</v>
      </c>
      <c r="M39" s="1037"/>
      <c r="N39" s="1037"/>
      <c r="O39" s="1037"/>
      <c r="P39" s="455">
        <v>11195</v>
      </c>
      <c r="Q39" s="1040"/>
      <c r="R39" s="672"/>
      <c r="S39" s="672"/>
      <c r="T39" s="672"/>
      <c r="U39" s="672"/>
      <c r="V39" s="435"/>
      <c r="W39" s="1040"/>
      <c r="X39" s="462"/>
      <c r="Y39" s="460"/>
      <c r="Z39" s="428"/>
      <c r="AA39" s="426"/>
      <c r="AB39" s="427"/>
      <c r="AC39" s="420"/>
    </row>
    <row r="40" spans="1:29" ht="20.25" customHeight="1" thickBot="1">
      <c r="A40" s="463"/>
      <c r="B40" s="464"/>
      <c r="C40" s="465"/>
      <c r="D40" s="466"/>
      <c r="E40" s="467"/>
      <c r="F40" s="468"/>
      <c r="G40" s="601"/>
      <c r="H40" s="600"/>
      <c r="I40" s="600"/>
      <c r="J40" s="561"/>
      <c r="K40" s="1106"/>
      <c r="L40" s="1083" t="s">
        <v>963</v>
      </c>
      <c r="M40" s="1084"/>
      <c r="N40" s="1084"/>
      <c r="O40" s="1084"/>
      <c r="P40" s="455">
        <f>14291+9540</f>
        <v>23831</v>
      </c>
      <c r="Q40" s="1106"/>
      <c r="R40" s="433"/>
      <c r="S40" s="433"/>
      <c r="T40" s="433"/>
      <c r="U40" s="433"/>
      <c r="V40" s="433"/>
      <c r="W40" s="1106"/>
      <c r="X40" s="462"/>
      <c r="Y40" s="460"/>
      <c r="Z40" s="407"/>
      <c r="AA40" s="418"/>
      <c r="AB40" s="419"/>
      <c r="AC40" s="469"/>
    </row>
    <row r="41" spans="1:29" ht="14.25" customHeight="1" thickBot="1">
      <c r="A41" s="1068" t="s">
        <v>210</v>
      </c>
      <c r="B41" s="1069"/>
      <c r="C41" s="1070"/>
      <c r="D41" s="470">
        <f>SUM(D8:D40)</f>
        <v>933995</v>
      </c>
      <c r="E41" s="471">
        <f>SUM(E7:E40)</f>
        <v>1271881</v>
      </c>
      <c r="F41" s="472">
        <f>SUM(F7:F40)</f>
        <v>2205876</v>
      </c>
      <c r="G41" s="473"/>
      <c r="H41" s="1071" t="s">
        <v>211</v>
      </c>
      <c r="I41" s="1072"/>
      <c r="J41" s="1073"/>
      <c r="K41" s="474">
        <f>SUM(K7:K40)</f>
        <v>227041</v>
      </c>
      <c r="L41" s="477"/>
      <c r="M41" s="1085" t="s">
        <v>212</v>
      </c>
      <c r="N41" s="1085"/>
      <c r="O41" s="1085"/>
      <c r="P41" s="1086"/>
      <c r="Q41" s="476">
        <f>SUM(Q7:Q40)</f>
        <v>1450220</v>
      </c>
      <c r="R41" s="477"/>
      <c r="S41" s="1085" t="s">
        <v>213</v>
      </c>
      <c r="T41" s="1085"/>
      <c r="U41" s="1085"/>
      <c r="V41" s="1086"/>
      <c r="W41" s="478">
        <f>SUM(W7:W40)</f>
        <v>551019</v>
      </c>
      <c r="X41" s="479">
        <f>SUM(X7:X40)</f>
        <v>852670</v>
      </c>
      <c r="Y41" s="480">
        <f>SUM(Y7:Y40)</f>
        <v>1375610</v>
      </c>
      <c r="Z41" s="481">
        <f>SUM(X41:Y41)</f>
        <v>2228280</v>
      </c>
      <c r="AA41" s="482">
        <f>SUM(AA10:AA40)</f>
        <v>-81325</v>
      </c>
      <c r="AB41" s="483">
        <f>SUM(AB9:AB40)</f>
        <v>103729</v>
      </c>
      <c r="AC41" s="570">
        <f>SUM(AA41:AB41)</f>
        <v>22404</v>
      </c>
    </row>
    <row r="42" spans="1:29" ht="12.75" customHeight="1" thickBot="1" thickTop="1">
      <c r="A42" s="1087" t="s">
        <v>1191</v>
      </c>
      <c r="B42" s="1088"/>
      <c r="C42" s="1089"/>
      <c r="D42" s="1093" t="s">
        <v>611</v>
      </c>
      <c r="E42" s="1094"/>
      <c r="F42" s="1095"/>
      <c r="G42" s="1096" t="s">
        <v>842</v>
      </c>
      <c r="H42" s="1097"/>
      <c r="I42" s="1097"/>
      <c r="J42" s="1097"/>
      <c r="K42" s="1098"/>
      <c r="L42" s="1046" t="s">
        <v>843</v>
      </c>
      <c r="M42" s="1097"/>
      <c r="N42" s="1097"/>
      <c r="O42" s="1097"/>
      <c r="P42" s="1097"/>
      <c r="Q42" s="1098"/>
      <c r="R42" s="1046" t="s">
        <v>844</v>
      </c>
      <c r="S42" s="1097"/>
      <c r="T42" s="1097"/>
      <c r="U42" s="1097"/>
      <c r="V42" s="1097"/>
      <c r="W42" s="1104"/>
      <c r="X42" s="1054" t="s">
        <v>845</v>
      </c>
      <c r="Y42" s="1055"/>
      <c r="Z42" s="1055"/>
      <c r="AA42" s="1056" t="s">
        <v>204</v>
      </c>
      <c r="AB42" s="1057"/>
      <c r="AC42" s="1058"/>
    </row>
    <row r="43" spans="1:29" ht="12.75" customHeight="1" thickBot="1">
      <c r="A43" s="1090"/>
      <c r="B43" s="1091"/>
      <c r="C43" s="1092"/>
      <c r="D43" s="382" t="s">
        <v>205</v>
      </c>
      <c r="E43" s="383" t="s">
        <v>192</v>
      </c>
      <c r="F43" s="384" t="s">
        <v>206</v>
      </c>
      <c r="G43" s="1099"/>
      <c r="H43" s="1100"/>
      <c r="I43" s="1100"/>
      <c r="J43" s="1101"/>
      <c r="K43" s="1102"/>
      <c r="L43" s="1103"/>
      <c r="M43" s="1100"/>
      <c r="N43" s="1100"/>
      <c r="O43" s="1100"/>
      <c r="P43" s="1100"/>
      <c r="Q43" s="1102"/>
      <c r="R43" s="1103"/>
      <c r="S43" s="1100"/>
      <c r="T43" s="1100"/>
      <c r="U43" s="1100"/>
      <c r="V43" s="1100"/>
      <c r="W43" s="1105"/>
      <c r="X43" s="844" t="s">
        <v>205</v>
      </c>
      <c r="Y43" s="845" t="s">
        <v>192</v>
      </c>
      <c r="Z43" s="846" t="s">
        <v>206</v>
      </c>
      <c r="AA43" s="847" t="s">
        <v>205</v>
      </c>
      <c r="AB43" s="848" t="s">
        <v>192</v>
      </c>
      <c r="AC43" s="390" t="s">
        <v>206</v>
      </c>
    </row>
    <row r="44" spans="1:29" ht="13.5" customHeight="1">
      <c r="A44" s="391"/>
      <c r="B44" s="433"/>
      <c r="C44" s="433"/>
      <c r="D44" s="454"/>
      <c r="E44" s="433"/>
      <c r="F44" s="395"/>
      <c r="G44" s="1041" t="s">
        <v>752</v>
      </c>
      <c r="H44" s="1042"/>
      <c r="I44" s="1042"/>
      <c r="J44" s="437">
        <v>123156</v>
      </c>
      <c r="K44" s="1076">
        <f>SUM(J44:J51)</f>
        <v>169124</v>
      </c>
      <c r="L44" s="1077" t="s">
        <v>225</v>
      </c>
      <c r="M44" s="1078"/>
      <c r="N44" s="1078"/>
      <c r="O44" s="1078"/>
      <c r="P44" s="1079">
        <v>12000</v>
      </c>
      <c r="Q44" s="1039">
        <f>SUM(P44:P51)</f>
        <v>12276</v>
      </c>
      <c r="R44" s="1036" t="s">
        <v>862</v>
      </c>
      <c r="S44" s="1037"/>
      <c r="T44" s="1037"/>
      <c r="U44" s="1037"/>
      <c r="V44" s="399">
        <v>50</v>
      </c>
      <c r="W44" s="1081">
        <f>SUM(V44:V51)</f>
        <v>12664</v>
      </c>
      <c r="X44" s="484"/>
      <c r="Y44" s="485"/>
      <c r="Z44" s="486"/>
      <c r="AA44" s="391"/>
      <c r="AB44" s="408"/>
      <c r="AC44" s="409"/>
    </row>
    <row r="45" spans="1:29" ht="15" customHeight="1">
      <c r="A45" s="439"/>
      <c r="B45" s="431"/>
      <c r="C45" s="431"/>
      <c r="D45" s="487"/>
      <c r="E45" s="433"/>
      <c r="F45" s="434"/>
      <c r="G45" s="1136" t="s">
        <v>861</v>
      </c>
      <c r="H45" s="1084"/>
      <c r="I45" s="1084"/>
      <c r="J45" s="399">
        <f>21869+1721</f>
        <v>23590</v>
      </c>
      <c r="K45" s="1040"/>
      <c r="L45" s="1036"/>
      <c r="M45" s="1037"/>
      <c r="N45" s="1037"/>
      <c r="O45" s="1037"/>
      <c r="P45" s="1080"/>
      <c r="Q45" s="1040"/>
      <c r="R45" s="1083" t="s">
        <v>863</v>
      </c>
      <c r="S45" s="1084"/>
      <c r="T45" s="1084"/>
      <c r="U45" s="1084"/>
      <c r="V45" s="399">
        <v>50</v>
      </c>
      <c r="W45" s="1082"/>
      <c r="X45" s="488"/>
      <c r="Y45" s="417"/>
      <c r="Z45" s="407"/>
      <c r="AA45" s="418"/>
      <c r="AB45" s="419"/>
      <c r="AC45" s="420"/>
    </row>
    <row r="46" spans="1:29" ht="15" customHeight="1">
      <c r="A46" s="439"/>
      <c r="B46" s="1044" t="s">
        <v>780</v>
      </c>
      <c r="C46" s="1045"/>
      <c r="D46" s="461">
        <v>183550</v>
      </c>
      <c r="E46" s="414">
        <v>615</v>
      </c>
      <c r="F46" s="415">
        <f>SUM(D46:E46)</f>
        <v>184165</v>
      </c>
      <c r="G46" s="398" t="s">
        <v>864</v>
      </c>
      <c r="H46" s="398"/>
      <c r="I46" s="398"/>
      <c r="J46" s="399">
        <v>13202</v>
      </c>
      <c r="K46" s="1040"/>
      <c r="L46" s="1036" t="s">
        <v>223</v>
      </c>
      <c r="M46" s="1037"/>
      <c r="N46" s="1037"/>
      <c r="O46" s="1037"/>
      <c r="P46" s="1080">
        <v>276</v>
      </c>
      <c r="Q46" s="1040"/>
      <c r="R46" s="1083" t="s">
        <v>865</v>
      </c>
      <c r="S46" s="1084"/>
      <c r="T46" s="1084"/>
      <c r="U46" s="1084"/>
      <c r="V46" s="565">
        <v>120</v>
      </c>
      <c r="W46" s="1082"/>
      <c r="X46" s="488">
        <f>SUM(W44,Q44,K44)</f>
        <v>194064</v>
      </c>
      <c r="Y46" s="417">
        <v>0</v>
      </c>
      <c r="Z46" s="428">
        <f>SUM(Y46,X46)</f>
        <v>194064</v>
      </c>
      <c r="AA46" s="426">
        <f>X46-D46</f>
        <v>10514</v>
      </c>
      <c r="AB46" s="427">
        <f>Y46-E46</f>
        <v>-615</v>
      </c>
      <c r="AC46" s="420">
        <f>SUM(AA46:AB46)</f>
        <v>9899</v>
      </c>
    </row>
    <row r="47" spans="1:29" ht="15.75" customHeight="1">
      <c r="A47" s="439"/>
      <c r="B47" s="431"/>
      <c r="C47" s="431"/>
      <c r="D47" s="849"/>
      <c r="E47" s="850"/>
      <c r="F47" s="851"/>
      <c r="G47" s="398" t="s">
        <v>867</v>
      </c>
      <c r="H47" s="398"/>
      <c r="I47" s="398"/>
      <c r="J47" s="399">
        <v>350</v>
      </c>
      <c r="K47" s="1040"/>
      <c r="L47" s="1036"/>
      <c r="M47" s="1037"/>
      <c r="N47" s="1037"/>
      <c r="O47" s="1037"/>
      <c r="P47" s="1080"/>
      <c r="Q47" s="1040"/>
      <c r="R47" s="1083" t="s">
        <v>866</v>
      </c>
      <c r="S47" s="1084"/>
      <c r="T47" s="1084"/>
      <c r="U47" s="1084"/>
      <c r="V47" s="399">
        <v>7599</v>
      </c>
      <c r="W47" s="1082"/>
      <c r="X47" s="488"/>
      <c r="Y47" s="417"/>
      <c r="Z47" s="407"/>
      <c r="AA47" s="418"/>
      <c r="AB47" s="419"/>
      <c r="AC47" s="420"/>
    </row>
    <row r="48" spans="1:29" ht="15.75" customHeight="1">
      <c r="A48" s="439"/>
      <c r="B48" s="431"/>
      <c r="C48" s="431"/>
      <c r="D48" s="849"/>
      <c r="E48" s="850"/>
      <c r="F48" s="851"/>
      <c r="G48" s="1084" t="s">
        <v>954</v>
      </c>
      <c r="H48" s="1084"/>
      <c r="I48" s="1084"/>
      <c r="J48" s="399">
        <v>7077</v>
      </c>
      <c r="K48" s="1040"/>
      <c r="L48" s="397"/>
      <c r="M48" s="398"/>
      <c r="N48" s="398"/>
      <c r="O48" s="398"/>
      <c r="P48" s="399"/>
      <c r="Q48" s="1040"/>
      <c r="R48" s="1083" t="s">
        <v>227</v>
      </c>
      <c r="S48" s="1084"/>
      <c r="T48" s="1084"/>
      <c r="U48" s="1084"/>
      <c r="V48" s="399">
        <v>1596</v>
      </c>
      <c r="W48" s="1082"/>
      <c r="X48" s="488"/>
      <c r="Y48" s="417"/>
      <c r="Z48" s="407"/>
      <c r="AA48" s="418"/>
      <c r="AB48" s="419"/>
      <c r="AC48" s="420"/>
    </row>
    <row r="49" spans="1:29" ht="15">
      <c r="A49" s="439"/>
      <c r="B49" s="431"/>
      <c r="C49" s="431"/>
      <c r="D49" s="849"/>
      <c r="E49" s="850"/>
      <c r="F49" s="851"/>
      <c r="G49" s="1038" t="s">
        <v>1072</v>
      </c>
      <c r="H49" s="1037"/>
      <c r="I49" s="1037"/>
      <c r="J49" s="399">
        <v>171</v>
      </c>
      <c r="K49" s="1040"/>
      <c r="L49" s="397"/>
      <c r="M49" s="398" t="s">
        <v>208</v>
      </c>
      <c r="N49" s="398"/>
      <c r="O49" s="398"/>
      <c r="P49" s="399"/>
      <c r="Q49" s="1040"/>
      <c r="R49" s="1083" t="s">
        <v>868</v>
      </c>
      <c r="S49" s="1084"/>
      <c r="T49" s="1084"/>
      <c r="U49" s="1084"/>
      <c r="V49" s="435">
        <v>15</v>
      </c>
      <c r="W49" s="1082"/>
      <c r="X49" s="488"/>
      <c r="Y49" s="417"/>
      <c r="Z49" s="407"/>
      <c r="AA49" s="418"/>
      <c r="AB49" s="419"/>
      <c r="AC49" s="420"/>
    </row>
    <row r="50" spans="1:29" ht="15">
      <c r="A50" s="439"/>
      <c r="B50" s="431"/>
      <c r="C50" s="431"/>
      <c r="D50" s="849"/>
      <c r="E50" s="850"/>
      <c r="F50" s="851"/>
      <c r="G50" s="1038" t="s">
        <v>1073</v>
      </c>
      <c r="H50" s="1037"/>
      <c r="I50" s="1037"/>
      <c r="J50" s="399">
        <v>1578</v>
      </c>
      <c r="K50" s="1040"/>
      <c r="L50" s="397"/>
      <c r="M50" s="398"/>
      <c r="N50" s="398"/>
      <c r="O50" s="398"/>
      <c r="P50" s="399"/>
      <c r="Q50" s="1040"/>
      <c r="R50" s="1036" t="s">
        <v>1078</v>
      </c>
      <c r="S50" s="1037"/>
      <c r="T50" s="1037"/>
      <c r="U50" s="1037"/>
      <c r="V50" s="399">
        <v>3234</v>
      </c>
      <c r="W50" s="1082"/>
      <c r="X50" s="399"/>
      <c r="Y50" s="419"/>
      <c r="Z50" s="407"/>
      <c r="AA50" s="418"/>
      <c r="AB50" s="419"/>
      <c r="AC50" s="420"/>
    </row>
    <row r="51" spans="1:29" ht="15.75" thickBot="1">
      <c r="A51" s="439"/>
      <c r="B51" s="431"/>
      <c r="C51" s="431"/>
      <c r="D51" s="849"/>
      <c r="E51" s="850"/>
      <c r="F51" s="851"/>
      <c r="K51" s="1040"/>
      <c r="L51" s="397"/>
      <c r="M51" s="398"/>
      <c r="N51" s="398"/>
      <c r="O51" s="398"/>
      <c r="P51" s="399"/>
      <c r="Q51" s="1040"/>
      <c r="R51" s="1063"/>
      <c r="S51" s="1064"/>
      <c r="T51" s="1064"/>
      <c r="U51" s="1064"/>
      <c r="V51" s="554"/>
      <c r="W51" s="1082"/>
      <c r="X51" s="418"/>
      <c r="Y51" s="419"/>
      <c r="Z51" s="407"/>
      <c r="AA51" s="418"/>
      <c r="AB51" s="419"/>
      <c r="AC51" s="420"/>
    </row>
    <row r="52" spans="1:29" ht="16.5" thickBot="1">
      <c r="A52" s="489"/>
      <c r="B52" s="1065" t="s">
        <v>859</v>
      </c>
      <c r="C52" s="1066"/>
      <c r="D52" s="490">
        <v>15</v>
      </c>
      <c r="E52" s="491">
        <v>0</v>
      </c>
      <c r="F52" s="492">
        <f>SUM(D52:E52)</f>
        <v>15</v>
      </c>
      <c r="G52" s="1067" t="s">
        <v>869</v>
      </c>
      <c r="H52" s="1067"/>
      <c r="I52" s="1067"/>
      <c r="J52" s="493">
        <v>15</v>
      </c>
      <c r="K52" s="494">
        <f>SUM(J52)</f>
        <v>15</v>
      </c>
      <c r="L52" s="495"/>
      <c r="M52" s="496"/>
      <c r="N52" s="496"/>
      <c r="O52" s="496"/>
      <c r="P52" s="497"/>
      <c r="Q52" s="494"/>
      <c r="R52" s="496"/>
      <c r="S52" s="496"/>
      <c r="T52" s="496"/>
      <c r="U52" s="496"/>
      <c r="V52" s="498"/>
      <c r="W52" s="499">
        <v>0</v>
      </c>
      <c r="X52" s="852">
        <f>SUM(W52,Q52,K52)</f>
        <v>15</v>
      </c>
      <c r="Y52" s="853">
        <v>0</v>
      </c>
      <c r="Z52" s="854">
        <f>SUM(X52:Y52)</f>
        <v>15</v>
      </c>
      <c r="AA52" s="500">
        <f>X52-D52</f>
        <v>0</v>
      </c>
      <c r="AB52" s="501">
        <v>0</v>
      </c>
      <c r="AC52" s="502">
        <v>0</v>
      </c>
    </row>
    <row r="53" spans="1:29" ht="19.5" customHeight="1">
      <c r="A53" s="439"/>
      <c r="B53" s="411"/>
      <c r="C53" s="411"/>
      <c r="D53" s="461"/>
      <c r="E53" s="414"/>
      <c r="F53" s="851"/>
      <c r="G53" s="398"/>
      <c r="H53" s="398"/>
      <c r="I53" s="398"/>
      <c r="J53" s="503"/>
      <c r="K53" s="504"/>
      <c r="L53" s="452"/>
      <c r="M53" s="433"/>
      <c r="N53" s="433"/>
      <c r="O53" s="433"/>
      <c r="P53" s="505"/>
      <c r="Q53" s="504"/>
      <c r="R53" s="433"/>
      <c r="S53" s="433"/>
      <c r="T53" s="433"/>
      <c r="U53" s="433"/>
      <c r="V53" s="433"/>
      <c r="W53" s="506"/>
      <c r="X53" s="507"/>
      <c r="Y53" s="460"/>
      <c r="Z53" s="407"/>
      <c r="AA53" s="418"/>
      <c r="AB53" s="419"/>
      <c r="AC53" s="420"/>
    </row>
    <row r="54" spans="1:29" ht="15.75" customHeight="1" thickBot="1">
      <c r="A54" s="1068" t="s">
        <v>214</v>
      </c>
      <c r="B54" s="1069"/>
      <c r="C54" s="1070"/>
      <c r="D54" s="470">
        <f>SUM(D44:D53)</f>
        <v>183565</v>
      </c>
      <c r="E54" s="471">
        <f>SUM(E44:E53)</f>
        <v>615</v>
      </c>
      <c r="F54" s="472">
        <f>SUM(F44:F53)</f>
        <v>184180</v>
      </c>
      <c r="G54" s="508"/>
      <c r="H54" s="1071" t="s">
        <v>211</v>
      </c>
      <c r="I54" s="1072"/>
      <c r="J54" s="1073"/>
      <c r="K54" s="476">
        <f>SUM(K44:K52)</f>
        <v>169139</v>
      </c>
      <c r="L54" s="475"/>
      <c r="M54" s="1074" t="s">
        <v>212</v>
      </c>
      <c r="N54" s="1074"/>
      <c r="O54" s="1074"/>
      <c r="P54" s="1075"/>
      <c r="Q54" s="476">
        <f>SUM(Q44:Q52)</f>
        <v>12276</v>
      </c>
      <c r="R54" s="473"/>
      <c r="S54" s="1074" t="s">
        <v>213</v>
      </c>
      <c r="T54" s="1074"/>
      <c r="U54" s="1074"/>
      <c r="V54" s="1075"/>
      <c r="W54" s="509">
        <f>SUM(W44:W52)</f>
        <v>12664</v>
      </c>
      <c r="X54" s="510">
        <f>SUM(X44:X52)</f>
        <v>194079</v>
      </c>
      <c r="Y54" s="511">
        <v>0</v>
      </c>
      <c r="Z54" s="512">
        <f>SUM(X54:Y54)</f>
        <v>194079</v>
      </c>
      <c r="AA54" s="513">
        <f>X54-D54</f>
        <v>10514</v>
      </c>
      <c r="AB54" s="514">
        <f>Y54-E54</f>
        <v>-615</v>
      </c>
      <c r="AC54" s="515">
        <f>SUM(AA54:AB54)</f>
        <v>9899</v>
      </c>
    </row>
    <row r="55" spans="1:29" ht="25.5" customHeight="1" thickBot="1" thickTop="1">
      <c r="A55" s="516"/>
      <c r="B55" s="517"/>
      <c r="C55" s="517"/>
      <c r="D55" s="518"/>
      <c r="E55" s="519"/>
      <c r="F55" s="520"/>
      <c r="G55" s="519"/>
      <c r="H55" s="519"/>
      <c r="I55" s="521"/>
      <c r="J55" s="521"/>
      <c r="K55" s="522"/>
      <c r="L55" s="523"/>
      <c r="M55" s="519"/>
      <c r="N55" s="519"/>
      <c r="O55" s="519"/>
      <c r="P55" s="519"/>
      <c r="Q55" s="522"/>
      <c r="R55" s="519"/>
      <c r="S55" s="519"/>
      <c r="T55" s="519"/>
      <c r="U55" s="519"/>
      <c r="V55" s="519"/>
      <c r="W55" s="524"/>
      <c r="X55" s="525"/>
      <c r="Y55" s="526"/>
      <c r="Z55" s="527"/>
      <c r="AA55" s="516"/>
      <c r="AB55" s="528"/>
      <c r="AC55" s="529"/>
    </row>
    <row r="56" spans="1:29" ht="28.5" customHeight="1" thickBot="1" thickTop="1">
      <c r="A56" s="1087" t="s">
        <v>877</v>
      </c>
      <c r="B56" s="1128"/>
      <c r="C56" s="1128"/>
      <c r="D56" s="1093" t="s">
        <v>611</v>
      </c>
      <c r="E56" s="1094"/>
      <c r="F56" s="1095"/>
      <c r="G56" s="1096" t="s">
        <v>842</v>
      </c>
      <c r="H56" s="1131"/>
      <c r="I56" s="1131"/>
      <c r="J56" s="1131"/>
      <c r="K56" s="1132"/>
      <c r="L56" s="1046" t="s">
        <v>843</v>
      </c>
      <c r="M56" s="1047"/>
      <c r="N56" s="1047"/>
      <c r="O56" s="1047"/>
      <c r="P56" s="1047"/>
      <c r="Q56" s="1048"/>
      <c r="R56" s="1046" t="s">
        <v>844</v>
      </c>
      <c r="S56" s="1047"/>
      <c r="T56" s="1047"/>
      <c r="U56" s="1047"/>
      <c r="V56" s="1047"/>
      <c r="W56" s="1052"/>
      <c r="X56" s="1054" t="s">
        <v>845</v>
      </c>
      <c r="Y56" s="1055"/>
      <c r="Z56" s="1055"/>
      <c r="AA56" s="1056" t="s">
        <v>204</v>
      </c>
      <c r="AB56" s="1057"/>
      <c r="AC56" s="1058"/>
    </row>
    <row r="57" spans="1:29" ht="14.25" customHeight="1" thickBot="1">
      <c r="A57" s="1129"/>
      <c r="B57" s="1130"/>
      <c r="C57" s="1130"/>
      <c r="D57" s="382" t="s">
        <v>205</v>
      </c>
      <c r="E57" s="383" t="s">
        <v>192</v>
      </c>
      <c r="F57" s="384" t="s">
        <v>206</v>
      </c>
      <c r="G57" s="1133"/>
      <c r="H57" s="1134"/>
      <c r="I57" s="1134"/>
      <c r="J57" s="1134"/>
      <c r="K57" s="1135"/>
      <c r="L57" s="1049"/>
      <c r="M57" s="1050"/>
      <c r="N57" s="1050"/>
      <c r="O57" s="1050"/>
      <c r="P57" s="1050"/>
      <c r="Q57" s="1051"/>
      <c r="R57" s="1049"/>
      <c r="S57" s="1050"/>
      <c r="T57" s="1050"/>
      <c r="U57" s="1050"/>
      <c r="V57" s="1050"/>
      <c r="W57" s="1053"/>
      <c r="X57" s="844" t="s">
        <v>205</v>
      </c>
      <c r="Y57" s="855" t="s">
        <v>192</v>
      </c>
      <c r="Z57" s="387" t="s">
        <v>206</v>
      </c>
      <c r="AA57" s="856" t="s">
        <v>205</v>
      </c>
      <c r="AB57" s="848" t="s">
        <v>192</v>
      </c>
      <c r="AC57" s="390" t="s">
        <v>206</v>
      </c>
    </row>
    <row r="58" spans="1:29" ht="25.5" customHeight="1">
      <c r="A58" s="439"/>
      <c r="B58" s="433"/>
      <c r="C58" s="433"/>
      <c r="D58" s="454"/>
      <c r="E58" s="530"/>
      <c r="F58" s="434"/>
      <c r="G58" s="1136" t="s">
        <v>765</v>
      </c>
      <c r="H58" s="1084"/>
      <c r="I58" s="1084"/>
      <c r="J58" s="455">
        <v>15143</v>
      </c>
      <c r="K58" s="1039">
        <f>SUM(J58:J64)</f>
        <v>151921</v>
      </c>
      <c r="L58" s="452"/>
      <c r="M58" s="433"/>
      <c r="N58" s="433"/>
      <c r="O58" s="433"/>
      <c r="P58" s="433"/>
      <c r="Q58" s="1039"/>
      <c r="R58" s="530"/>
      <c r="S58" s="530"/>
      <c r="T58" s="530"/>
      <c r="U58" s="530"/>
      <c r="V58" s="530"/>
      <c r="W58" s="1060">
        <f>SUM(V59:V64)</f>
        <v>19050</v>
      </c>
      <c r="X58" s="433"/>
      <c r="Y58" s="454"/>
      <c r="Z58" s="531"/>
      <c r="AA58" s="439"/>
      <c r="AB58" s="454"/>
      <c r="AC58" s="409"/>
    </row>
    <row r="59" spans="1:29" ht="15" customHeight="1">
      <c r="A59" s="439"/>
      <c r="B59" s="433"/>
      <c r="C59" s="433"/>
      <c r="D59" s="454"/>
      <c r="E59" s="530"/>
      <c r="F59" s="434"/>
      <c r="G59" s="1037" t="s">
        <v>221</v>
      </c>
      <c r="H59" s="1037"/>
      <c r="I59" s="1037"/>
      <c r="J59" s="455">
        <v>7408</v>
      </c>
      <c r="K59" s="1040"/>
      <c r="L59" s="857"/>
      <c r="M59" s="858"/>
      <c r="N59" s="858"/>
      <c r="O59" s="858"/>
      <c r="P59" s="551"/>
      <c r="Q59" s="1040"/>
      <c r="R59" s="1036" t="s">
        <v>870</v>
      </c>
      <c r="S59" s="1137"/>
      <c r="T59" s="1137"/>
      <c r="U59" s="1137"/>
      <c r="V59" s="566">
        <f>8722-712</f>
        <v>8010</v>
      </c>
      <c r="W59" s="1061"/>
      <c r="X59" s="399"/>
      <c r="Y59" s="419"/>
      <c r="Z59" s="407"/>
      <c r="AA59" s="418"/>
      <c r="AB59" s="419"/>
      <c r="AC59" s="420"/>
    </row>
    <row r="60" spans="1:29" ht="15" customHeight="1">
      <c r="A60" s="1033" t="s">
        <v>780</v>
      </c>
      <c r="B60" s="1034"/>
      <c r="C60" s="1035"/>
      <c r="D60" s="461">
        <v>202070</v>
      </c>
      <c r="E60" s="414">
        <v>1204</v>
      </c>
      <c r="F60" s="415">
        <f>SUM(D60:E60)</f>
        <v>203274</v>
      </c>
      <c r="G60" s="1038" t="s">
        <v>760</v>
      </c>
      <c r="H60" s="1037"/>
      <c r="I60" s="1037"/>
      <c r="J60" s="455">
        <v>110979</v>
      </c>
      <c r="K60" s="1040"/>
      <c r="L60" s="452"/>
      <c r="M60" s="433"/>
      <c r="N60" s="433"/>
      <c r="O60" s="433"/>
      <c r="P60" s="433"/>
      <c r="Q60" s="1040"/>
      <c r="R60" s="1083" t="s">
        <v>871</v>
      </c>
      <c r="S60" s="1084"/>
      <c r="T60" s="1084"/>
      <c r="U60" s="1084"/>
      <c r="V60" s="566">
        <v>108</v>
      </c>
      <c r="W60" s="1061"/>
      <c r="X60" s="532">
        <f>SUM(W58+Q58+K58)</f>
        <v>170971</v>
      </c>
      <c r="Y60" s="427">
        <v>0</v>
      </c>
      <c r="Z60" s="428">
        <f>SUM(X60:Y60)</f>
        <v>170971</v>
      </c>
      <c r="AA60" s="533">
        <f>X60-D60</f>
        <v>-31099</v>
      </c>
      <c r="AB60" s="427">
        <f>Y60-E60</f>
        <v>-1204</v>
      </c>
      <c r="AC60" s="429">
        <f>SUM(AA60:AB60)</f>
        <v>-32303</v>
      </c>
    </row>
    <row r="61" spans="1:29" ht="15.75" customHeight="1">
      <c r="A61" s="410"/>
      <c r="B61" s="381"/>
      <c r="C61" s="249"/>
      <c r="D61" s="461"/>
      <c r="E61" s="414"/>
      <c r="F61" s="415"/>
      <c r="G61" s="1037" t="s">
        <v>491</v>
      </c>
      <c r="H61" s="1037"/>
      <c r="I61" s="1037"/>
      <c r="J61" s="455">
        <v>12835</v>
      </c>
      <c r="K61" s="1040"/>
      <c r="L61" s="452"/>
      <c r="M61" s="433"/>
      <c r="N61" s="433"/>
      <c r="O61" s="433"/>
      <c r="P61" s="534"/>
      <c r="Q61" s="1040"/>
      <c r="R61" s="1083" t="s">
        <v>868</v>
      </c>
      <c r="S61" s="1084"/>
      <c r="T61" s="1084"/>
      <c r="U61" s="1084"/>
      <c r="V61" s="567">
        <v>25</v>
      </c>
      <c r="W61" s="1061"/>
      <c r="X61" s="488"/>
      <c r="Y61" s="417"/>
      <c r="Z61" s="428"/>
      <c r="AA61" s="426"/>
      <c r="AB61" s="427"/>
      <c r="AC61" s="420"/>
    </row>
    <row r="62" spans="1:29" ht="16.5" customHeight="1">
      <c r="A62" s="410"/>
      <c r="B62" s="381"/>
      <c r="C62" s="249"/>
      <c r="D62" s="461"/>
      <c r="E62" s="414"/>
      <c r="F62" s="415"/>
      <c r="G62" s="1038" t="s">
        <v>953</v>
      </c>
      <c r="H62" s="1037"/>
      <c r="I62" s="1037"/>
      <c r="J62" s="728">
        <v>4102</v>
      </c>
      <c r="K62" s="1040"/>
      <c r="L62" s="452"/>
      <c r="M62" s="433"/>
      <c r="N62" s="433"/>
      <c r="O62" s="433"/>
      <c r="P62" s="534"/>
      <c r="Q62" s="1040"/>
      <c r="R62" s="1036" t="s">
        <v>1192</v>
      </c>
      <c r="S62" s="1037"/>
      <c r="T62" s="1037"/>
      <c r="U62" s="1037"/>
      <c r="V62" s="566">
        <f>1281+9549</f>
        <v>10830</v>
      </c>
      <c r="W62" s="1061"/>
      <c r="X62" s="488"/>
      <c r="Y62" s="417"/>
      <c r="Z62" s="428"/>
      <c r="AA62" s="426"/>
      <c r="AB62" s="427"/>
      <c r="AC62" s="420"/>
    </row>
    <row r="63" spans="1:29" ht="47.25" customHeight="1">
      <c r="A63" s="410"/>
      <c r="B63" s="381"/>
      <c r="C63" s="249"/>
      <c r="D63" s="461"/>
      <c r="E63" s="414"/>
      <c r="F63" s="415"/>
      <c r="G63" s="1038" t="s">
        <v>1072</v>
      </c>
      <c r="H63" s="1037"/>
      <c r="I63" s="1037"/>
      <c r="J63" s="399">
        <v>123</v>
      </c>
      <c r="K63" s="1040"/>
      <c r="L63" s="452"/>
      <c r="M63" s="433"/>
      <c r="N63" s="433"/>
      <c r="O63" s="433"/>
      <c r="P63" s="534"/>
      <c r="Q63" s="1040"/>
      <c r="R63" s="1036" t="s">
        <v>1079</v>
      </c>
      <c r="S63" s="1037"/>
      <c r="T63" s="1037"/>
      <c r="U63" s="1037"/>
      <c r="V63" s="392">
        <v>77</v>
      </c>
      <c r="W63" s="1061"/>
      <c r="X63" s="488"/>
      <c r="Y63" s="417"/>
      <c r="Z63" s="428"/>
      <c r="AA63" s="426"/>
      <c r="AB63" s="427"/>
      <c r="AC63" s="420"/>
    </row>
    <row r="64" spans="1:29" ht="15.75" thickBot="1">
      <c r="A64" s="410"/>
      <c r="B64" s="381"/>
      <c r="C64" s="249"/>
      <c r="D64" s="461"/>
      <c r="E64" s="414"/>
      <c r="F64" s="415"/>
      <c r="G64" s="1038" t="s">
        <v>1073</v>
      </c>
      <c r="H64" s="1037"/>
      <c r="I64" s="1037"/>
      <c r="J64" s="399">
        <v>1331</v>
      </c>
      <c r="K64" s="1059"/>
      <c r="L64" s="433"/>
      <c r="M64" s="433"/>
      <c r="N64" s="433"/>
      <c r="O64" s="433"/>
      <c r="P64" s="534"/>
      <c r="Q64" s="1059"/>
      <c r="R64" s="750"/>
      <c r="S64" s="749"/>
      <c r="T64" s="749"/>
      <c r="U64" s="749"/>
      <c r="V64" s="758"/>
      <c r="W64" s="1062"/>
      <c r="X64" s="488"/>
      <c r="Y64" s="417"/>
      <c r="Z64" s="428"/>
      <c r="AA64" s="426"/>
      <c r="AB64" s="427"/>
      <c r="AC64" s="420"/>
    </row>
    <row r="65" spans="1:29" ht="15.75">
      <c r="A65" s="653"/>
      <c r="B65" s="654"/>
      <c r="C65" s="654"/>
      <c r="D65" s="655"/>
      <c r="E65" s="656"/>
      <c r="F65" s="657"/>
      <c r="G65" s="839"/>
      <c r="H65" s="840"/>
      <c r="I65" s="840"/>
      <c r="J65" s="729"/>
      <c r="K65" s="1039">
        <f>SUM(J65:J67)</f>
        <v>0</v>
      </c>
      <c r="L65" s="1041" t="s">
        <v>959</v>
      </c>
      <c r="M65" s="1042"/>
      <c r="N65" s="1042"/>
      <c r="O65" s="1042"/>
      <c r="P65" s="729">
        <v>6245</v>
      </c>
      <c r="Q65" s="1039">
        <f>SUM(P65:P67)</f>
        <v>6245</v>
      </c>
      <c r="R65" s="530"/>
      <c r="S65" s="530"/>
      <c r="T65" s="530"/>
      <c r="U65" s="530"/>
      <c r="V65" s="530"/>
      <c r="W65" s="535"/>
      <c r="X65" s="647"/>
      <c r="Y65" s="648"/>
      <c r="Z65" s="649"/>
      <c r="AA65" s="650"/>
      <c r="AB65" s="651"/>
      <c r="AC65" s="652"/>
    </row>
    <row r="66" spans="1:29" ht="15.75">
      <c r="A66" s="1043" t="s">
        <v>781</v>
      </c>
      <c r="B66" s="1044"/>
      <c r="C66" s="1045"/>
      <c r="D66" s="461">
        <v>6245</v>
      </c>
      <c r="E66" s="414">
        <v>0</v>
      </c>
      <c r="F66" s="415">
        <f>SUM(D66:E66)</f>
        <v>6245</v>
      </c>
      <c r="G66" s="553"/>
      <c r="H66" s="552"/>
      <c r="I66" s="552"/>
      <c r="J66" s="629"/>
      <c r="K66" s="1040"/>
      <c r="L66" s="842"/>
      <c r="M66" s="843"/>
      <c r="N66" s="843"/>
      <c r="O66" s="843"/>
      <c r="P66" s="399"/>
      <c r="Q66" s="1040"/>
      <c r="R66" s="859"/>
      <c r="S66" s="860"/>
      <c r="T66" s="860"/>
      <c r="U66" s="860"/>
      <c r="V66" s="563"/>
      <c r="W66" s="535"/>
      <c r="X66" s="488">
        <f>SUM(K66+Q65+W66)</f>
        <v>6245</v>
      </c>
      <c r="Y66" s="417">
        <v>0</v>
      </c>
      <c r="Z66" s="428">
        <f>SUM(X66:Y66)</f>
        <v>6245</v>
      </c>
      <c r="AA66" s="533">
        <f>X66-D66</f>
        <v>0</v>
      </c>
      <c r="AB66" s="427">
        <f>Y66-E66</f>
        <v>0</v>
      </c>
      <c r="AC66" s="429">
        <f>SUM(AA66:AB66)</f>
        <v>0</v>
      </c>
    </row>
    <row r="67" spans="1:29" ht="17.25" customHeight="1" thickBot="1">
      <c r="A67" s="410"/>
      <c r="B67" s="381"/>
      <c r="C67" s="249"/>
      <c r="D67" s="461"/>
      <c r="E67" s="414"/>
      <c r="F67" s="415"/>
      <c r="G67" s="553"/>
      <c r="H67" s="552"/>
      <c r="I67" s="552"/>
      <c r="J67" s="629"/>
      <c r="K67" s="1040"/>
      <c r="L67" s="452"/>
      <c r="M67" s="433"/>
      <c r="N67" s="433"/>
      <c r="O67" s="433"/>
      <c r="P67" s="433"/>
      <c r="Q67" s="1040"/>
      <c r="R67" s="552"/>
      <c r="S67" s="552"/>
      <c r="T67" s="552"/>
      <c r="U67" s="552"/>
      <c r="V67" s="563"/>
      <c r="W67" s="535"/>
      <c r="X67" s="488"/>
      <c r="Y67" s="417"/>
      <c r="Z67" s="428"/>
      <c r="AA67" s="426"/>
      <c r="AB67" s="427"/>
      <c r="AC67" s="420"/>
    </row>
    <row r="68" spans="1:29" ht="51" customHeight="1" thickBot="1" thickTop="1">
      <c r="A68" s="1122" t="s">
        <v>215</v>
      </c>
      <c r="B68" s="1123"/>
      <c r="C68" s="1124"/>
      <c r="D68" s="549">
        <f>SUM(D59:D67)</f>
        <v>208315</v>
      </c>
      <c r="E68" s="550">
        <f>SUM(E59:E67)</f>
        <v>1204</v>
      </c>
      <c r="F68" s="861">
        <f>SUM(D68:E68)</f>
        <v>209519</v>
      </c>
      <c r="G68" s="862"/>
      <c r="H68" s="1125" t="s">
        <v>211</v>
      </c>
      <c r="I68" s="1126"/>
      <c r="J68" s="1127"/>
      <c r="K68" s="568">
        <f>SUM(K58:K67)</f>
        <v>151921</v>
      </c>
      <c r="L68" s="477"/>
      <c r="M68" s="1085" t="s">
        <v>212</v>
      </c>
      <c r="N68" s="1085"/>
      <c r="O68" s="1085"/>
      <c r="P68" s="1086"/>
      <c r="Q68" s="568">
        <f>SUM(Q58:Q67)</f>
        <v>6245</v>
      </c>
      <c r="R68" s="569"/>
      <c r="S68" s="1085" t="s">
        <v>213</v>
      </c>
      <c r="T68" s="1085"/>
      <c r="U68" s="1085"/>
      <c r="V68" s="1086"/>
      <c r="W68" s="863">
        <f>SUM(W58:W67)</f>
        <v>19050</v>
      </c>
      <c r="X68" s="536">
        <f>SUM(X57:X67)</f>
        <v>177216</v>
      </c>
      <c r="Y68" s="537">
        <f>SUM(Y57:Y67)</f>
        <v>0</v>
      </c>
      <c r="Z68" s="538">
        <f>SUM(X68:Y68)</f>
        <v>177216</v>
      </c>
      <c r="AA68" s="536">
        <f>X68-D68</f>
        <v>-31099</v>
      </c>
      <c r="AB68" s="539">
        <f>Y68-E68</f>
        <v>-1204</v>
      </c>
      <c r="AC68" s="538">
        <f>SUM(AA68:AB68)</f>
        <v>-32303</v>
      </c>
    </row>
    <row r="69" spans="1:29" ht="20.25" thickBot="1" thickTop="1">
      <c r="A69" s="1025" t="s">
        <v>614</v>
      </c>
      <c r="B69" s="1026"/>
      <c r="C69" s="1027"/>
      <c r="D69" s="540">
        <f>SUM(D68,D54,D41)</f>
        <v>1325875</v>
      </c>
      <c r="E69" s="541">
        <f>SUM(E68,E54,E41)</f>
        <v>1273700</v>
      </c>
      <c r="F69" s="864">
        <f>SUM(D69:E69)</f>
        <v>2599575</v>
      </c>
      <c r="G69" s="815"/>
      <c r="H69" s="1028" t="s">
        <v>216</v>
      </c>
      <c r="I69" s="1029"/>
      <c r="J69" s="1030"/>
      <c r="K69" s="542">
        <f>SUM(K68,K54,K41)</f>
        <v>548101</v>
      </c>
      <c r="L69" s="543"/>
      <c r="M69" s="1031" t="s">
        <v>217</v>
      </c>
      <c r="N69" s="1031"/>
      <c r="O69" s="1031"/>
      <c r="P69" s="1032"/>
      <c r="Q69" s="445">
        <f>SUM(Q68,Q54,Q41)</f>
        <v>1468741</v>
      </c>
      <c r="R69" s="544"/>
      <c r="S69" s="1031" t="s">
        <v>218</v>
      </c>
      <c r="T69" s="1031"/>
      <c r="U69" s="1031"/>
      <c r="V69" s="1032"/>
      <c r="W69" s="447">
        <f>SUM(W68,W54,W41)</f>
        <v>582733</v>
      </c>
      <c r="X69" s="643">
        <f>SUM(X68,X54,X41)</f>
        <v>1223965</v>
      </c>
      <c r="Y69" s="644">
        <f>SUM(Y68,Y54,Y41)</f>
        <v>1375610</v>
      </c>
      <c r="Z69" s="645">
        <f>SUM(W69+Q69+K69)</f>
        <v>2599575</v>
      </c>
      <c r="AA69" s="546">
        <f>SUM(AA68,AA54,AA41)</f>
        <v>-101910</v>
      </c>
      <c r="AB69" s="545">
        <f>SUM(AB68,AB54,AB41)</f>
        <v>101910</v>
      </c>
      <c r="AC69" s="547">
        <f>SUM(AC68,AC54,AC41)</f>
        <v>0</v>
      </c>
    </row>
    <row r="70" spans="1:29" ht="13.5" thickTop="1">
      <c r="A70" s="530"/>
      <c r="B70" s="530"/>
      <c r="C70" s="530"/>
      <c r="D70" s="530"/>
      <c r="E70" s="530"/>
      <c r="F70" s="530"/>
      <c r="G70" s="530"/>
      <c r="H70" s="530"/>
      <c r="I70" s="530"/>
      <c r="J70" s="530"/>
      <c r="K70" s="530"/>
      <c r="L70" s="530"/>
      <c r="M70" s="530"/>
      <c r="N70" s="530"/>
      <c r="O70" s="530"/>
      <c r="P70" s="530"/>
      <c r="Q70" s="530"/>
      <c r="R70" s="530"/>
      <c r="S70" s="530"/>
      <c r="T70" s="530"/>
      <c r="U70" s="530"/>
      <c r="V70" s="530"/>
      <c r="W70" s="530"/>
      <c r="X70" s="530"/>
      <c r="Y70" s="530"/>
      <c r="Z70" s="530"/>
      <c r="AA70" s="530"/>
      <c r="AB70" s="530"/>
      <c r="AC70" s="433"/>
    </row>
    <row r="71" spans="1:29" ht="14.25">
      <c r="A71" s="336" t="s">
        <v>1171</v>
      </c>
      <c r="B71" s="747"/>
      <c r="C71" s="747"/>
      <c r="D71" s="747"/>
      <c r="E71" s="747"/>
      <c r="G71" s="530"/>
      <c r="H71" s="530"/>
      <c r="I71" s="530"/>
      <c r="J71" s="530"/>
      <c r="K71" s="530"/>
      <c r="L71" s="530"/>
      <c r="M71" s="530"/>
      <c r="N71" s="530"/>
      <c r="O71" s="530"/>
      <c r="P71" s="530"/>
      <c r="Q71" s="530"/>
      <c r="R71" s="530"/>
      <c r="S71" s="530"/>
      <c r="T71" s="530"/>
      <c r="U71" s="530"/>
      <c r="V71" s="530"/>
      <c r="W71" s="530"/>
      <c r="X71" s="530"/>
      <c r="Y71" s="530"/>
      <c r="Z71" s="530"/>
      <c r="AA71" s="530"/>
      <c r="AB71" s="530"/>
      <c r="AC71" s="433"/>
    </row>
    <row r="72" spans="1:5" ht="13.5">
      <c r="A72" s="755" t="s">
        <v>1170</v>
      </c>
      <c r="B72" s="747"/>
      <c r="C72" s="747"/>
      <c r="D72" s="747"/>
      <c r="E72" s="747"/>
    </row>
    <row r="73" spans="1:4" ht="15">
      <c r="A73" s="818" t="s">
        <v>1172</v>
      </c>
      <c r="B73" s="819"/>
      <c r="C73" s="819"/>
      <c r="D73" s="819"/>
    </row>
  </sheetData>
  <sheetProtection/>
  <mergeCells count="164">
    <mergeCell ref="G15:I15"/>
    <mergeCell ref="R29:U29"/>
    <mergeCell ref="L12:O12"/>
    <mergeCell ref="R12:U12"/>
    <mergeCell ref="R16:U16"/>
    <mergeCell ref="R13:U13"/>
    <mergeCell ref="R14:U14"/>
    <mergeCell ref="R17:U17"/>
    <mergeCell ref="L11:O11"/>
    <mergeCell ref="L15:O15"/>
    <mergeCell ref="L18:O18"/>
    <mergeCell ref="L19:O20"/>
    <mergeCell ref="R15:U15"/>
    <mergeCell ref="R11:U11"/>
    <mergeCell ref="L13:O13"/>
    <mergeCell ref="R9:U9"/>
    <mergeCell ref="G8:I8"/>
    <mergeCell ref="L8:O8"/>
    <mergeCell ref="G9:I9"/>
    <mergeCell ref="L9:O9"/>
    <mergeCell ref="R8:U8"/>
    <mergeCell ref="A5:C6"/>
    <mergeCell ref="L5:Q6"/>
    <mergeCell ref="R5:W6"/>
    <mergeCell ref="D5:F5"/>
    <mergeCell ref="G5:K6"/>
    <mergeCell ref="R7:U7"/>
    <mergeCell ref="L7:O7"/>
    <mergeCell ref="G11:I11"/>
    <mergeCell ref="G17:I17"/>
    <mergeCell ref="L17:O17"/>
    <mergeCell ref="L14:O14"/>
    <mergeCell ref="T1:AB1"/>
    <mergeCell ref="X5:Z5"/>
    <mergeCell ref="AA5:AC5"/>
    <mergeCell ref="L10:O10"/>
    <mergeCell ref="R10:U10"/>
    <mergeCell ref="G10:I10"/>
    <mergeCell ref="G58:I58"/>
    <mergeCell ref="G59:I59"/>
    <mergeCell ref="R60:U60"/>
    <mergeCell ref="R44:U44"/>
    <mergeCell ref="G44:I44"/>
    <mergeCell ref="L32:O32"/>
    <mergeCell ref="R45:U45"/>
    <mergeCell ref="R26:U26"/>
    <mergeCell ref="L28:O28"/>
    <mergeCell ref="L31:O31"/>
    <mergeCell ref="L25:O25"/>
    <mergeCell ref="R25:U25"/>
    <mergeCell ref="G16:I16"/>
    <mergeCell ref="P19:P20"/>
    <mergeCell ref="R19:U19"/>
    <mergeCell ref="L16:O16"/>
    <mergeCell ref="R18:U18"/>
    <mergeCell ref="G49:I49"/>
    <mergeCell ref="R49:U49"/>
    <mergeCell ref="R46:U46"/>
    <mergeCell ref="R47:U47"/>
    <mergeCell ref="A37:C37"/>
    <mergeCell ref="R32:U32"/>
    <mergeCell ref="R33:U33"/>
    <mergeCell ref="L34:O34"/>
    <mergeCell ref="L35:O35"/>
    <mergeCell ref="L33:O33"/>
    <mergeCell ref="R61:U61"/>
    <mergeCell ref="A56:C57"/>
    <mergeCell ref="D56:F56"/>
    <mergeCell ref="G56:K57"/>
    <mergeCell ref="G45:I45"/>
    <mergeCell ref="G50:I50"/>
    <mergeCell ref="R59:U59"/>
    <mergeCell ref="G60:I60"/>
    <mergeCell ref="B46:C46"/>
    <mergeCell ref="G48:I48"/>
    <mergeCell ref="S68:V68"/>
    <mergeCell ref="G62:I62"/>
    <mergeCell ref="A68:C68"/>
    <mergeCell ref="H68:J68"/>
    <mergeCell ref="M68:P68"/>
    <mergeCell ref="G63:I63"/>
    <mergeCell ref="A3:AC3"/>
    <mergeCell ref="K7:K25"/>
    <mergeCell ref="Q7:Q25"/>
    <mergeCell ref="W7:W25"/>
    <mergeCell ref="L21:O21"/>
    <mergeCell ref="L22:O22"/>
    <mergeCell ref="G14:I14"/>
    <mergeCell ref="G13:I13"/>
    <mergeCell ref="G12:I12"/>
    <mergeCell ref="G7:I7"/>
    <mergeCell ref="G26:I26"/>
    <mergeCell ref="K26:K31"/>
    <mergeCell ref="L26:O26"/>
    <mergeCell ref="Q26:Q31"/>
    <mergeCell ref="W26:W31"/>
    <mergeCell ref="L27:O27"/>
    <mergeCell ref="R27:U27"/>
    <mergeCell ref="R28:U28"/>
    <mergeCell ref="L29:O30"/>
    <mergeCell ref="P29:P30"/>
    <mergeCell ref="B32:C32"/>
    <mergeCell ref="G32:I32"/>
    <mergeCell ref="K33:K36"/>
    <mergeCell ref="Q33:Q36"/>
    <mergeCell ref="W33:W36"/>
    <mergeCell ref="R34:U34"/>
    <mergeCell ref="R35:U35"/>
    <mergeCell ref="L36:O36"/>
    <mergeCell ref="R36:U36"/>
    <mergeCell ref="K37:K40"/>
    <mergeCell ref="L37:O37"/>
    <mergeCell ref="Q37:Q40"/>
    <mergeCell ref="W37:W40"/>
    <mergeCell ref="L38:O38"/>
    <mergeCell ref="L39:O39"/>
    <mergeCell ref="L40:O40"/>
    <mergeCell ref="A41:C41"/>
    <mergeCell ref="H41:J41"/>
    <mergeCell ref="M41:P41"/>
    <mergeCell ref="S41:V41"/>
    <mergeCell ref="A42:C43"/>
    <mergeCell ref="D42:F42"/>
    <mergeCell ref="G42:K43"/>
    <mergeCell ref="L42:Q43"/>
    <mergeCell ref="R42:W43"/>
    <mergeCell ref="X42:Z42"/>
    <mergeCell ref="AA42:AC42"/>
    <mergeCell ref="K44:K51"/>
    <mergeCell ref="L44:O45"/>
    <mergeCell ref="P44:P45"/>
    <mergeCell ref="Q44:Q51"/>
    <mergeCell ref="W44:W51"/>
    <mergeCell ref="L46:O47"/>
    <mergeCell ref="P46:P47"/>
    <mergeCell ref="R48:U48"/>
    <mergeCell ref="R50:U50"/>
    <mergeCell ref="R51:U51"/>
    <mergeCell ref="B52:C52"/>
    <mergeCell ref="G52:I52"/>
    <mergeCell ref="A54:C54"/>
    <mergeCell ref="H54:J54"/>
    <mergeCell ref="M54:P54"/>
    <mergeCell ref="S54:V54"/>
    <mergeCell ref="Q65:Q67"/>
    <mergeCell ref="A66:C66"/>
    <mergeCell ref="L56:Q57"/>
    <mergeCell ref="R56:W57"/>
    <mergeCell ref="X56:Z56"/>
    <mergeCell ref="AA56:AC56"/>
    <mergeCell ref="K58:K64"/>
    <mergeCell ref="Q58:Q64"/>
    <mergeCell ref="W58:W64"/>
    <mergeCell ref="G61:I61"/>
    <mergeCell ref="A69:C69"/>
    <mergeCell ref="H69:J69"/>
    <mergeCell ref="M69:P69"/>
    <mergeCell ref="S69:V69"/>
    <mergeCell ref="A60:C60"/>
    <mergeCell ref="R62:U62"/>
    <mergeCell ref="R63:U63"/>
    <mergeCell ref="G64:I64"/>
    <mergeCell ref="K65:K67"/>
    <mergeCell ref="L65:O6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3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M78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80" sqref="G80"/>
    </sheetView>
  </sheetViews>
  <sheetFormatPr defaultColWidth="9.00390625" defaultRowHeight="12.75"/>
  <cols>
    <col min="1" max="1" width="29.00390625" style="0" customWidth="1"/>
  </cols>
  <sheetData>
    <row r="1" spans="8:13" ht="18">
      <c r="H1" s="4"/>
      <c r="I1" s="4"/>
      <c r="J1" s="4"/>
      <c r="K1" s="4"/>
      <c r="L1" s="4"/>
      <c r="M1" s="8" t="s">
        <v>1196</v>
      </c>
    </row>
    <row r="2" spans="8:13" ht="12.75">
      <c r="H2" s="4"/>
      <c r="I2" s="4"/>
      <c r="J2" s="4"/>
      <c r="K2" s="4"/>
      <c r="L2" s="4"/>
      <c r="M2" s="5"/>
    </row>
    <row r="3" spans="1:13" s="114" customFormat="1" ht="14.25" customHeight="1">
      <c r="A3" s="1160" t="s">
        <v>873</v>
      </c>
      <c r="B3" s="1160"/>
      <c r="C3" s="1160"/>
      <c r="D3" s="1160"/>
      <c r="E3" s="1160"/>
      <c r="F3" s="1160"/>
      <c r="G3" s="1160"/>
      <c r="H3" s="1160"/>
      <c r="I3" s="1160"/>
      <c r="J3" s="1160"/>
      <c r="K3" s="1160"/>
      <c r="L3" s="1160"/>
      <c r="M3" s="1160"/>
    </row>
    <row r="4" spans="1:13" s="114" customFormat="1" ht="14.25" customHeight="1">
      <c r="A4" s="1160" t="s">
        <v>721</v>
      </c>
      <c r="B4" s="1160"/>
      <c r="C4" s="1160"/>
      <c r="D4" s="1160"/>
      <c r="E4" s="1160"/>
      <c r="F4" s="1160"/>
      <c r="G4" s="1160"/>
      <c r="H4" s="1160"/>
      <c r="I4" s="1160"/>
      <c r="J4" s="1160"/>
      <c r="K4" s="1160"/>
      <c r="L4" s="1160"/>
      <c r="M4" s="1160"/>
    </row>
    <row r="5" spans="1:13" s="114" customFormat="1" ht="18" customHeight="1">
      <c r="A5" s="1160"/>
      <c r="B5" s="1160"/>
      <c r="C5" s="1160"/>
      <c r="D5" s="1160"/>
      <c r="E5" s="1160"/>
      <c r="F5" s="1160"/>
      <c r="G5" s="1160"/>
      <c r="H5" s="1160"/>
      <c r="I5" s="1160"/>
      <c r="J5" s="1160"/>
      <c r="K5" s="1160"/>
      <c r="L5" s="1160"/>
      <c r="M5" s="1160"/>
    </row>
    <row r="6" spans="1:13" s="113" customFormat="1" ht="12.75">
      <c r="A6" s="1160"/>
      <c r="B6" s="1160"/>
      <c r="C6" s="1160"/>
      <c r="D6" s="1160"/>
      <c r="E6" s="1160"/>
      <c r="F6" s="1160"/>
      <c r="G6" s="1160"/>
      <c r="H6" s="1160"/>
      <c r="I6" s="1160"/>
      <c r="J6" s="1160"/>
      <c r="K6" s="1160"/>
      <c r="L6" s="1160"/>
      <c r="M6" s="1160"/>
    </row>
    <row r="7" spans="1:13" s="117" customFormat="1" ht="12.75">
      <c r="A7" s="586" t="s">
        <v>610</v>
      </c>
      <c r="B7" s="185" t="s">
        <v>575</v>
      </c>
      <c r="C7" s="185" t="s">
        <v>576</v>
      </c>
      <c r="D7" s="185" t="s">
        <v>577</v>
      </c>
      <c r="E7" s="185" t="s">
        <v>578</v>
      </c>
      <c r="F7" s="185" t="s">
        <v>579</v>
      </c>
      <c r="G7" s="185" t="s">
        <v>580</v>
      </c>
      <c r="H7" s="185" t="s">
        <v>581</v>
      </c>
      <c r="I7" s="185" t="s">
        <v>582</v>
      </c>
      <c r="J7" s="185" t="s">
        <v>583</v>
      </c>
      <c r="K7" s="185" t="s">
        <v>584</v>
      </c>
      <c r="L7" s="185" t="s">
        <v>585</v>
      </c>
      <c r="M7" s="185" t="s">
        <v>586</v>
      </c>
    </row>
    <row r="8" spans="1:13" s="115" customFormat="1" ht="12.75">
      <c r="A8" s="587" t="s">
        <v>877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</row>
    <row r="9" spans="1:13" s="116" customFormat="1" ht="12.75">
      <c r="A9" s="865" t="s">
        <v>587</v>
      </c>
      <c r="B9" s="866"/>
      <c r="C9" s="866"/>
      <c r="D9" s="866"/>
      <c r="E9" s="866"/>
      <c r="F9" s="866"/>
      <c r="G9" s="866"/>
      <c r="H9" s="866"/>
      <c r="I9" s="866"/>
      <c r="J9" s="866"/>
      <c r="K9" s="866"/>
      <c r="L9" s="866"/>
      <c r="M9" s="866"/>
    </row>
    <row r="10" spans="1:13" s="116" customFormat="1" ht="12.75" customHeight="1">
      <c r="A10" s="588" t="s">
        <v>688</v>
      </c>
      <c r="B10" s="187">
        <v>19</v>
      </c>
      <c r="C10" s="187">
        <v>19</v>
      </c>
      <c r="D10" s="187">
        <v>19</v>
      </c>
      <c r="E10" s="187">
        <v>19</v>
      </c>
      <c r="F10" s="187">
        <v>19</v>
      </c>
      <c r="G10" s="187">
        <v>19</v>
      </c>
      <c r="H10" s="187">
        <v>19</v>
      </c>
      <c r="I10" s="187">
        <v>19</v>
      </c>
      <c r="J10" s="187">
        <v>19</v>
      </c>
      <c r="K10" s="187">
        <v>19</v>
      </c>
      <c r="L10" s="187">
        <v>19</v>
      </c>
      <c r="M10" s="187">
        <v>19</v>
      </c>
    </row>
    <row r="11" spans="1:13" s="116" customFormat="1" ht="12.75">
      <c r="A11" s="588" t="s">
        <v>0</v>
      </c>
      <c r="B11" s="187">
        <v>4</v>
      </c>
      <c r="C11" s="187">
        <v>4</v>
      </c>
      <c r="D11" s="187">
        <v>4</v>
      </c>
      <c r="E11" s="187">
        <v>4</v>
      </c>
      <c r="F11" s="187">
        <v>4</v>
      </c>
      <c r="G11" s="187">
        <v>4</v>
      </c>
      <c r="H11" s="187">
        <v>4</v>
      </c>
      <c r="I11" s="187">
        <v>4</v>
      </c>
      <c r="J11" s="187">
        <v>4</v>
      </c>
      <c r="K11" s="187">
        <v>4</v>
      </c>
      <c r="L11" s="187">
        <v>4</v>
      </c>
      <c r="M11" s="187">
        <v>4</v>
      </c>
    </row>
    <row r="12" spans="1:13" s="116" customFormat="1" ht="12.75">
      <c r="A12" s="589" t="s">
        <v>689</v>
      </c>
      <c r="B12" s="187">
        <v>10</v>
      </c>
      <c r="C12" s="187">
        <v>10</v>
      </c>
      <c r="D12" s="187">
        <v>10</v>
      </c>
      <c r="E12" s="187">
        <v>10</v>
      </c>
      <c r="F12" s="187">
        <v>10</v>
      </c>
      <c r="G12" s="187">
        <v>10</v>
      </c>
      <c r="H12" s="187">
        <v>10</v>
      </c>
      <c r="I12" s="187">
        <v>10</v>
      </c>
      <c r="J12" s="187">
        <v>10</v>
      </c>
      <c r="K12" s="187">
        <v>10</v>
      </c>
      <c r="L12" s="187">
        <v>10</v>
      </c>
      <c r="M12" s="187">
        <v>10</v>
      </c>
    </row>
    <row r="13" spans="1:13" s="116" customFormat="1" ht="12.75">
      <c r="A13" s="588" t="s">
        <v>588</v>
      </c>
      <c r="B13" s="187">
        <v>1</v>
      </c>
      <c r="C13" s="187">
        <v>1</v>
      </c>
      <c r="D13" s="187">
        <v>1</v>
      </c>
      <c r="E13" s="187">
        <v>1</v>
      </c>
      <c r="F13" s="187">
        <v>1</v>
      </c>
      <c r="G13" s="187">
        <v>1</v>
      </c>
      <c r="H13" s="187">
        <v>1</v>
      </c>
      <c r="I13" s="187">
        <v>1</v>
      </c>
      <c r="J13" s="187">
        <v>1</v>
      </c>
      <c r="K13" s="187">
        <v>1</v>
      </c>
      <c r="L13" s="187">
        <v>1</v>
      </c>
      <c r="M13" s="187">
        <v>1</v>
      </c>
    </row>
    <row r="14" spans="1:13" s="115" customFormat="1" ht="12.75">
      <c r="A14" s="588" t="s">
        <v>690</v>
      </c>
      <c r="B14" s="187">
        <v>1</v>
      </c>
      <c r="C14" s="187">
        <v>1</v>
      </c>
      <c r="D14" s="187">
        <v>1</v>
      </c>
      <c r="E14" s="187">
        <v>1</v>
      </c>
      <c r="F14" s="187">
        <v>1</v>
      </c>
      <c r="G14" s="187">
        <v>1</v>
      </c>
      <c r="H14" s="187">
        <v>1</v>
      </c>
      <c r="I14" s="187">
        <v>1</v>
      </c>
      <c r="J14" s="187">
        <v>1</v>
      </c>
      <c r="K14" s="187">
        <v>1</v>
      </c>
      <c r="L14" s="187">
        <v>1</v>
      </c>
      <c r="M14" s="187">
        <v>1</v>
      </c>
    </row>
    <row r="15" spans="1:13" s="116" customFormat="1" ht="25.5">
      <c r="A15" s="865" t="s">
        <v>913</v>
      </c>
      <c r="B15" s="866"/>
      <c r="C15" s="866"/>
      <c r="D15" s="866"/>
      <c r="E15" s="866"/>
      <c r="F15" s="866"/>
      <c r="G15" s="866"/>
      <c r="H15" s="866"/>
      <c r="I15" s="866"/>
      <c r="J15" s="866"/>
      <c r="K15" s="866"/>
      <c r="L15" s="866"/>
      <c r="M15" s="866"/>
    </row>
    <row r="16" spans="1:13" s="116" customFormat="1" ht="12.75">
      <c r="A16" s="588" t="s">
        <v>591</v>
      </c>
      <c r="B16" s="187">
        <v>2</v>
      </c>
      <c r="C16" s="187">
        <v>2</v>
      </c>
      <c r="D16" s="187">
        <v>2</v>
      </c>
      <c r="E16" s="187">
        <v>2</v>
      </c>
      <c r="F16" s="187">
        <v>2</v>
      </c>
      <c r="G16" s="187">
        <v>2</v>
      </c>
      <c r="H16" s="187">
        <v>2</v>
      </c>
      <c r="I16" s="187">
        <v>2</v>
      </c>
      <c r="J16" s="187">
        <v>2</v>
      </c>
      <c r="K16" s="187">
        <v>2</v>
      </c>
      <c r="L16" s="187">
        <v>2</v>
      </c>
      <c r="M16" s="187">
        <v>2</v>
      </c>
    </row>
    <row r="17" spans="1:13" s="115" customFormat="1" ht="12.75" customHeight="1">
      <c r="A17" s="588" t="s">
        <v>589</v>
      </c>
      <c r="B17" s="187">
        <v>1</v>
      </c>
      <c r="C17" s="187">
        <v>1</v>
      </c>
      <c r="D17" s="187">
        <v>1</v>
      </c>
      <c r="E17" s="187">
        <v>1</v>
      </c>
      <c r="F17" s="187">
        <v>1</v>
      </c>
      <c r="G17" s="187">
        <v>1</v>
      </c>
      <c r="H17" s="187">
        <v>1</v>
      </c>
      <c r="I17" s="187">
        <v>1</v>
      </c>
      <c r="J17" s="187">
        <v>1</v>
      </c>
      <c r="K17" s="187">
        <v>1</v>
      </c>
      <c r="L17" s="187">
        <v>1</v>
      </c>
      <c r="M17" s="187">
        <v>1</v>
      </c>
    </row>
    <row r="18" spans="1:13" s="116" customFormat="1" ht="12.75">
      <c r="A18" s="865" t="s">
        <v>590</v>
      </c>
      <c r="B18" s="866"/>
      <c r="C18" s="866"/>
      <c r="D18" s="866"/>
      <c r="E18" s="866"/>
      <c r="F18" s="866"/>
      <c r="G18" s="866"/>
      <c r="H18" s="866"/>
      <c r="I18" s="866"/>
      <c r="J18" s="866"/>
      <c r="K18" s="866"/>
      <c r="L18" s="866"/>
      <c r="M18" s="866"/>
    </row>
    <row r="19" spans="1:13" s="116" customFormat="1" ht="12.75">
      <c r="A19" s="588" t="s">
        <v>591</v>
      </c>
      <c r="B19" s="187">
        <v>2</v>
      </c>
      <c r="C19" s="187">
        <v>2</v>
      </c>
      <c r="D19" s="187">
        <v>2</v>
      </c>
      <c r="E19" s="187">
        <v>2</v>
      </c>
      <c r="F19" s="187">
        <v>2</v>
      </c>
      <c r="G19" s="187">
        <v>2</v>
      </c>
      <c r="H19" s="187">
        <v>2</v>
      </c>
      <c r="I19" s="187">
        <v>2</v>
      </c>
      <c r="J19" s="187">
        <v>2</v>
      </c>
      <c r="K19" s="187">
        <v>2</v>
      </c>
      <c r="L19" s="187">
        <v>2</v>
      </c>
      <c r="M19" s="187">
        <v>2</v>
      </c>
    </row>
    <row r="20" spans="1:13" s="115" customFormat="1" ht="27" customHeight="1">
      <c r="A20" s="588" t="s">
        <v>592</v>
      </c>
      <c r="B20" s="187">
        <v>1</v>
      </c>
      <c r="C20" s="187">
        <v>1</v>
      </c>
      <c r="D20" s="187">
        <v>1</v>
      </c>
      <c r="E20" s="187">
        <v>1</v>
      </c>
      <c r="F20" s="187">
        <v>1</v>
      </c>
      <c r="G20" s="187">
        <v>1</v>
      </c>
      <c r="H20" s="187">
        <v>1</v>
      </c>
      <c r="I20" s="187">
        <v>1</v>
      </c>
      <c r="J20" s="187">
        <v>1</v>
      </c>
      <c r="K20" s="187">
        <v>1</v>
      </c>
      <c r="L20" s="187">
        <v>1</v>
      </c>
      <c r="M20" s="187">
        <v>1</v>
      </c>
    </row>
    <row r="21" spans="1:13" s="116" customFormat="1" ht="25.5">
      <c r="A21" s="865" t="s">
        <v>1197</v>
      </c>
      <c r="B21" s="866"/>
      <c r="C21" s="866"/>
      <c r="D21" s="866"/>
      <c r="E21" s="866"/>
      <c r="F21" s="866"/>
      <c r="G21" s="866"/>
      <c r="H21" s="866"/>
      <c r="I21" s="866"/>
      <c r="J21" s="866"/>
      <c r="K21" s="866"/>
      <c r="L21" s="866"/>
      <c r="M21" s="866"/>
    </row>
    <row r="22" spans="1:13" s="116" customFormat="1" ht="12.75">
      <c r="A22" s="588" t="s">
        <v>973</v>
      </c>
      <c r="B22" s="187">
        <v>0</v>
      </c>
      <c r="C22" s="187">
        <v>1</v>
      </c>
      <c r="D22" s="187">
        <v>1</v>
      </c>
      <c r="E22" s="187">
        <v>1</v>
      </c>
      <c r="F22" s="187">
        <v>1</v>
      </c>
      <c r="G22" s="187">
        <v>1</v>
      </c>
      <c r="H22" s="187">
        <v>1</v>
      </c>
      <c r="I22" s="187">
        <v>1</v>
      </c>
      <c r="J22" s="187">
        <v>1</v>
      </c>
      <c r="K22" s="187">
        <v>1</v>
      </c>
      <c r="L22" s="187">
        <v>1</v>
      </c>
      <c r="M22" s="187">
        <v>1</v>
      </c>
    </row>
    <row r="23" spans="1:13" s="116" customFormat="1" ht="12.75">
      <c r="A23" s="588" t="s">
        <v>974</v>
      </c>
      <c r="B23" s="187">
        <v>0</v>
      </c>
      <c r="C23" s="187">
        <v>1</v>
      </c>
      <c r="D23" s="187">
        <v>1</v>
      </c>
      <c r="E23" s="187">
        <v>1</v>
      </c>
      <c r="F23" s="187">
        <v>1</v>
      </c>
      <c r="G23" s="187">
        <v>1</v>
      </c>
      <c r="H23" s="187">
        <v>1</v>
      </c>
      <c r="I23" s="187">
        <v>1</v>
      </c>
      <c r="J23" s="187">
        <v>1</v>
      </c>
      <c r="K23" s="187">
        <v>1</v>
      </c>
      <c r="L23" s="187">
        <v>1</v>
      </c>
      <c r="M23" s="187">
        <v>1</v>
      </c>
    </row>
    <row r="24" spans="1:13" s="254" customFormat="1" ht="12.75">
      <c r="A24" s="588" t="s">
        <v>975</v>
      </c>
      <c r="B24" s="187">
        <v>0</v>
      </c>
      <c r="C24" s="187">
        <v>1</v>
      </c>
      <c r="D24" s="187">
        <v>1</v>
      </c>
      <c r="E24" s="187">
        <v>1</v>
      </c>
      <c r="F24" s="187">
        <v>1</v>
      </c>
      <c r="G24" s="187">
        <v>1</v>
      </c>
      <c r="H24" s="187">
        <v>1</v>
      </c>
      <c r="I24" s="187">
        <v>1</v>
      </c>
      <c r="J24" s="187">
        <v>1</v>
      </c>
      <c r="K24" s="187">
        <v>1</v>
      </c>
      <c r="L24" s="187">
        <v>1</v>
      </c>
      <c r="M24" s="187">
        <v>1</v>
      </c>
    </row>
    <row r="25" spans="1:13" s="116" customFormat="1" ht="38.25">
      <c r="A25" s="590" t="s">
        <v>878</v>
      </c>
      <c r="B25" s="253">
        <f>SUM(B10:B24)</f>
        <v>41</v>
      </c>
      <c r="C25" s="253">
        <f aca="true" t="shared" si="0" ref="C25:M25">SUM(C10:C24)</f>
        <v>44</v>
      </c>
      <c r="D25" s="253">
        <f t="shared" si="0"/>
        <v>44</v>
      </c>
      <c r="E25" s="253">
        <f t="shared" si="0"/>
        <v>44</v>
      </c>
      <c r="F25" s="253">
        <f t="shared" si="0"/>
        <v>44</v>
      </c>
      <c r="G25" s="253">
        <f t="shared" si="0"/>
        <v>44</v>
      </c>
      <c r="H25" s="253">
        <f t="shared" si="0"/>
        <v>44</v>
      </c>
      <c r="I25" s="253">
        <f t="shared" si="0"/>
        <v>44</v>
      </c>
      <c r="J25" s="253">
        <f t="shared" si="0"/>
        <v>44</v>
      </c>
      <c r="K25" s="253">
        <f t="shared" si="0"/>
        <v>44</v>
      </c>
      <c r="L25" s="253">
        <f t="shared" si="0"/>
        <v>44</v>
      </c>
      <c r="M25" s="253">
        <f t="shared" si="0"/>
        <v>44</v>
      </c>
    </row>
    <row r="26" spans="1:13" s="117" customFormat="1" ht="12.75">
      <c r="A26" s="588"/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</row>
    <row r="27" spans="1:13" s="116" customFormat="1" ht="12.75">
      <c r="A27" s="587" t="s">
        <v>624</v>
      </c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</row>
    <row r="28" spans="1:13" s="116" customFormat="1" ht="12.75">
      <c r="A28" s="592" t="s">
        <v>691</v>
      </c>
      <c r="B28" s="187">
        <v>26</v>
      </c>
      <c r="C28" s="187">
        <v>26</v>
      </c>
      <c r="D28" s="187">
        <v>26</v>
      </c>
      <c r="E28" s="187">
        <v>26</v>
      </c>
      <c r="F28" s="187">
        <v>26</v>
      </c>
      <c r="G28" s="187">
        <v>26</v>
      </c>
      <c r="H28" s="187">
        <v>26</v>
      </c>
      <c r="I28" s="187">
        <v>26</v>
      </c>
      <c r="J28" s="187">
        <v>26</v>
      </c>
      <c r="K28" s="187">
        <v>26</v>
      </c>
      <c r="L28" s="187">
        <v>26</v>
      </c>
      <c r="M28" s="187">
        <v>26</v>
      </c>
    </row>
    <row r="29" spans="1:13" s="116" customFormat="1" ht="25.5">
      <c r="A29" s="592" t="s">
        <v>776</v>
      </c>
      <c r="B29" s="187">
        <v>2</v>
      </c>
      <c r="C29" s="187">
        <v>2</v>
      </c>
      <c r="D29" s="187">
        <v>2</v>
      </c>
      <c r="E29" s="187">
        <v>2</v>
      </c>
      <c r="F29" s="187">
        <v>2</v>
      </c>
      <c r="G29" s="187">
        <v>2</v>
      </c>
      <c r="H29" s="187">
        <v>2</v>
      </c>
      <c r="I29" s="187">
        <v>2</v>
      </c>
      <c r="J29" s="187">
        <v>2</v>
      </c>
      <c r="K29" s="187">
        <v>2</v>
      </c>
      <c r="L29" s="187">
        <v>2</v>
      </c>
      <c r="M29" s="187">
        <v>2</v>
      </c>
    </row>
    <row r="30" spans="1:13" s="116" customFormat="1" ht="12.75">
      <c r="A30" s="587" t="s">
        <v>692</v>
      </c>
      <c r="B30" s="186">
        <f aca="true" t="shared" si="1" ref="B30:M30">SUM(B28:B29)</f>
        <v>28</v>
      </c>
      <c r="C30" s="186">
        <f t="shared" si="1"/>
        <v>28</v>
      </c>
      <c r="D30" s="186">
        <f t="shared" si="1"/>
        <v>28</v>
      </c>
      <c r="E30" s="186">
        <f t="shared" si="1"/>
        <v>28</v>
      </c>
      <c r="F30" s="186">
        <f t="shared" si="1"/>
        <v>28</v>
      </c>
      <c r="G30" s="186">
        <f t="shared" si="1"/>
        <v>28</v>
      </c>
      <c r="H30" s="186">
        <f t="shared" si="1"/>
        <v>28</v>
      </c>
      <c r="I30" s="186">
        <f t="shared" si="1"/>
        <v>28</v>
      </c>
      <c r="J30" s="186">
        <f t="shared" si="1"/>
        <v>28</v>
      </c>
      <c r="K30" s="186">
        <f t="shared" si="1"/>
        <v>28</v>
      </c>
      <c r="L30" s="186">
        <f t="shared" si="1"/>
        <v>28</v>
      </c>
      <c r="M30" s="186">
        <f t="shared" si="1"/>
        <v>28</v>
      </c>
    </row>
    <row r="31" spans="1:13" s="117" customFormat="1" ht="12.75">
      <c r="A31" s="593"/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</row>
    <row r="32" spans="1:13" s="189" customFormat="1" ht="14.25" customHeight="1">
      <c r="A32" s="587" t="s">
        <v>719</v>
      </c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</row>
    <row r="33" spans="1:13" s="117" customFormat="1" ht="12.75">
      <c r="A33" s="591" t="s">
        <v>603</v>
      </c>
      <c r="B33" s="187">
        <v>1</v>
      </c>
      <c r="C33" s="187">
        <v>1</v>
      </c>
      <c r="D33" s="187">
        <v>1</v>
      </c>
      <c r="E33" s="187">
        <v>1</v>
      </c>
      <c r="F33" s="187">
        <v>1</v>
      </c>
      <c r="G33" s="187">
        <v>1</v>
      </c>
      <c r="H33" s="187">
        <v>1</v>
      </c>
      <c r="I33" s="187">
        <v>1</v>
      </c>
      <c r="J33" s="187">
        <v>1</v>
      </c>
      <c r="K33" s="187">
        <v>1</v>
      </c>
      <c r="L33" s="187">
        <v>1</v>
      </c>
      <c r="M33" s="187">
        <v>1</v>
      </c>
    </row>
    <row r="34" spans="1:13" s="115" customFormat="1" ht="12.75" customHeight="1">
      <c r="A34" s="591" t="s">
        <v>604</v>
      </c>
      <c r="B34" s="187">
        <v>1</v>
      </c>
      <c r="C34" s="187">
        <v>1</v>
      </c>
      <c r="D34" s="187">
        <v>1</v>
      </c>
      <c r="E34" s="187">
        <v>1</v>
      </c>
      <c r="F34" s="187">
        <v>1</v>
      </c>
      <c r="G34" s="187">
        <v>1</v>
      </c>
      <c r="H34" s="187">
        <v>1</v>
      </c>
      <c r="I34" s="187">
        <v>1</v>
      </c>
      <c r="J34" s="187">
        <v>1</v>
      </c>
      <c r="K34" s="187">
        <v>1</v>
      </c>
      <c r="L34" s="187">
        <v>1</v>
      </c>
      <c r="M34" s="187">
        <v>1</v>
      </c>
    </row>
    <row r="35" spans="1:13" s="116" customFormat="1" ht="12.75">
      <c r="A35" s="594" t="s">
        <v>1198</v>
      </c>
      <c r="B35" s="187"/>
      <c r="C35" s="187"/>
      <c r="D35" s="744"/>
      <c r="E35" s="187"/>
      <c r="F35" s="187"/>
      <c r="G35" s="187"/>
      <c r="H35" s="187">
        <v>4</v>
      </c>
      <c r="I35" s="187">
        <v>3</v>
      </c>
      <c r="J35" s="187"/>
      <c r="K35" s="187"/>
      <c r="L35" s="187"/>
      <c r="M35" s="187"/>
    </row>
    <row r="36" spans="1:13" s="115" customFormat="1" ht="12.75" customHeight="1">
      <c r="A36" s="865" t="s">
        <v>693</v>
      </c>
      <c r="B36" s="866"/>
      <c r="C36" s="866"/>
      <c r="D36" s="866"/>
      <c r="E36" s="866"/>
      <c r="F36" s="866"/>
      <c r="G36" s="866"/>
      <c r="H36" s="866"/>
      <c r="I36" s="866"/>
      <c r="J36" s="866"/>
      <c r="K36" s="866"/>
      <c r="L36" s="866"/>
      <c r="M36" s="866"/>
    </row>
    <row r="37" spans="1:13" s="116" customFormat="1" ht="12.75">
      <c r="A37" s="594" t="s">
        <v>601</v>
      </c>
      <c r="B37" s="187">
        <v>12</v>
      </c>
      <c r="C37" s="187">
        <v>12</v>
      </c>
      <c r="D37" s="744">
        <v>12</v>
      </c>
      <c r="E37" s="187">
        <v>12</v>
      </c>
      <c r="F37" s="187">
        <v>12</v>
      </c>
      <c r="G37" s="187">
        <v>12</v>
      </c>
      <c r="H37" s="187">
        <v>12</v>
      </c>
      <c r="I37" s="187">
        <v>12</v>
      </c>
      <c r="J37" s="187">
        <v>12</v>
      </c>
      <c r="K37" s="187">
        <v>12</v>
      </c>
      <c r="L37" s="187">
        <v>12</v>
      </c>
      <c r="M37" s="187">
        <v>12</v>
      </c>
    </row>
    <row r="38" spans="1:13" s="116" customFormat="1" ht="12.75">
      <c r="A38" s="865" t="s">
        <v>569</v>
      </c>
      <c r="B38" s="866"/>
      <c r="C38" s="866"/>
      <c r="D38" s="866"/>
      <c r="E38" s="866"/>
      <c r="F38" s="866"/>
      <c r="G38" s="866"/>
      <c r="H38" s="866"/>
      <c r="I38" s="866"/>
      <c r="J38" s="866"/>
      <c r="K38" s="866"/>
      <c r="L38" s="866"/>
      <c r="M38" s="866"/>
    </row>
    <row r="39" spans="1:13" s="116" customFormat="1" ht="12.75">
      <c r="A39" s="592" t="s">
        <v>570</v>
      </c>
      <c r="B39" s="187">
        <v>2</v>
      </c>
      <c r="C39" s="187">
        <v>2</v>
      </c>
      <c r="D39" s="187">
        <v>2</v>
      </c>
      <c r="E39" s="187">
        <v>2</v>
      </c>
      <c r="F39" s="187">
        <v>2</v>
      </c>
      <c r="G39" s="187">
        <v>2</v>
      </c>
      <c r="H39" s="187">
        <v>2</v>
      </c>
      <c r="I39" s="187">
        <v>2</v>
      </c>
      <c r="J39" s="187">
        <v>2</v>
      </c>
      <c r="K39" s="187">
        <v>2</v>
      </c>
      <c r="L39" s="187">
        <v>2</v>
      </c>
      <c r="M39" s="187">
        <v>2</v>
      </c>
    </row>
    <row r="40" spans="1:13" s="116" customFormat="1" ht="12.75">
      <c r="A40" s="591" t="s">
        <v>598</v>
      </c>
      <c r="B40" s="187">
        <v>5.75</v>
      </c>
      <c r="C40" s="187">
        <v>5.75</v>
      </c>
      <c r="D40" s="187">
        <v>5.75</v>
      </c>
      <c r="E40" s="187">
        <v>5.75</v>
      </c>
      <c r="F40" s="187">
        <v>5.75</v>
      </c>
      <c r="G40" s="187">
        <v>5.75</v>
      </c>
      <c r="H40" s="187">
        <v>5.75</v>
      </c>
      <c r="I40" s="187">
        <v>5.75</v>
      </c>
      <c r="J40" s="187">
        <v>5.75</v>
      </c>
      <c r="K40" s="187">
        <v>5.75</v>
      </c>
      <c r="L40" s="187">
        <v>5.75</v>
      </c>
      <c r="M40" s="187">
        <v>5.75</v>
      </c>
    </row>
    <row r="41" spans="1:13" s="115" customFormat="1" ht="12.75" customHeight="1">
      <c r="A41" s="591" t="s">
        <v>599</v>
      </c>
      <c r="B41" s="187">
        <v>2</v>
      </c>
      <c r="C41" s="187">
        <v>2</v>
      </c>
      <c r="D41" s="187">
        <v>2</v>
      </c>
      <c r="E41" s="187">
        <v>2</v>
      </c>
      <c r="F41" s="187">
        <v>2</v>
      </c>
      <c r="G41" s="187">
        <v>2</v>
      </c>
      <c r="H41" s="187">
        <v>2</v>
      </c>
      <c r="I41" s="187">
        <v>2</v>
      </c>
      <c r="J41" s="187">
        <v>2</v>
      </c>
      <c r="K41" s="187">
        <v>2</v>
      </c>
      <c r="L41" s="187">
        <v>2</v>
      </c>
      <c r="M41" s="187">
        <v>2</v>
      </c>
    </row>
    <row r="42" spans="1:13" s="116" customFormat="1" ht="12.75">
      <c r="A42" s="591" t="s">
        <v>600</v>
      </c>
      <c r="B42" s="187">
        <v>1</v>
      </c>
      <c r="C42" s="187">
        <v>1</v>
      </c>
      <c r="D42" s="187">
        <v>1</v>
      </c>
      <c r="E42" s="187">
        <v>1</v>
      </c>
      <c r="F42" s="187">
        <v>1</v>
      </c>
      <c r="G42" s="187">
        <v>1</v>
      </c>
      <c r="H42" s="187">
        <v>1</v>
      </c>
      <c r="I42" s="187">
        <v>1</v>
      </c>
      <c r="J42" s="187">
        <v>1</v>
      </c>
      <c r="K42" s="187">
        <v>1</v>
      </c>
      <c r="L42" s="187">
        <v>1</v>
      </c>
      <c r="M42" s="187">
        <v>1</v>
      </c>
    </row>
    <row r="43" spans="1:13" s="116" customFormat="1" ht="12.75">
      <c r="A43" s="865" t="s">
        <v>605</v>
      </c>
      <c r="B43" s="866"/>
      <c r="C43" s="866"/>
      <c r="D43" s="866"/>
      <c r="E43" s="866"/>
      <c r="F43" s="866"/>
      <c r="G43" s="866"/>
      <c r="H43" s="866"/>
      <c r="I43" s="866"/>
      <c r="J43" s="866"/>
      <c r="K43" s="866"/>
      <c r="L43" s="866"/>
      <c r="M43" s="866"/>
    </row>
    <row r="44" spans="1:13" s="115" customFormat="1" ht="12.75" customHeight="1">
      <c r="A44" s="591" t="s">
        <v>606</v>
      </c>
      <c r="B44" s="187">
        <v>3</v>
      </c>
      <c r="C44" s="187">
        <v>3</v>
      </c>
      <c r="D44" s="187">
        <v>3</v>
      </c>
      <c r="E44" s="187">
        <v>3</v>
      </c>
      <c r="F44" s="187">
        <v>3</v>
      </c>
      <c r="G44" s="187">
        <v>3</v>
      </c>
      <c r="H44" s="187">
        <v>3</v>
      </c>
      <c r="I44" s="187">
        <v>3</v>
      </c>
      <c r="J44" s="187">
        <v>3</v>
      </c>
      <c r="K44" s="187">
        <v>3</v>
      </c>
      <c r="L44" s="187">
        <v>3</v>
      </c>
      <c r="M44" s="187">
        <v>3</v>
      </c>
    </row>
    <row r="45" spans="1:13" s="116" customFormat="1" ht="12.75">
      <c r="A45" s="591" t="s">
        <v>607</v>
      </c>
      <c r="B45" s="187">
        <v>3</v>
      </c>
      <c r="C45" s="187">
        <v>3</v>
      </c>
      <c r="D45" s="187">
        <v>3</v>
      </c>
      <c r="E45" s="187">
        <v>3</v>
      </c>
      <c r="F45" s="187">
        <v>3</v>
      </c>
      <c r="G45" s="187">
        <v>3</v>
      </c>
      <c r="H45" s="187">
        <v>3</v>
      </c>
      <c r="I45" s="187">
        <v>3</v>
      </c>
      <c r="J45" s="187">
        <v>3</v>
      </c>
      <c r="K45" s="187">
        <v>3</v>
      </c>
      <c r="L45" s="187">
        <v>3</v>
      </c>
      <c r="M45" s="187">
        <v>3</v>
      </c>
    </row>
    <row r="46" spans="1:13" s="115" customFormat="1" ht="12.75" customHeight="1">
      <c r="A46" s="865" t="s">
        <v>608</v>
      </c>
      <c r="B46" s="866"/>
      <c r="C46" s="866"/>
      <c r="D46" s="866"/>
      <c r="E46" s="866"/>
      <c r="F46" s="866"/>
      <c r="G46" s="866"/>
      <c r="H46" s="866"/>
      <c r="I46" s="866"/>
      <c r="J46" s="866"/>
      <c r="K46" s="866"/>
      <c r="L46" s="866"/>
      <c r="M46" s="866"/>
    </row>
    <row r="47" spans="1:13" s="116" customFormat="1" ht="12.75">
      <c r="A47" s="591" t="s">
        <v>609</v>
      </c>
      <c r="B47" s="732">
        <v>5</v>
      </c>
      <c r="C47" s="732">
        <v>5</v>
      </c>
      <c r="D47" s="732">
        <v>5</v>
      </c>
      <c r="E47" s="732">
        <v>5</v>
      </c>
      <c r="F47" s="732">
        <v>5</v>
      </c>
      <c r="G47" s="732">
        <v>5</v>
      </c>
      <c r="H47" s="187">
        <v>5</v>
      </c>
      <c r="I47" s="187">
        <v>5</v>
      </c>
      <c r="J47" s="187">
        <v>5</v>
      </c>
      <c r="K47" s="187">
        <v>5</v>
      </c>
      <c r="L47" s="187">
        <v>5</v>
      </c>
      <c r="M47" s="187">
        <v>5</v>
      </c>
    </row>
    <row r="48" spans="1:13" s="116" customFormat="1" ht="12.75">
      <c r="A48" s="865" t="s">
        <v>593</v>
      </c>
      <c r="B48" s="866"/>
      <c r="C48" s="866"/>
      <c r="D48" s="866"/>
      <c r="E48" s="866"/>
      <c r="F48" s="866"/>
      <c r="G48" s="866"/>
      <c r="H48" s="866"/>
      <c r="I48" s="866"/>
      <c r="J48" s="866"/>
      <c r="K48" s="866"/>
      <c r="L48" s="866"/>
      <c r="M48" s="866"/>
    </row>
    <row r="49" spans="1:13" s="116" customFormat="1" ht="12.75">
      <c r="A49" s="591" t="s">
        <v>594</v>
      </c>
      <c r="B49" s="187">
        <v>1</v>
      </c>
      <c r="C49" s="187">
        <v>1</v>
      </c>
      <c r="D49" s="187">
        <v>1</v>
      </c>
      <c r="E49" s="187">
        <v>1</v>
      </c>
      <c r="F49" s="187">
        <v>1</v>
      </c>
      <c r="G49" s="187">
        <v>1</v>
      </c>
      <c r="H49" s="187">
        <v>1</v>
      </c>
      <c r="I49" s="187">
        <v>1</v>
      </c>
      <c r="J49" s="187">
        <v>1</v>
      </c>
      <c r="K49" s="187">
        <v>1</v>
      </c>
      <c r="L49" s="187">
        <v>1</v>
      </c>
      <c r="M49" s="187">
        <v>1</v>
      </c>
    </row>
    <row r="50" spans="1:13" s="116" customFormat="1" ht="12.75">
      <c r="A50" s="591" t="s">
        <v>595</v>
      </c>
      <c r="B50" s="187">
        <v>7</v>
      </c>
      <c r="C50" s="187">
        <v>7</v>
      </c>
      <c r="D50" s="187">
        <v>7</v>
      </c>
      <c r="E50" s="187">
        <v>7</v>
      </c>
      <c r="F50" s="187">
        <v>7</v>
      </c>
      <c r="G50" s="187">
        <v>7</v>
      </c>
      <c r="H50" s="187">
        <v>7</v>
      </c>
      <c r="I50" s="187">
        <v>7</v>
      </c>
      <c r="J50" s="187">
        <v>7</v>
      </c>
      <c r="K50" s="187">
        <v>7</v>
      </c>
      <c r="L50" s="187">
        <v>7</v>
      </c>
      <c r="M50" s="187">
        <v>7</v>
      </c>
    </row>
    <row r="51" spans="1:13" s="116" customFormat="1" ht="12.75">
      <c r="A51" s="591" t="s">
        <v>777</v>
      </c>
      <c r="B51" s="187">
        <v>1</v>
      </c>
      <c r="C51" s="187">
        <v>1</v>
      </c>
      <c r="D51" s="187">
        <v>1</v>
      </c>
      <c r="E51" s="187">
        <v>1</v>
      </c>
      <c r="F51" s="187">
        <v>1</v>
      </c>
      <c r="G51" s="187">
        <v>1</v>
      </c>
      <c r="H51" s="187">
        <v>1</v>
      </c>
      <c r="I51" s="187">
        <v>1</v>
      </c>
      <c r="J51" s="187">
        <v>1</v>
      </c>
      <c r="K51" s="187">
        <v>1</v>
      </c>
      <c r="L51" s="187">
        <v>1</v>
      </c>
      <c r="M51" s="187">
        <v>1</v>
      </c>
    </row>
    <row r="52" spans="1:13" s="116" customFormat="1" ht="12.75">
      <c r="A52" s="591" t="s">
        <v>596</v>
      </c>
      <c r="B52" s="187">
        <v>3</v>
      </c>
      <c r="C52" s="187">
        <v>3</v>
      </c>
      <c r="D52" s="187">
        <v>3</v>
      </c>
      <c r="E52" s="187">
        <v>3</v>
      </c>
      <c r="F52" s="187">
        <v>3</v>
      </c>
      <c r="G52" s="187">
        <v>3</v>
      </c>
      <c r="H52" s="187">
        <v>3</v>
      </c>
      <c r="I52" s="187">
        <v>3</v>
      </c>
      <c r="J52" s="187">
        <v>3</v>
      </c>
      <c r="K52" s="187">
        <v>3</v>
      </c>
      <c r="L52" s="187">
        <v>3</v>
      </c>
      <c r="M52" s="187">
        <v>3</v>
      </c>
    </row>
    <row r="53" spans="1:13" s="117" customFormat="1" ht="12.75">
      <c r="A53" s="591" t="s">
        <v>597</v>
      </c>
      <c r="B53" s="187">
        <v>2</v>
      </c>
      <c r="C53" s="187">
        <v>2</v>
      </c>
      <c r="D53" s="187">
        <v>2</v>
      </c>
      <c r="E53" s="187">
        <v>2</v>
      </c>
      <c r="F53" s="187">
        <v>2</v>
      </c>
      <c r="G53" s="187">
        <v>2</v>
      </c>
      <c r="H53" s="187">
        <v>2</v>
      </c>
      <c r="I53" s="187">
        <v>2</v>
      </c>
      <c r="J53" s="187">
        <v>2</v>
      </c>
      <c r="K53" s="187">
        <v>2</v>
      </c>
      <c r="L53" s="187">
        <v>2</v>
      </c>
      <c r="M53" s="187">
        <v>2</v>
      </c>
    </row>
    <row r="54" spans="1:13" s="117" customFormat="1" ht="14.25" customHeight="1">
      <c r="A54" s="592" t="s">
        <v>570</v>
      </c>
      <c r="B54" s="187">
        <v>1</v>
      </c>
      <c r="C54" s="187">
        <v>1</v>
      </c>
      <c r="D54" s="187">
        <v>1</v>
      </c>
      <c r="E54" s="187">
        <v>1</v>
      </c>
      <c r="F54" s="187">
        <v>1</v>
      </c>
      <c r="G54" s="187">
        <v>1</v>
      </c>
      <c r="H54" s="187">
        <v>1</v>
      </c>
      <c r="I54" s="187">
        <v>1</v>
      </c>
      <c r="J54" s="187">
        <v>1</v>
      </c>
      <c r="K54" s="187">
        <v>1</v>
      </c>
      <c r="L54" s="187">
        <v>1</v>
      </c>
      <c r="M54" s="187">
        <v>1</v>
      </c>
    </row>
    <row r="55" spans="1:13" s="116" customFormat="1" ht="15.75" customHeight="1">
      <c r="A55" s="587" t="s">
        <v>687</v>
      </c>
      <c r="B55" s="186">
        <f aca="true" t="shared" si="2" ref="B55:M55">SUM(B33:B54)</f>
        <v>50.75</v>
      </c>
      <c r="C55" s="186">
        <f t="shared" si="2"/>
        <v>50.75</v>
      </c>
      <c r="D55" s="186">
        <f t="shared" si="2"/>
        <v>50.75</v>
      </c>
      <c r="E55" s="186">
        <f t="shared" si="2"/>
        <v>50.75</v>
      </c>
      <c r="F55" s="186">
        <f t="shared" si="2"/>
        <v>50.75</v>
      </c>
      <c r="G55" s="186">
        <f t="shared" si="2"/>
        <v>50.75</v>
      </c>
      <c r="H55" s="186">
        <f t="shared" si="2"/>
        <v>54.75</v>
      </c>
      <c r="I55" s="186">
        <f t="shared" si="2"/>
        <v>53.75</v>
      </c>
      <c r="J55" s="186">
        <f t="shared" si="2"/>
        <v>50.75</v>
      </c>
      <c r="K55" s="186">
        <f t="shared" si="2"/>
        <v>50.75</v>
      </c>
      <c r="L55" s="186">
        <f t="shared" si="2"/>
        <v>50.75</v>
      </c>
      <c r="M55" s="186">
        <f t="shared" si="2"/>
        <v>50.75</v>
      </c>
    </row>
    <row r="56" spans="1:13" s="117" customFormat="1" ht="25.5">
      <c r="A56" s="595" t="s">
        <v>694</v>
      </c>
      <c r="B56" s="190">
        <f aca="true" t="shared" si="3" ref="B56:M56">SUM(B55,B30,B25)</f>
        <v>119.75</v>
      </c>
      <c r="C56" s="190">
        <f t="shared" si="3"/>
        <v>122.75</v>
      </c>
      <c r="D56" s="190">
        <f t="shared" si="3"/>
        <v>122.75</v>
      </c>
      <c r="E56" s="190">
        <f t="shared" si="3"/>
        <v>122.75</v>
      </c>
      <c r="F56" s="190">
        <f t="shared" si="3"/>
        <v>122.75</v>
      </c>
      <c r="G56" s="190">
        <f t="shared" si="3"/>
        <v>122.75</v>
      </c>
      <c r="H56" s="190">
        <f t="shared" si="3"/>
        <v>126.75</v>
      </c>
      <c r="I56" s="190">
        <f t="shared" si="3"/>
        <v>125.75</v>
      </c>
      <c r="J56" s="190">
        <f t="shared" si="3"/>
        <v>122.75</v>
      </c>
      <c r="K56" s="190">
        <f t="shared" si="3"/>
        <v>122.75</v>
      </c>
      <c r="L56" s="190">
        <f t="shared" si="3"/>
        <v>122.75</v>
      </c>
      <c r="M56" s="190">
        <f t="shared" si="3"/>
        <v>122.75</v>
      </c>
    </row>
    <row r="57" spans="1:13" s="115" customFormat="1" ht="12.75" customHeight="1">
      <c r="A57" s="588"/>
      <c r="B57" s="187"/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</row>
    <row r="58" spans="1:13" s="585" customFormat="1" ht="12.75">
      <c r="A58" s="587" t="s">
        <v>602</v>
      </c>
      <c r="B58" s="186"/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</row>
    <row r="59" spans="1:13" s="115" customFormat="1" ht="15" customHeight="1">
      <c r="A59" s="865" t="s">
        <v>750</v>
      </c>
      <c r="B59" s="866"/>
      <c r="C59" s="866"/>
      <c r="D59" s="866"/>
      <c r="E59" s="866"/>
      <c r="F59" s="866"/>
      <c r="G59" s="866"/>
      <c r="H59" s="866"/>
      <c r="I59" s="866"/>
      <c r="J59" s="866"/>
      <c r="K59" s="866"/>
      <c r="L59" s="866"/>
      <c r="M59" s="866"/>
    </row>
    <row r="60" spans="1:13" s="116" customFormat="1" ht="12.75">
      <c r="A60" s="867"/>
      <c r="B60" s="868"/>
      <c r="C60" s="868"/>
      <c r="D60" s="868"/>
      <c r="E60" s="868"/>
      <c r="F60" s="868"/>
      <c r="G60" s="868"/>
      <c r="H60" s="868"/>
      <c r="I60" s="868"/>
      <c r="J60" s="868"/>
      <c r="K60" s="868"/>
      <c r="L60" s="868"/>
      <c r="M60" s="868"/>
    </row>
    <row r="61" spans="1:13" s="115" customFormat="1" ht="16.5" customHeight="1">
      <c r="A61" s="1161" t="s">
        <v>934</v>
      </c>
      <c r="B61" s="1162"/>
      <c r="C61" s="1162"/>
      <c r="D61" s="1163"/>
      <c r="E61" s="869"/>
      <c r="F61" s="869"/>
      <c r="G61" s="869"/>
      <c r="H61" s="869"/>
      <c r="I61" s="869"/>
      <c r="J61" s="869"/>
      <c r="K61" s="869"/>
      <c r="L61" s="869"/>
      <c r="M61" s="869"/>
    </row>
    <row r="62" spans="1:13" s="585" customFormat="1" ht="12.75">
      <c r="A62" s="592" t="s">
        <v>976</v>
      </c>
      <c r="B62" s="187">
        <v>1</v>
      </c>
      <c r="C62" s="187">
        <v>1</v>
      </c>
      <c r="D62" s="187">
        <v>1</v>
      </c>
      <c r="E62" s="187">
        <v>1</v>
      </c>
      <c r="F62" s="187">
        <v>0</v>
      </c>
      <c r="G62" s="187">
        <v>0</v>
      </c>
      <c r="H62" s="187">
        <v>0</v>
      </c>
      <c r="I62" s="187">
        <v>0</v>
      </c>
      <c r="J62" s="187">
        <v>0</v>
      </c>
      <c r="K62" s="187">
        <v>0</v>
      </c>
      <c r="L62" s="187">
        <v>0</v>
      </c>
      <c r="M62" s="187">
        <v>0</v>
      </c>
    </row>
    <row r="63" spans="1:13" s="115" customFormat="1" ht="16.5" customHeight="1">
      <c r="A63" s="1161" t="s">
        <v>1038</v>
      </c>
      <c r="B63" s="1162"/>
      <c r="C63" s="1162"/>
      <c r="D63" s="1162"/>
      <c r="E63" s="1162"/>
      <c r="F63" s="1162"/>
      <c r="G63" s="1162"/>
      <c r="H63" s="1163"/>
      <c r="I63" s="869"/>
      <c r="J63" s="869"/>
      <c r="K63" s="869"/>
      <c r="L63" s="869"/>
      <c r="M63" s="869"/>
    </row>
    <row r="64" spans="1:13" s="585" customFormat="1" ht="13.5" customHeight="1">
      <c r="A64" s="592" t="s">
        <v>1037</v>
      </c>
      <c r="B64" s="187">
        <v>46</v>
      </c>
      <c r="C64" s="187">
        <v>46</v>
      </c>
      <c r="D64" s="187">
        <v>0</v>
      </c>
      <c r="E64" s="187">
        <v>0</v>
      </c>
      <c r="F64" s="187">
        <v>0</v>
      </c>
      <c r="G64" s="187">
        <v>0</v>
      </c>
      <c r="H64" s="187">
        <v>0</v>
      </c>
      <c r="I64" s="187">
        <v>0</v>
      </c>
      <c r="J64" s="187">
        <v>0</v>
      </c>
      <c r="K64" s="187">
        <v>0</v>
      </c>
      <c r="L64" s="187">
        <v>0</v>
      </c>
      <c r="M64" s="187">
        <v>0</v>
      </c>
    </row>
    <row r="65" spans="1:13" s="585" customFormat="1" ht="12.75">
      <c r="A65" s="1161" t="s">
        <v>935</v>
      </c>
      <c r="B65" s="1162"/>
      <c r="C65" s="1162"/>
      <c r="D65" s="1163"/>
      <c r="E65" s="869"/>
      <c r="F65" s="869"/>
      <c r="G65" s="869"/>
      <c r="H65" s="869"/>
      <c r="I65" s="869"/>
      <c r="J65" s="869"/>
      <c r="K65" s="869"/>
      <c r="L65" s="869"/>
      <c r="M65" s="869"/>
    </row>
    <row r="66" spans="1:13" s="585" customFormat="1" ht="15" customHeight="1">
      <c r="A66" s="592" t="s">
        <v>977</v>
      </c>
      <c r="B66" s="187">
        <v>15</v>
      </c>
      <c r="C66" s="187">
        <v>15</v>
      </c>
      <c r="D66" s="187">
        <v>15</v>
      </c>
      <c r="E66" s="187">
        <v>0</v>
      </c>
      <c r="F66" s="187">
        <v>0</v>
      </c>
      <c r="G66" s="187">
        <v>0</v>
      </c>
      <c r="H66" s="187">
        <v>0</v>
      </c>
      <c r="I66" s="187">
        <v>0</v>
      </c>
      <c r="J66" s="187">
        <v>0</v>
      </c>
      <c r="K66" s="187">
        <v>0</v>
      </c>
      <c r="L66" s="187">
        <v>0</v>
      </c>
      <c r="M66" s="187">
        <v>0</v>
      </c>
    </row>
    <row r="67" spans="1:13" s="585" customFormat="1" ht="12" customHeight="1">
      <c r="A67" s="592" t="s">
        <v>978</v>
      </c>
      <c r="B67" s="187">
        <v>31</v>
      </c>
      <c r="C67" s="187">
        <v>31</v>
      </c>
      <c r="D67" s="187">
        <v>0</v>
      </c>
      <c r="E67" s="187">
        <v>0</v>
      </c>
      <c r="F67" s="187">
        <v>0</v>
      </c>
      <c r="G67" s="187">
        <v>0</v>
      </c>
      <c r="H67" s="187">
        <v>0</v>
      </c>
      <c r="I67" s="187">
        <v>0</v>
      </c>
      <c r="J67" s="187">
        <v>0</v>
      </c>
      <c r="K67" s="187">
        <v>0</v>
      </c>
      <c r="L67" s="187">
        <v>0</v>
      </c>
      <c r="M67" s="187">
        <v>0</v>
      </c>
    </row>
    <row r="68" spans="1:13" s="585" customFormat="1" ht="15" customHeight="1">
      <c r="A68" s="592" t="s">
        <v>978</v>
      </c>
      <c r="B68" s="187">
        <v>11</v>
      </c>
      <c r="C68" s="187">
        <v>11</v>
      </c>
      <c r="D68" s="187">
        <v>0</v>
      </c>
      <c r="E68" s="187">
        <v>0</v>
      </c>
      <c r="F68" s="187">
        <v>0</v>
      </c>
      <c r="G68" s="187">
        <v>0</v>
      </c>
      <c r="H68" s="187">
        <v>0</v>
      </c>
      <c r="I68" s="187">
        <v>0</v>
      </c>
      <c r="J68" s="187">
        <v>0</v>
      </c>
      <c r="K68" s="187">
        <v>0</v>
      </c>
      <c r="L68" s="187">
        <v>0</v>
      </c>
      <c r="M68" s="187">
        <v>0</v>
      </c>
    </row>
    <row r="69" spans="1:13" s="585" customFormat="1" ht="15.75" customHeight="1">
      <c r="A69" s="592" t="s">
        <v>979</v>
      </c>
      <c r="B69" s="187">
        <v>33</v>
      </c>
      <c r="C69" s="187">
        <v>33</v>
      </c>
      <c r="D69" s="187">
        <v>0</v>
      </c>
      <c r="E69" s="187">
        <v>0</v>
      </c>
      <c r="F69" s="187">
        <v>0</v>
      </c>
      <c r="G69" s="187">
        <v>0</v>
      </c>
      <c r="H69" s="187">
        <v>0</v>
      </c>
      <c r="I69" s="187">
        <v>0</v>
      </c>
      <c r="J69" s="187">
        <v>0</v>
      </c>
      <c r="K69" s="187">
        <v>0</v>
      </c>
      <c r="L69" s="187">
        <v>0</v>
      </c>
      <c r="M69" s="187">
        <v>0</v>
      </c>
    </row>
    <row r="70" spans="1:13" s="116" customFormat="1" ht="12.75">
      <c r="A70" s="596" t="s">
        <v>247</v>
      </c>
      <c r="B70" s="597">
        <f aca="true" t="shared" si="4" ref="B70:M70">SUM(B62:B69)</f>
        <v>137</v>
      </c>
      <c r="C70" s="597">
        <f t="shared" si="4"/>
        <v>137</v>
      </c>
      <c r="D70" s="597">
        <f t="shared" si="4"/>
        <v>16</v>
      </c>
      <c r="E70" s="597">
        <f t="shared" si="4"/>
        <v>1</v>
      </c>
      <c r="F70" s="597">
        <f t="shared" si="4"/>
        <v>0</v>
      </c>
      <c r="G70" s="597">
        <f t="shared" si="4"/>
        <v>0</v>
      </c>
      <c r="H70" s="597">
        <f t="shared" si="4"/>
        <v>0</v>
      </c>
      <c r="I70" s="597">
        <f t="shared" si="4"/>
        <v>0</v>
      </c>
      <c r="J70" s="597">
        <f t="shared" si="4"/>
        <v>0</v>
      </c>
      <c r="K70" s="597">
        <f t="shared" si="4"/>
        <v>0</v>
      </c>
      <c r="L70" s="597">
        <f t="shared" si="4"/>
        <v>0</v>
      </c>
      <c r="M70" s="597">
        <f t="shared" si="4"/>
        <v>0</v>
      </c>
    </row>
    <row r="71" spans="1:13" s="116" customFormat="1" ht="25.5">
      <c r="A71" s="595" t="s">
        <v>872</v>
      </c>
      <c r="B71" s="190">
        <f>SUM(B70)</f>
        <v>137</v>
      </c>
      <c r="C71" s="190">
        <f aca="true" t="shared" si="5" ref="C71:M71">SUM(C70)</f>
        <v>137</v>
      </c>
      <c r="D71" s="190">
        <f t="shared" si="5"/>
        <v>16</v>
      </c>
      <c r="E71" s="190">
        <f t="shared" si="5"/>
        <v>1</v>
      </c>
      <c r="F71" s="190">
        <f t="shared" si="5"/>
        <v>0</v>
      </c>
      <c r="G71" s="190">
        <f t="shared" si="5"/>
        <v>0</v>
      </c>
      <c r="H71" s="190">
        <f t="shared" si="5"/>
        <v>0</v>
      </c>
      <c r="I71" s="190">
        <f t="shared" si="5"/>
        <v>0</v>
      </c>
      <c r="J71" s="190">
        <f t="shared" si="5"/>
        <v>0</v>
      </c>
      <c r="K71" s="190">
        <f t="shared" si="5"/>
        <v>0</v>
      </c>
      <c r="L71" s="190">
        <f t="shared" si="5"/>
        <v>0</v>
      </c>
      <c r="M71" s="190">
        <f t="shared" si="5"/>
        <v>0</v>
      </c>
    </row>
    <row r="72" spans="1:13" s="116" customFormat="1" ht="12.75">
      <c r="A72" s="592" t="s">
        <v>978</v>
      </c>
      <c r="B72" s="187">
        <v>11</v>
      </c>
      <c r="C72" s="187">
        <v>11</v>
      </c>
      <c r="D72" s="187">
        <v>0</v>
      </c>
      <c r="E72" s="187">
        <v>0</v>
      </c>
      <c r="F72" s="187">
        <v>0</v>
      </c>
      <c r="G72" s="187">
        <v>0</v>
      </c>
      <c r="H72" s="187">
        <v>0</v>
      </c>
      <c r="I72" s="187">
        <v>0</v>
      </c>
      <c r="J72" s="187">
        <v>0</v>
      </c>
      <c r="K72" s="187">
        <v>0</v>
      </c>
      <c r="L72" s="187">
        <v>0</v>
      </c>
      <c r="M72" s="187">
        <v>0</v>
      </c>
    </row>
    <row r="73" spans="1:13" s="116" customFormat="1" ht="15" customHeight="1">
      <c r="A73" s="592" t="s">
        <v>979</v>
      </c>
      <c r="B73" s="187">
        <v>33</v>
      </c>
      <c r="C73" s="187">
        <v>33</v>
      </c>
      <c r="D73" s="187">
        <v>0</v>
      </c>
      <c r="E73" s="187">
        <v>0</v>
      </c>
      <c r="F73" s="187">
        <v>0</v>
      </c>
      <c r="G73" s="187">
        <v>0</v>
      </c>
      <c r="H73" s="187">
        <v>0</v>
      </c>
      <c r="I73" s="187">
        <v>0</v>
      </c>
      <c r="J73" s="187">
        <v>0</v>
      </c>
      <c r="K73" s="187">
        <v>0</v>
      </c>
      <c r="L73" s="187">
        <v>0</v>
      </c>
      <c r="M73" s="187">
        <v>0</v>
      </c>
    </row>
    <row r="74" spans="1:13" s="598" customFormat="1" ht="12.75">
      <c r="A74" s="596" t="s">
        <v>247</v>
      </c>
      <c r="B74" s="597">
        <f aca="true" t="shared" si="6" ref="B74:M74">SUM(B60:B73)</f>
        <v>455</v>
      </c>
      <c r="C74" s="597">
        <f t="shared" si="6"/>
        <v>455</v>
      </c>
      <c r="D74" s="597">
        <f t="shared" si="6"/>
        <v>48</v>
      </c>
      <c r="E74" s="597">
        <f t="shared" si="6"/>
        <v>3</v>
      </c>
      <c r="F74" s="597">
        <f t="shared" si="6"/>
        <v>0</v>
      </c>
      <c r="G74" s="597">
        <f t="shared" si="6"/>
        <v>0</v>
      </c>
      <c r="H74" s="597">
        <f t="shared" si="6"/>
        <v>0</v>
      </c>
      <c r="I74" s="597">
        <f t="shared" si="6"/>
        <v>0</v>
      </c>
      <c r="J74" s="597">
        <f t="shared" si="6"/>
        <v>0</v>
      </c>
      <c r="K74" s="597">
        <f t="shared" si="6"/>
        <v>0</v>
      </c>
      <c r="L74" s="597">
        <f t="shared" si="6"/>
        <v>0</v>
      </c>
      <c r="M74" s="597">
        <f t="shared" si="6"/>
        <v>0</v>
      </c>
    </row>
    <row r="75" spans="1:13" s="117" customFormat="1" ht="32.25" customHeight="1">
      <c r="A75" s="595" t="s">
        <v>872</v>
      </c>
      <c r="B75" s="190">
        <f>SUM(B74)</f>
        <v>455</v>
      </c>
      <c r="C75" s="190">
        <f aca="true" t="shared" si="7" ref="C75:M75">SUM(C74)</f>
        <v>455</v>
      </c>
      <c r="D75" s="190">
        <f t="shared" si="7"/>
        <v>48</v>
      </c>
      <c r="E75" s="190">
        <f t="shared" si="7"/>
        <v>3</v>
      </c>
      <c r="F75" s="190">
        <f t="shared" si="7"/>
        <v>0</v>
      </c>
      <c r="G75" s="190">
        <f t="shared" si="7"/>
        <v>0</v>
      </c>
      <c r="H75" s="190">
        <f t="shared" si="7"/>
        <v>0</v>
      </c>
      <c r="I75" s="190">
        <f t="shared" si="7"/>
        <v>0</v>
      </c>
      <c r="J75" s="190">
        <f t="shared" si="7"/>
        <v>0</v>
      </c>
      <c r="K75" s="190">
        <f t="shared" si="7"/>
        <v>0</v>
      </c>
      <c r="L75" s="190">
        <f t="shared" si="7"/>
        <v>0</v>
      </c>
      <c r="M75" s="190">
        <f t="shared" si="7"/>
        <v>0</v>
      </c>
    </row>
    <row r="77" ht="14.25">
      <c r="A77" s="336" t="s">
        <v>1194</v>
      </c>
    </row>
    <row r="78" spans="1:4" ht="15">
      <c r="A78" s="818" t="s">
        <v>1195</v>
      </c>
      <c r="B78" s="819"/>
      <c r="C78" s="819"/>
      <c r="D78" s="819"/>
    </row>
  </sheetData>
  <sheetProtection/>
  <mergeCells count="7">
    <mergeCell ref="A65:D65"/>
    <mergeCell ref="A3:M3"/>
    <mergeCell ref="A4:M4"/>
    <mergeCell ref="A5:M5"/>
    <mergeCell ref="A63:H63"/>
    <mergeCell ref="A6:M6"/>
    <mergeCell ref="A61:D61"/>
  </mergeCells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landscape" paperSize="9" scale="78" r:id="rId1"/>
  <rowBreaks count="1" manualBreakCount="1">
    <brk id="3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F67"/>
  <sheetViews>
    <sheetView zoomScaleSheetLayoutView="100" zoomScalePageLayoutView="0" workbookViewId="0" topLeftCell="A58">
      <selection activeCell="A67" sqref="A67:C67"/>
    </sheetView>
  </sheetViews>
  <sheetFormatPr defaultColWidth="8.875" defaultRowHeight="12.75"/>
  <cols>
    <col min="1" max="1" width="4.125" style="119" bestFit="1" customWidth="1"/>
    <col min="2" max="2" width="2.375" style="6" customWidth="1"/>
    <col min="3" max="3" width="90.00390625" style="6" customWidth="1"/>
    <col min="4" max="4" width="12.625" style="6" customWidth="1"/>
    <col min="5" max="16384" width="8.875" style="6" customWidth="1"/>
  </cols>
  <sheetData>
    <row r="1" spans="3:5" ht="18">
      <c r="C1" s="954" t="s">
        <v>1217</v>
      </c>
      <c r="D1" s="1146"/>
      <c r="E1" s="118"/>
    </row>
    <row r="2" ht="15">
      <c r="D2" s="8"/>
    </row>
    <row r="3" spans="1:4" s="7" customFormat="1" ht="14.25">
      <c r="A3" s="119"/>
      <c r="B3" s="1174" t="s">
        <v>916</v>
      </c>
      <c r="C3" s="1174"/>
      <c r="D3" s="1174"/>
    </row>
    <row r="4" spans="1:4" s="149" customFormat="1" ht="14.25">
      <c r="A4" s="119"/>
      <c r="B4" s="1174"/>
      <c r="C4" s="1174"/>
      <c r="D4" s="1174"/>
    </row>
    <row r="5" spans="1:4" s="7" customFormat="1" ht="15.75" thickBot="1">
      <c r="A5" s="119"/>
      <c r="B5" s="6"/>
      <c r="C5" s="6"/>
      <c r="D5" s="8" t="s">
        <v>616</v>
      </c>
    </row>
    <row r="6" spans="1:4" s="20" customFormat="1" ht="15">
      <c r="A6" s="1166" t="s">
        <v>706</v>
      </c>
      <c r="B6" s="1168" t="s">
        <v>610</v>
      </c>
      <c r="C6" s="1169"/>
      <c r="D6" s="9" t="s">
        <v>626</v>
      </c>
    </row>
    <row r="7" spans="1:4" ht="15">
      <c r="A7" s="1167"/>
      <c r="B7" s="1170" t="s">
        <v>700</v>
      </c>
      <c r="C7" s="1170"/>
      <c r="D7" s="148" t="s">
        <v>701</v>
      </c>
    </row>
    <row r="8" spans="1:4" ht="15">
      <c r="A8" s="153">
        <v>1</v>
      </c>
      <c r="B8" s="150" t="s">
        <v>617</v>
      </c>
      <c r="C8" s="18"/>
      <c r="D8" s="10"/>
    </row>
    <row r="9" spans="1:4" ht="15">
      <c r="A9" s="153">
        <v>2</v>
      </c>
      <c r="B9" s="151" t="s">
        <v>719</v>
      </c>
      <c r="C9" s="19"/>
      <c r="D9" s="17"/>
    </row>
    <row r="10" spans="1:4" ht="15">
      <c r="A10" s="153">
        <v>3</v>
      </c>
      <c r="B10" s="121" t="s">
        <v>627</v>
      </c>
      <c r="C10" s="631" t="s">
        <v>1201</v>
      </c>
      <c r="D10" s="139">
        <v>5500</v>
      </c>
    </row>
    <row r="11" spans="1:4" ht="15">
      <c r="A11" s="153">
        <v>4</v>
      </c>
      <c r="B11" s="121" t="s">
        <v>627</v>
      </c>
      <c r="C11" s="631" t="s">
        <v>914</v>
      </c>
      <c r="D11" s="11">
        <v>216</v>
      </c>
    </row>
    <row r="12" spans="1:4" ht="15">
      <c r="A12" s="153">
        <v>5</v>
      </c>
      <c r="B12" s="121" t="s">
        <v>627</v>
      </c>
      <c r="C12" s="631" t="s">
        <v>967</v>
      </c>
      <c r="D12" s="11">
        <v>250</v>
      </c>
    </row>
    <row r="13" spans="1:4" ht="30">
      <c r="A13" s="153">
        <v>6</v>
      </c>
      <c r="B13" s="121" t="s">
        <v>627</v>
      </c>
      <c r="C13" s="632" t="s">
        <v>1202</v>
      </c>
      <c r="D13" s="11">
        <f>420421+6+8825-79421</f>
        <v>349831</v>
      </c>
    </row>
    <row r="14" spans="1:4" ht="30">
      <c r="A14" s="153">
        <v>7</v>
      </c>
      <c r="B14" s="121" t="s">
        <v>627</v>
      </c>
      <c r="C14" s="632" t="s">
        <v>1203</v>
      </c>
      <c r="D14" s="11">
        <f>768006+35888</f>
        <v>803894</v>
      </c>
    </row>
    <row r="15" spans="1:4" ht="15">
      <c r="A15" s="153">
        <v>8</v>
      </c>
      <c r="B15" s="121" t="s">
        <v>627</v>
      </c>
      <c r="C15" s="631" t="s">
        <v>259</v>
      </c>
      <c r="D15" s="11">
        <v>161</v>
      </c>
    </row>
    <row r="16" spans="1:4" ht="15">
      <c r="A16" s="153">
        <v>9</v>
      </c>
      <c r="B16" s="121" t="s">
        <v>627</v>
      </c>
      <c r="C16" s="631" t="s">
        <v>968</v>
      </c>
      <c r="D16" s="11">
        <v>127</v>
      </c>
    </row>
    <row r="17" spans="1:4" ht="30">
      <c r="A17" s="153">
        <v>10</v>
      </c>
      <c r="B17" s="121" t="s">
        <v>627</v>
      </c>
      <c r="C17" s="631" t="s">
        <v>1204</v>
      </c>
      <c r="D17" s="11">
        <v>490</v>
      </c>
    </row>
    <row r="18" spans="1:4" ht="20.25" customHeight="1">
      <c r="A18" s="153">
        <v>11</v>
      </c>
      <c r="B18" s="121" t="s">
        <v>627</v>
      </c>
      <c r="C18" s="631" t="s">
        <v>1039</v>
      </c>
      <c r="D18" s="11">
        <f>430+156</f>
        <v>586</v>
      </c>
    </row>
    <row r="19" spans="1:4" s="66" customFormat="1" ht="15">
      <c r="A19" s="153">
        <v>12</v>
      </c>
      <c r="B19" s="121" t="s">
        <v>627</v>
      </c>
      <c r="C19" s="631" t="s">
        <v>1081</v>
      </c>
      <c r="D19" s="11">
        <v>70</v>
      </c>
    </row>
    <row r="20" spans="1:4" s="66" customFormat="1" ht="30">
      <c r="A20" s="153">
        <v>13</v>
      </c>
      <c r="B20" s="121" t="s">
        <v>627</v>
      </c>
      <c r="C20" s="631" t="s">
        <v>1205</v>
      </c>
      <c r="D20" s="11">
        <v>1350</v>
      </c>
    </row>
    <row r="21" spans="1:4" s="66" customFormat="1" ht="15">
      <c r="A21" s="153">
        <v>14</v>
      </c>
      <c r="B21" s="121" t="s">
        <v>627</v>
      </c>
      <c r="C21" s="631" t="s">
        <v>1206</v>
      </c>
      <c r="D21" s="11">
        <v>5644</v>
      </c>
    </row>
    <row r="22" spans="1:4" s="66" customFormat="1" ht="15">
      <c r="A22" s="153">
        <v>15</v>
      </c>
      <c r="B22" s="121" t="s">
        <v>627</v>
      </c>
      <c r="C22" s="631" t="s">
        <v>1082</v>
      </c>
      <c r="D22" s="11">
        <v>8319</v>
      </c>
    </row>
    <row r="23" spans="1:4" s="66" customFormat="1" ht="30">
      <c r="A23" s="153">
        <v>16</v>
      </c>
      <c r="B23" s="121" t="s">
        <v>627</v>
      </c>
      <c r="C23" s="631" t="s">
        <v>1207</v>
      </c>
      <c r="D23" s="11">
        <f>49+10330</f>
        <v>10379</v>
      </c>
    </row>
    <row r="24" spans="1:4" s="66" customFormat="1" ht="15">
      <c r="A24" s="153">
        <v>17</v>
      </c>
      <c r="B24" s="121" t="s">
        <v>627</v>
      </c>
      <c r="C24" s="631" t="s">
        <v>1084</v>
      </c>
      <c r="D24" s="11">
        <v>248</v>
      </c>
    </row>
    <row r="25" spans="1:4" s="66" customFormat="1" ht="15">
      <c r="A25" s="153">
        <v>18</v>
      </c>
      <c r="B25" s="121" t="s">
        <v>627</v>
      </c>
      <c r="C25" s="631" t="s">
        <v>1040</v>
      </c>
      <c r="D25" s="11">
        <v>6000</v>
      </c>
    </row>
    <row r="26" spans="1:4" s="7" customFormat="1" ht="15">
      <c r="A26" s="153">
        <v>19</v>
      </c>
      <c r="B26" s="121" t="s">
        <v>627</v>
      </c>
      <c r="C26" s="631" t="s">
        <v>1208</v>
      </c>
      <c r="D26" s="11">
        <v>360</v>
      </c>
    </row>
    <row r="27" spans="1:4" ht="15">
      <c r="A27" s="153">
        <v>20</v>
      </c>
      <c r="B27" s="121" t="s">
        <v>627</v>
      </c>
      <c r="C27" s="574" t="s">
        <v>1209</v>
      </c>
      <c r="D27" s="11">
        <v>3000</v>
      </c>
    </row>
    <row r="28" spans="1:4" s="20" customFormat="1" ht="15">
      <c r="A28" s="153">
        <v>21</v>
      </c>
      <c r="B28" s="121"/>
      <c r="C28" s="22" t="s">
        <v>644</v>
      </c>
      <c r="D28" s="141">
        <f>SUM(D10:D27)</f>
        <v>1196425</v>
      </c>
    </row>
    <row r="29" spans="1:4" s="20" customFormat="1" ht="15">
      <c r="A29" s="153">
        <v>22</v>
      </c>
      <c r="B29" s="1171" t="s">
        <v>624</v>
      </c>
      <c r="C29" s="1172"/>
      <c r="D29" s="1173"/>
    </row>
    <row r="30" spans="1:4" s="20" customFormat="1" ht="15">
      <c r="A30" s="153">
        <v>23</v>
      </c>
      <c r="B30" s="121" t="s">
        <v>627</v>
      </c>
      <c r="C30" s="575" t="s">
        <v>258</v>
      </c>
      <c r="D30" s="573">
        <v>445</v>
      </c>
    </row>
    <row r="31" spans="1:4" s="20" customFormat="1" ht="15">
      <c r="A31" s="153">
        <v>24</v>
      </c>
      <c r="B31" s="121" t="s">
        <v>627</v>
      </c>
      <c r="C31" s="631" t="s">
        <v>1083</v>
      </c>
      <c r="D31" s="11">
        <v>170</v>
      </c>
    </row>
    <row r="32" spans="1:4" s="20" customFormat="1" ht="15">
      <c r="A32" s="153">
        <v>25</v>
      </c>
      <c r="B32" s="572"/>
      <c r="C32" s="22" t="s">
        <v>822</v>
      </c>
      <c r="D32" s="141">
        <f>SUM(D30:D31)</f>
        <v>615</v>
      </c>
    </row>
    <row r="33" spans="1:4" ht="15">
      <c r="A33" s="153">
        <v>26</v>
      </c>
      <c r="B33" s="1171" t="s">
        <v>970</v>
      </c>
      <c r="C33" s="1172"/>
      <c r="D33" s="1173"/>
    </row>
    <row r="34" spans="1:4" ht="15">
      <c r="A34" s="153">
        <v>27</v>
      </c>
      <c r="B34" s="121" t="s">
        <v>627</v>
      </c>
      <c r="C34" s="575" t="s">
        <v>972</v>
      </c>
      <c r="D34" s="759">
        <f>254-50</f>
        <v>204</v>
      </c>
    </row>
    <row r="35" spans="1:4" s="20" customFormat="1" ht="15">
      <c r="A35" s="153">
        <v>28</v>
      </c>
      <c r="B35" s="121" t="s">
        <v>627</v>
      </c>
      <c r="C35" s="575" t="s">
        <v>1085</v>
      </c>
      <c r="D35" s="759">
        <v>333</v>
      </c>
    </row>
    <row r="36" spans="1:4" s="20" customFormat="1" ht="15">
      <c r="A36" s="153">
        <v>29</v>
      </c>
      <c r="B36" s="572"/>
      <c r="C36" s="22" t="s">
        <v>971</v>
      </c>
      <c r="D36" s="141">
        <f>SUM(D34:D35)</f>
        <v>537</v>
      </c>
    </row>
    <row r="37" spans="1:4" s="20" customFormat="1" ht="15.75" thickBot="1">
      <c r="A37" s="153">
        <v>30</v>
      </c>
      <c r="B37" s="23" t="s">
        <v>613</v>
      </c>
      <c r="C37" s="23"/>
      <c r="D37" s="14">
        <f>SUM(D36+D32+D28)</f>
        <v>1197577</v>
      </c>
    </row>
    <row r="38" spans="1:4" s="20" customFormat="1" ht="15">
      <c r="A38" s="153">
        <v>31</v>
      </c>
      <c r="B38" s="1164" t="s">
        <v>625</v>
      </c>
      <c r="C38" s="1164"/>
      <c r="D38" s="1165"/>
    </row>
    <row r="39" spans="1:4" s="7" customFormat="1" ht="15">
      <c r="A39" s="153">
        <v>32</v>
      </c>
      <c r="B39" s="192" t="s">
        <v>719</v>
      </c>
      <c r="C39" s="21"/>
      <c r="D39" s="12"/>
    </row>
    <row r="40" spans="1:4" ht="15" customHeight="1" hidden="1">
      <c r="A40" s="153">
        <v>33</v>
      </c>
      <c r="B40" s="121" t="s">
        <v>627</v>
      </c>
      <c r="C40" s="631" t="s">
        <v>966</v>
      </c>
      <c r="D40" s="11">
        <v>579</v>
      </c>
    </row>
    <row r="41" spans="1:4" s="20" customFormat="1" ht="15" customHeight="1" hidden="1">
      <c r="A41" s="153">
        <v>34</v>
      </c>
      <c r="B41" s="121" t="s">
        <v>627</v>
      </c>
      <c r="C41" s="631" t="s">
        <v>1210</v>
      </c>
      <c r="D41" s="11">
        <v>350</v>
      </c>
    </row>
    <row r="42" spans="1:4" s="7" customFormat="1" ht="15" customHeight="1" hidden="1" thickBot="1">
      <c r="A42" s="153">
        <v>35</v>
      </c>
      <c r="B42" s="760" t="s">
        <v>627</v>
      </c>
      <c r="C42" s="631" t="s">
        <v>1211</v>
      </c>
      <c r="D42" s="11">
        <v>2250</v>
      </c>
    </row>
    <row r="43" spans="1:4" ht="15">
      <c r="A43" s="153">
        <v>36</v>
      </c>
      <c r="B43" s="760" t="s">
        <v>627</v>
      </c>
      <c r="C43" s="631" t="s">
        <v>1212</v>
      </c>
      <c r="D43" s="11">
        <f>2250+12750</f>
        <v>15000</v>
      </c>
    </row>
    <row r="44" spans="1:4" ht="15">
      <c r="A44" s="153">
        <v>37</v>
      </c>
      <c r="B44" s="872"/>
      <c r="C44" s="873" t="s">
        <v>644</v>
      </c>
      <c r="D44" s="874">
        <f>SUM(D40:D43)</f>
        <v>18179</v>
      </c>
    </row>
    <row r="45" spans="1:4" ht="15">
      <c r="A45" s="153">
        <v>38</v>
      </c>
      <c r="B45" s="1171" t="s">
        <v>970</v>
      </c>
      <c r="C45" s="1172"/>
      <c r="D45" s="1173"/>
    </row>
    <row r="46" spans="1:4" ht="15">
      <c r="A46" s="153">
        <v>39</v>
      </c>
      <c r="B46" s="760" t="s">
        <v>627</v>
      </c>
      <c r="C46" s="575" t="s">
        <v>1086</v>
      </c>
      <c r="D46" s="731">
        <v>667</v>
      </c>
    </row>
    <row r="47" spans="1:4" s="7" customFormat="1" ht="15">
      <c r="A47" s="153">
        <v>40</v>
      </c>
      <c r="B47" s="872"/>
      <c r="C47" s="22" t="s">
        <v>971</v>
      </c>
      <c r="D47" s="874">
        <f>SUM(D46)</f>
        <v>667</v>
      </c>
    </row>
    <row r="48" spans="1:4" ht="21" customHeight="1" thickBot="1">
      <c r="A48" s="875">
        <v>41</v>
      </c>
      <c r="B48" s="761" t="s">
        <v>613</v>
      </c>
      <c r="C48" s="761"/>
      <c r="D48" s="876">
        <f>SUM(D44+D47)</f>
        <v>18846</v>
      </c>
    </row>
    <row r="49" spans="1:4" ht="15">
      <c r="A49" s="877">
        <v>42</v>
      </c>
      <c r="B49" s="1175" t="s">
        <v>228</v>
      </c>
      <c r="C49" s="1176"/>
      <c r="D49" s="1177"/>
    </row>
    <row r="50" spans="1:4" ht="21" customHeight="1">
      <c r="A50" s="153">
        <v>43</v>
      </c>
      <c r="B50" s="24" t="s">
        <v>719</v>
      </c>
      <c r="C50" s="21"/>
      <c r="D50" s="15"/>
    </row>
    <row r="51" spans="1:4" ht="15">
      <c r="A51" s="153">
        <v>44</v>
      </c>
      <c r="B51" s="121" t="s">
        <v>627</v>
      </c>
      <c r="C51" s="575" t="s">
        <v>697</v>
      </c>
      <c r="D51" s="13">
        <v>399</v>
      </c>
    </row>
    <row r="52" spans="1:4" ht="15">
      <c r="A52" s="153">
        <v>45</v>
      </c>
      <c r="B52" s="121" t="s">
        <v>627</v>
      </c>
      <c r="C52" s="575" t="s">
        <v>969</v>
      </c>
      <c r="D52" s="13">
        <v>500</v>
      </c>
    </row>
    <row r="53" spans="1:4" ht="30">
      <c r="A53" s="153">
        <v>46</v>
      </c>
      <c r="B53" s="121" t="s">
        <v>627</v>
      </c>
      <c r="C53" s="730" t="s">
        <v>1213</v>
      </c>
      <c r="D53" s="13">
        <f>1830+9561</f>
        <v>11391</v>
      </c>
    </row>
    <row r="54" spans="1:4" ht="15.75" thickBot="1">
      <c r="A54" s="875">
        <v>47</v>
      </c>
      <c r="B54" s="25" t="s">
        <v>613</v>
      </c>
      <c r="C54" s="23"/>
      <c r="D54" s="16">
        <f>SUM(D51:D53)</f>
        <v>12290</v>
      </c>
    </row>
    <row r="55" spans="1:4" ht="15">
      <c r="A55" s="877">
        <v>48</v>
      </c>
      <c r="B55" s="1164" t="s">
        <v>1214</v>
      </c>
      <c r="C55" s="1164"/>
      <c r="D55" s="1165"/>
    </row>
    <row r="56" spans="1:4" ht="15">
      <c r="A56" s="153">
        <v>49</v>
      </c>
      <c r="B56" s="121"/>
      <c r="C56" s="878"/>
      <c r="D56" s="879"/>
    </row>
    <row r="57" spans="1:4" ht="15.75" thickBot="1">
      <c r="A57" s="153">
        <v>50</v>
      </c>
      <c r="B57" s="25" t="s">
        <v>613</v>
      </c>
      <c r="C57" s="23"/>
      <c r="D57" s="16">
        <f>SUM(D56:D56)</f>
        <v>0</v>
      </c>
    </row>
    <row r="58" spans="1:4" ht="15">
      <c r="A58" s="153">
        <v>48</v>
      </c>
      <c r="B58" s="1164" t="s">
        <v>698</v>
      </c>
      <c r="C58" s="1164"/>
      <c r="D58" s="1165"/>
    </row>
    <row r="59" spans="1:4" ht="15">
      <c r="A59" s="153">
        <v>49</v>
      </c>
      <c r="B59" s="24" t="s">
        <v>719</v>
      </c>
      <c r="C59" s="140"/>
      <c r="D59" s="138"/>
    </row>
    <row r="60" spans="1:4" ht="15">
      <c r="A60" s="153">
        <v>50</v>
      </c>
      <c r="B60" s="121" t="s">
        <v>627</v>
      </c>
      <c r="C60" s="122" t="s">
        <v>1215</v>
      </c>
      <c r="D60" s="731">
        <v>40540</v>
      </c>
    </row>
    <row r="61" spans="1:4" ht="30">
      <c r="A61" s="153">
        <v>51</v>
      </c>
      <c r="B61" s="121" t="s">
        <v>627</v>
      </c>
      <c r="C61" s="122" t="s">
        <v>1216</v>
      </c>
      <c r="D61" s="679">
        <f>195+4252</f>
        <v>4447</v>
      </c>
    </row>
    <row r="62" spans="1:4" ht="15.75" thickBot="1">
      <c r="A62" s="880">
        <v>52</v>
      </c>
      <c r="B62" s="25" t="s">
        <v>613</v>
      </c>
      <c r="C62" s="23"/>
      <c r="D62" s="16">
        <f>SUM(D60:D61)</f>
        <v>44987</v>
      </c>
    </row>
    <row r="63" spans="1:4" ht="15.75" thickBot="1">
      <c r="A63" s="881">
        <v>53</v>
      </c>
      <c r="B63" s="152" t="s">
        <v>614</v>
      </c>
      <c r="C63" s="25"/>
      <c r="D63" s="16">
        <f>SUM(D62+D54+D48+D37)</f>
        <v>1273700</v>
      </c>
    </row>
    <row r="65" spans="1:2" ht="15">
      <c r="A65" s="870" t="s">
        <v>1199</v>
      </c>
      <c r="B65" s="871"/>
    </row>
    <row r="66" spans="1:2" ht="15">
      <c r="A66" s="826" t="s">
        <v>1200</v>
      </c>
      <c r="B66" s="828"/>
    </row>
    <row r="67" spans="1:6" ht="15">
      <c r="A67" s="818" t="s">
        <v>1218</v>
      </c>
      <c r="B67" s="819"/>
      <c r="C67" s="819"/>
      <c r="D67" s="819"/>
      <c r="E67"/>
      <c r="F67"/>
    </row>
  </sheetData>
  <sheetProtection/>
  <mergeCells count="13">
    <mergeCell ref="C1:D1"/>
    <mergeCell ref="B29:D29"/>
    <mergeCell ref="B3:D3"/>
    <mergeCell ref="B4:D4"/>
    <mergeCell ref="B45:D45"/>
    <mergeCell ref="B49:D49"/>
    <mergeCell ref="B55:D55"/>
    <mergeCell ref="B58:D58"/>
    <mergeCell ref="A6:A7"/>
    <mergeCell ref="B6:C6"/>
    <mergeCell ref="B7:C7"/>
    <mergeCell ref="B33:D33"/>
    <mergeCell ref="B38:D38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E86"/>
  <sheetViews>
    <sheetView zoomScalePageLayoutView="0" workbookViewId="0" topLeftCell="A1">
      <selection activeCell="A86" sqref="A86:D86"/>
    </sheetView>
  </sheetViews>
  <sheetFormatPr defaultColWidth="8.875" defaultRowHeight="12.75"/>
  <cols>
    <col min="1" max="1" width="4.125" style="124" customWidth="1"/>
    <col min="2" max="2" width="2.375" style="79" customWidth="1"/>
    <col min="3" max="3" width="59.25390625" style="79" customWidth="1"/>
    <col min="4" max="4" width="13.75390625" style="79" customWidth="1"/>
    <col min="5" max="16384" width="8.875" style="79" customWidth="1"/>
  </cols>
  <sheetData>
    <row r="1" spans="3:5" ht="18">
      <c r="C1" s="954" t="s">
        <v>1239</v>
      </c>
      <c r="D1" s="1146"/>
      <c r="E1" s="118"/>
    </row>
    <row r="2" spans="3:5" ht="15">
      <c r="C2" s="5"/>
      <c r="D2" s="118"/>
      <c r="E2" s="118"/>
    </row>
    <row r="3" spans="2:4" ht="15">
      <c r="B3" s="1181" t="s">
        <v>628</v>
      </c>
      <c r="C3" s="1181"/>
      <c r="D3" s="1181"/>
    </row>
    <row r="4" spans="2:4" ht="15">
      <c r="B4" s="1181" t="s">
        <v>721</v>
      </c>
      <c r="C4" s="1181"/>
      <c r="D4" s="1181"/>
    </row>
    <row r="5" spans="2:4" ht="15">
      <c r="B5" s="81"/>
      <c r="C5" s="81"/>
      <c r="D5" s="81"/>
    </row>
    <row r="6" ht="15">
      <c r="D6" s="80" t="s">
        <v>616</v>
      </c>
    </row>
    <row r="7" spans="1:4" s="82" customFormat="1" ht="14.25">
      <c r="A7" s="1179" t="s">
        <v>706</v>
      </c>
      <c r="B7" s="1182" t="s">
        <v>610</v>
      </c>
      <c r="C7" s="1182"/>
      <c r="D7" s="126" t="s">
        <v>626</v>
      </c>
    </row>
    <row r="8" spans="1:4" s="123" customFormat="1" ht="12">
      <c r="A8" s="1180"/>
      <c r="B8" s="1183" t="s">
        <v>700</v>
      </c>
      <c r="C8" s="1184"/>
      <c r="D8" s="125" t="s">
        <v>701</v>
      </c>
    </row>
    <row r="9" spans="1:4" s="82" customFormat="1" ht="14.25">
      <c r="A9" s="125">
        <v>1</v>
      </c>
      <c r="B9" s="84" t="s">
        <v>640</v>
      </c>
      <c r="C9" s="83"/>
      <c r="D9" s="132"/>
    </row>
    <row r="10" spans="1:4" ht="15">
      <c r="A10" s="125">
        <v>2</v>
      </c>
      <c r="B10" s="127" t="s">
        <v>716</v>
      </c>
      <c r="C10" s="122" t="s">
        <v>707</v>
      </c>
      <c r="D10" s="128">
        <v>1000</v>
      </c>
    </row>
    <row r="11" spans="1:4" s="82" customFormat="1" ht="30">
      <c r="A11" s="125">
        <v>3</v>
      </c>
      <c r="B11" s="127" t="s">
        <v>716</v>
      </c>
      <c r="C11" s="122" t="s">
        <v>1087</v>
      </c>
      <c r="D11" s="748">
        <v>-1000</v>
      </c>
    </row>
    <row r="12" spans="1:4" s="82" customFormat="1" ht="14.25">
      <c r="A12" s="125">
        <v>4</v>
      </c>
      <c r="B12" s="84" t="s">
        <v>613</v>
      </c>
      <c r="C12" s="84"/>
      <c r="D12" s="129">
        <f>SUM(D10:D11)</f>
        <v>0</v>
      </c>
    </row>
    <row r="13" spans="1:4" s="82" customFormat="1" ht="4.5" customHeight="1">
      <c r="A13" s="131"/>
      <c r="B13" s="130"/>
      <c r="C13" s="130"/>
      <c r="D13" s="132"/>
    </row>
    <row r="14" spans="1:4" s="82" customFormat="1" ht="14.25">
      <c r="A14" s="125">
        <v>5</v>
      </c>
      <c r="B14" s="1178" t="s">
        <v>639</v>
      </c>
      <c r="C14" s="1178"/>
      <c r="D14" s="1178"/>
    </row>
    <row r="15" spans="1:4" s="82" customFormat="1" ht="15">
      <c r="A15" s="125">
        <v>6</v>
      </c>
      <c r="B15" s="127" t="s">
        <v>716</v>
      </c>
      <c r="C15" s="122" t="s">
        <v>917</v>
      </c>
      <c r="D15" s="128">
        <f>1519-323</f>
        <v>1196</v>
      </c>
    </row>
    <row r="16" spans="1:4" s="82" customFormat="1" ht="15">
      <c r="A16" s="125">
        <v>7</v>
      </c>
      <c r="B16" s="127" t="s">
        <v>716</v>
      </c>
      <c r="C16" s="122" t="s">
        <v>1088</v>
      </c>
      <c r="D16" s="128">
        <v>714</v>
      </c>
    </row>
    <row r="17" spans="1:4" ht="15">
      <c r="A17" s="125">
        <v>8</v>
      </c>
      <c r="B17" s="127" t="s">
        <v>716</v>
      </c>
      <c r="C17" s="122" t="s">
        <v>1089</v>
      </c>
      <c r="D17" s="128">
        <v>2900</v>
      </c>
    </row>
    <row r="18" spans="1:4" s="82" customFormat="1" ht="30">
      <c r="A18" s="125">
        <v>9</v>
      </c>
      <c r="B18" s="127" t="s">
        <v>716</v>
      </c>
      <c r="C18" s="122" t="s">
        <v>1090</v>
      </c>
      <c r="D18" s="748">
        <v>-127</v>
      </c>
    </row>
    <row r="19" spans="1:4" s="82" customFormat="1" ht="15">
      <c r="A19" s="125">
        <v>10</v>
      </c>
      <c r="B19" s="763" t="s">
        <v>613</v>
      </c>
      <c r="C19" s="763"/>
      <c r="D19" s="764">
        <f>SUM(D15:D18)</f>
        <v>4683</v>
      </c>
    </row>
    <row r="20" spans="1:4" ht="5.25" customHeight="1">
      <c r="A20" s="125"/>
      <c r="B20" s="127"/>
      <c r="C20" s="122"/>
      <c r="D20" s="128"/>
    </row>
    <row r="21" spans="1:4" ht="30">
      <c r="A21" s="125">
        <v>11</v>
      </c>
      <c r="B21" s="127" t="s">
        <v>716</v>
      </c>
      <c r="C21" s="122" t="s">
        <v>918</v>
      </c>
      <c r="D21" s="128">
        <v>200</v>
      </c>
    </row>
    <row r="22" spans="1:4" ht="15">
      <c r="A22" s="125">
        <v>12</v>
      </c>
      <c r="B22" s="127" t="s">
        <v>716</v>
      </c>
      <c r="C22" s="122" t="s">
        <v>1091</v>
      </c>
      <c r="D22" s="128">
        <v>2611</v>
      </c>
    </row>
    <row r="23" spans="1:4" ht="15">
      <c r="A23" s="125">
        <v>13</v>
      </c>
      <c r="B23" s="763" t="s">
        <v>613</v>
      </c>
      <c r="C23" s="763"/>
      <c r="D23" s="765">
        <f>SUM(D21:D22)</f>
        <v>2811</v>
      </c>
    </row>
    <row r="24" spans="1:4" ht="6" customHeight="1">
      <c r="A24" s="125"/>
      <c r="B24" s="127"/>
      <c r="C24" s="122"/>
      <c r="D24" s="128"/>
    </row>
    <row r="25" spans="1:4" ht="30">
      <c r="A25" s="125">
        <v>14</v>
      </c>
      <c r="B25" s="127" t="s">
        <v>716</v>
      </c>
      <c r="C25" s="122" t="s">
        <v>1219</v>
      </c>
      <c r="D25" s="128">
        <v>3000</v>
      </c>
    </row>
    <row r="26" spans="1:4" ht="15">
      <c r="A26" s="125">
        <v>15</v>
      </c>
      <c r="B26" s="127" t="s">
        <v>716</v>
      </c>
      <c r="C26" s="122" t="s">
        <v>1220</v>
      </c>
      <c r="D26" s="748">
        <v>-1000</v>
      </c>
    </row>
    <row r="27" spans="1:4" s="82" customFormat="1" ht="15">
      <c r="A27" s="125">
        <v>16</v>
      </c>
      <c r="B27" s="127" t="s">
        <v>716</v>
      </c>
      <c r="C27" s="122" t="s">
        <v>1221</v>
      </c>
      <c r="D27" s="748">
        <v>-207</v>
      </c>
    </row>
    <row r="28" spans="1:4" s="82" customFormat="1" ht="15">
      <c r="A28" s="125">
        <v>17</v>
      </c>
      <c r="B28" s="763" t="s">
        <v>613</v>
      </c>
      <c r="C28" s="763"/>
      <c r="D28" s="765">
        <f>SUM(D25:D27)</f>
        <v>1793</v>
      </c>
    </row>
    <row r="29" spans="1:4" ht="6.75" customHeight="1">
      <c r="A29" s="131"/>
      <c r="B29" s="130"/>
      <c r="C29" s="130"/>
      <c r="D29" s="132"/>
    </row>
    <row r="30" spans="1:4" s="82" customFormat="1" ht="14.25">
      <c r="A30" s="125">
        <v>18</v>
      </c>
      <c r="B30" s="84" t="s">
        <v>613</v>
      </c>
      <c r="C30" s="84"/>
      <c r="D30" s="129">
        <f>SUM(D19+D23+D28)</f>
        <v>9287</v>
      </c>
    </row>
    <row r="31" spans="1:4" s="82" customFormat="1" ht="14.25">
      <c r="A31" s="131"/>
      <c r="B31" s="130"/>
      <c r="C31" s="130"/>
      <c r="D31" s="132"/>
    </row>
    <row r="32" spans="1:4" s="82" customFormat="1" ht="14.25">
      <c r="A32" s="125">
        <v>19</v>
      </c>
      <c r="B32" s="84" t="s">
        <v>747</v>
      </c>
      <c r="C32" s="83"/>
      <c r="D32" s="132"/>
    </row>
    <row r="33" spans="1:4" s="82" customFormat="1" ht="15">
      <c r="A33" s="125">
        <v>20</v>
      </c>
      <c r="B33" s="127" t="s">
        <v>716</v>
      </c>
      <c r="C33" s="122" t="s">
        <v>748</v>
      </c>
      <c r="D33" s="128">
        <v>1000</v>
      </c>
    </row>
    <row r="34" spans="1:4" s="82" customFormat="1" ht="30">
      <c r="A34" s="125">
        <v>21</v>
      </c>
      <c r="B34" s="127" t="s">
        <v>716</v>
      </c>
      <c r="C34" s="122" t="s">
        <v>1222</v>
      </c>
      <c r="D34" s="748">
        <v>-3517</v>
      </c>
    </row>
    <row r="35" spans="1:4" ht="30">
      <c r="A35" s="125">
        <v>22</v>
      </c>
      <c r="B35" s="127" t="s">
        <v>716</v>
      </c>
      <c r="C35" s="122" t="s">
        <v>1043</v>
      </c>
      <c r="D35" s="748">
        <v>-100</v>
      </c>
    </row>
    <row r="36" spans="1:4" s="82" customFormat="1" ht="30">
      <c r="A36" s="125">
        <v>23</v>
      </c>
      <c r="B36" s="127" t="s">
        <v>716</v>
      </c>
      <c r="C36" s="122" t="s">
        <v>1044</v>
      </c>
      <c r="D36" s="748">
        <v>-859</v>
      </c>
    </row>
    <row r="37" spans="1:4" ht="30">
      <c r="A37" s="125">
        <v>24</v>
      </c>
      <c r="B37" s="127" t="s">
        <v>716</v>
      </c>
      <c r="C37" s="122" t="s">
        <v>1045</v>
      </c>
      <c r="D37" s="748">
        <v>-250</v>
      </c>
    </row>
    <row r="38" spans="1:4" ht="15">
      <c r="A38" s="125">
        <v>25</v>
      </c>
      <c r="B38" s="127" t="s">
        <v>716</v>
      </c>
      <c r="C38" s="122" t="s">
        <v>1046</v>
      </c>
      <c r="D38" s="128">
        <v>720</v>
      </c>
    </row>
    <row r="39" spans="1:4" ht="30">
      <c r="A39" s="125">
        <v>26</v>
      </c>
      <c r="B39" s="127" t="s">
        <v>716</v>
      </c>
      <c r="C39" s="122" t="s">
        <v>1047</v>
      </c>
      <c r="D39" s="128">
        <v>3517</v>
      </c>
    </row>
    <row r="40" spans="1:4" ht="30">
      <c r="A40" s="125">
        <v>27</v>
      </c>
      <c r="B40" s="127" t="s">
        <v>716</v>
      </c>
      <c r="C40" s="122" t="s">
        <v>1092</v>
      </c>
      <c r="D40" s="128">
        <v>10</v>
      </c>
    </row>
    <row r="41" spans="1:4" ht="30">
      <c r="A41" s="125">
        <v>28</v>
      </c>
      <c r="B41" s="127" t="s">
        <v>716</v>
      </c>
      <c r="C41" s="122" t="s">
        <v>1223</v>
      </c>
      <c r="D41" s="748">
        <v>-70</v>
      </c>
    </row>
    <row r="42" spans="1:4" ht="30">
      <c r="A42" s="125">
        <v>29</v>
      </c>
      <c r="B42" s="127" t="s">
        <v>716</v>
      </c>
      <c r="C42" s="122" t="s">
        <v>1087</v>
      </c>
      <c r="D42" s="748">
        <v>-350</v>
      </c>
    </row>
    <row r="43" spans="1:4" ht="30">
      <c r="A43" s="125">
        <v>30</v>
      </c>
      <c r="B43" s="127" t="s">
        <v>716</v>
      </c>
      <c r="C43" s="122" t="s">
        <v>1093</v>
      </c>
      <c r="D43" s="748">
        <v>-2250</v>
      </c>
    </row>
    <row r="44" spans="1:4" ht="30">
      <c r="A44" s="125">
        <v>31</v>
      </c>
      <c r="B44" s="127" t="s">
        <v>716</v>
      </c>
      <c r="C44" s="122" t="s">
        <v>1094</v>
      </c>
      <c r="D44" s="748">
        <v>-2250</v>
      </c>
    </row>
    <row r="45" spans="1:4" ht="15">
      <c r="A45" s="125">
        <v>32</v>
      </c>
      <c r="B45" s="127" t="s">
        <v>716</v>
      </c>
      <c r="C45" s="122" t="s">
        <v>1095</v>
      </c>
      <c r="D45" s="748">
        <v>-6000</v>
      </c>
    </row>
    <row r="46" spans="1:4" ht="30">
      <c r="A46" s="125">
        <v>33</v>
      </c>
      <c r="B46" s="127" t="s">
        <v>716</v>
      </c>
      <c r="C46" s="122" t="s">
        <v>1096</v>
      </c>
      <c r="D46" s="128">
        <v>12783</v>
      </c>
    </row>
    <row r="47" spans="1:4" ht="30">
      <c r="A47" s="125">
        <v>34</v>
      </c>
      <c r="B47" s="127" t="s">
        <v>716</v>
      </c>
      <c r="C47" s="122" t="s">
        <v>1224</v>
      </c>
      <c r="D47" s="748">
        <v>-1000</v>
      </c>
    </row>
    <row r="48" spans="1:4" ht="15">
      <c r="A48" s="125">
        <v>35</v>
      </c>
      <c r="B48" s="127" t="s">
        <v>716</v>
      </c>
      <c r="C48" s="122" t="s">
        <v>1225</v>
      </c>
      <c r="D48" s="128">
        <v>410</v>
      </c>
    </row>
    <row r="49" spans="1:4" ht="15">
      <c r="A49" s="125">
        <v>36</v>
      </c>
      <c r="B49" s="127" t="s">
        <v>716</v>
      </c>
      <c r="C49" s="122" t="s">
        <v>1226</v>
      </c>
      <c r="D49" s="748">
        <v>-1204</v>
      </c>
    </row>
    <row r="50" spans="1:4" ht="15">
      <c r="A50" s="125">
        <v>37</v>
      </c>
      <c r="B50" s="127" t="s">
        <v>716</v>
      </c>
      <c r="C50" s="122" t="s">
        <v>1227</v>
      </c>
      <c r="D50" s="748">
        <v>-67</v>
      </c>
    </row>
    <row r="51" spans="1:4" ht="15">
      <c r="A51" s="125">
        <v>38</v>
      </c>
      <c r="B51" s="127" t="s">
        <v>716</v>
      </c>
      <c r="C51" s="122" t="s">
        <v>1228</v>
      </c>
      <c r="D51" s="748">
        <v>-8</v>
      </c>
    </row>
    <row r="52" spans="1:4" ht="15">
      <c r="A52" s="125">
        <v>39</v>
      </c>
      <c r="B52" s="127" t="s">
        <v>716</v>
      </c>
      <c r="C52" s="122" t="s">
        <v>1229</v>
      </c>
      <c r="D52" s="748">
        <v>-218</v>
      </c>
    </row>
    <row r="53" spans="1:4" ht="15">
      <c r="A53" s="125">
        <v>40</v>
      </c>
      <c r="B53" s="127" t="s">
        <v>716</v>
      </c>
      <c r="C53" s="122" t="s">
        <v>1208</v>
      </c>
      <c r="D53" s="748">
        <v>-360</v>
      </c>
    </row>
    <row r="54" spans="1:4" ht="15">
      <c r="A54" s="125">
        <v>41</v>
      </c>
      <c r="B54" s="127" t="s">
        <v>716</v>
      </c>
      <c r="C54" s="122" t="s">
        <v>1230</v>
      </c>
      <c r="D54" s="128">
        <v>63</v>
      </c>
    </row>
    <row r="55" spans="1:4" ht="15">
      <c r="A55" s="125">
        <v>42</v>
      </c>
      <c r="B55" s="84" t="s">
        <v>613</v>
      </c>
      <c r="C55" s="84"/>
      <c r="D55" s="129">
        <f>SUM(D33:D54)</f>
        <v>0</v>
      </c>
    </row>
    <row r="56" spans="1:4" ht="4.5" customHeight="1">
      <c r="A56" s="125"/>
      <c r="B56" s="84"/>
      <c r="C56" s="84"/>
      <c r="D56" s="129"/>
    </row>
    <row r="57" spans="1:4" ht="15">
      <c r="A57" s="125">
        <v>43</v>
      </c>
      <c r="B57" s="1178" t="s">
        <v>1048</v>
      </c>
      <c r="C57" s="1178"/>
      <c r="D57" s="1178"/>
    </row>
    <row r="58" spans="1:4" ht="15">
      <c r="A58" s="125">
        <v>44</v>
      </c>
      <c r="B58" s="127" t="s">
        <v>716</v>
      </c>
      <c r="C58" s="122" t="s">
        <v>1231</v>
      </c>
      <c r="D58" s="128">
        <v>122146</v>
      </c>
    </row>
    <row r="59" spans="1:4" ht="30">
      <c r="A59" s="125">
        <v>45</v>
      </c>
      <c r="B59" s="127" t="s">
        <v>716</v>
      </c>
      <c r="C59" s="122" t="s">
        <v>1097</v>
      </c>
      <c r="D59" s="748">
        <v>-882</v>
      </c>
    </row>
    <row r="60" spans="1:4" ht="15">
      <c r="A60" s="125">
        <v>46</v>
      </c>
      <c r="B60" s="127" t="s">
        <v>716</v>
      </c>
      <c r="C60" s="122" t="s">
        <v>1098</v>
      </c>
      <c r="D60" s="748">
        <v>-8489</v>
      </c>
    </row>
    <row r="61" spans="1:4" ht="30">
      <c r="A61" s="125">
        <v>47</v>
      </c>
      <c r="B61" s="127" t="s">
        <v>716</v>
      </c>
      <c r="C61" s="122" t="s">
        <v>1099</v>
      </c>
      <c r="D61" s="748">
        <f>-13962-447</f>
        <v>-14409</v>
      </c>
    </row>
    <row r="62" spans="1:4" ht="15">
      <c r="A62" s="125">
        <v>48</v>
      </c>
      <c r="B62" s="127" t="s">
        <v>716</v>
      </c>
      <c r="C62" s="122" t="s">
        <v>1232</v>
      </c>
      <c r="D62" s="748">
        <v>-1052</v>
      </c>
    </row>
    <row r="63" spans="1:4" ht="30">
      <c r="A63" s="125">
        <v>49</v>
      </c>
      <c r="B63" s="127" t="s">
        <v>716</v>
      </c>
      <c r="C63" s="122" t="s">
        <v>1100</v>
      </c>
      <c r="D63" s="748">
        <v>-18</v>
      </c>
    </row>
    <row r="64" spans="1:4" ht="15">
      <c r="A64" s="125">
        <v>50</v>
      </c>
      <c r="B64" s="127" t="s">
        <v>716</v>
      </c>
      <c r="C64" s="122" t="s">
        <v>1101</v>
      </c>
      <c r="D64" s="748">
        <f>-41870-714-146-3-7982-9122-2900-2611-4252-16238</f>
        <v>-85838</v>
      </c>
    </row>
    <row r="65" spans="1:4" ht="15">
      <c r="A65" s="125">
        <v>51</v>
      </c>
      <c r="B65" s="127" t="s">
        <v>716</v>
      </c>
      <c r="C65" s="122" t="s">
        <v>1102</v>
      </c>
      <c r="D65" s="748">
        <v>-10330</v>
      </c>
    </row>
    <row r="66" spans="1:4" ht="15">
      <c r="A66" s="125">
        <v>52</v>
      </c>
      <c r="B66" s="127" t="s">
        <v>716</v>
      </c>
      <c r="C66" s="122" t="s">
        <v>1221</v>
      </c>
      <c r="D66" s="748">
        <v>-385</v>
      </c>
    </row>
    <row r="67" spans="1:4" ht="15">
      <c r="A67" s="125">
        <v>53</v>
      </c>
      <c r="B67" s="127" t="s">
        <v>716</v>
      </c>
      <c r="C67" s="122" t="s">
        <v>1233</v>
      </c>
      <c r="D67" s="748">
        <v>-594</v>
      </c>
    </row>
    <row r="68" spans="1:4" ht="15">
      <c r="A68" s="125">
        <v>54</v>
      </c>
      <c r="B68" s="127" t="s">
        <v>716</v>
      </c>
      <c r="C68" s="122" t="s">
        <v>1234</v>
      </c>
      <c r="D68" s="748">
        <v>-149</v>
      </c>
    </row>
    <row r="69" spans="1:4" ht="15">
      <c r="A69" s="125">
        <v>55</v>
      </c>
      <c r="B69" s="84" t="s">
        <v>613</v>
      </c>
      <c r="C69" s="84"/>
      <c r="D69" s="129">
        <f>SUM(D58:D68)</f>
        <v>0</v>
      </c>
    </row>
    <row r="70" spans="1:4" ht="4.5" customHeight="1">
      <c r="A70" s="131"/>
      <c r="B70" s="130"/>
      <c r="C70" s="130"/>
      <c r="D70" s="132"/>
    </row>
    <row r="71" spans="1:4" ht="16.5">
      <c r="A71" s="766">
        <v>56</v>
      </c>
      <c r="B71" s="767" t="s">
        <v>642</v>
      </c>
      <c r="C71" s="767"/>
      <c r="D71" s="768">
        <f>SUM(D69+D55+D30+D12)</f>
        <v>9287</v>
      </c>
    </row>
    <row r="72" spans="1:4" ht="4.5" customHeight="1">
      <c r="A72" s="131"/>
      <c r="B72" s="130"/>
      <c r="C72" s="130"/>
      <c r="D72" s="132"/>
    </row>
    <row r="73" spans="1:4" ht="15">
      <c r="A73" s="125">
        <v>57</v>
      </c>
      <c r="B73" s="1178" t="s">
        <v>622</v>
      </c>
      <c r="C73" s="1178"/>
      <c r="D73" s="1178"/>
    </row>
    <row r="74" spans="1:4" ht="45">
      <c r="A74" s="125">
        <v>58</v>
      </c>
      <c r="B74" s="127" t="s">
        <v>716</v>
      </c>
      <c r="C74" s="122" t="s">
        <v>915</v>
      </c>
      <c r="D74" s="128">
        <v>195</v>
      </c>
    </row>
    <row r="75" spans="1:4" ht="30">
      <c r="A75" s="125">
        <v>59</v>
      </c>
      <c r="B75" s="127" t="s">
        <v>716</v>
      </c>
      <c r="C75" s="122" t="s">
        <v>1103</v>
      </c>
      <c r="D75" s="128">
        <v>4252</v>
      </c>
    </row>
    <row r="76" spans="1:4" ht="15">
      <c r="A76" s="125">
        <v>60</v>
      </c>
      <c r="B76" s="84" t="s">
        <v>613</v>
      </c>
      <c r="C76" s="84"/>
      <c r="D76" s="129">
        <f>SUM(D74:D75)</f>
        <v>4447</v>
      </c>
    </row>
    <row r="77" spans="1:4" ht="5.25" customHeight="1">
      <c r="A77" s="125"/>
      <c r="B77" s="127"/>
      <c r="C77" s="122"/>
      <c r="D77" s="128"/>
    </row>
    <row r="78" spans="1:4" ht="15">
      <c r="A78" s="125">
        <v>61</v>
      </c>
      <c r="B78" s="127" t="s">
        <v>716</v>
      </c>
      <c r="C78" s="122" t="s">
        <v>1235</v>
      </c>
      <c r="D78" s="129">
        <v>40540</v>
      </c>
    </row>
    <row r="79" spans="1:4" ht="4.5" customHeight="1">
      <c r="A79" s="125"/>
      <c r="B79" s="127"/>
      <c r="C79" s="122"/>
      <c r="D79" s="128"/>
    </row>
    <row r="80" spans="1:4" ht="16.5">
      <c r="A80" s="766">
        <v>62</v>
      </c>
      <c r="B80" s="767" t="s">
        <v>643</v>
      </c>
      <c r="C80" s="767"/>
      <c r="D80" s="768">
        <f>SUM(D78+D76)</f>
        <v>44987</v>
      </c>
    </row>
    <row r="81" spans="1:4" ht="4.5" customHeight="1">
      <c r="A81" s="131"/>
      <c r="B81" s="130"/>
      <c r="C81" s="130"/>
      <c r="D81" s="132"/>
    </row>
    <row r="82" spans="1:4" ht="18.75">
      <c r="A82" s="769">
        <v>63</v>
      </c>
      <c r="B82" s="770" t="s">
        <v>641</v>
      </c>
      <c r="C82" s="770"/>
      <c r="D82" s="771">
        <f>SUM(D80,D71)</f>
        <v>54274</v>
      </c>
    </row>
    <row r="84" ht="15">
      <c r="A84" s="882" t="s">
        <v>1236</v>
      </c>
    </row>
    <row r="85" ht="15">
      <c r="A85" s="755" t="s">
        <v>1237</v>
      </c>
    </row>
    <row r="86" spans="1:3" ht="15">
      <c r="A86" s="818" t="s">
        <v>1238</v>
      </c>
      <c r="B86" s="819"/>
      <c r="C86" s="819"/>
    </row>
  </sheetData>
  <sheetProtection/>
  <mergeCells count="9">
    <mergeCell ref="B73:D73"/>
    <mergeCell ref="A7:A8"/>
    <mergeCell ref="C1:D1"/>
    <mergeCell ref="B3:D3"/>
    <mergeCell ref="B7:C7"/>
    <mergeCell ref="B4:D4"/>
    <mergeCell ref="B8:C8"/>
    <mergeCell ref="B14:D14"/>
    <mergeCell ref="B57:D57"/>
  </mergeCell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OTP Bank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Juhász Anikó</cp:lastModifiedBy>
  <cp:lastPrinted>2015-02-11T07:23:22Z</cp:lastPrinted>
  <dcterms:created xsi:type="dcterms:W3CDTF">2001-11-30T10:27:10Z</dcterms:created>
  <dcterms:modified xsi:type="dcterms:W3CDTF">2015-10-22T14:58:11Z</dcterms:modified>
  <cp:category/>
  <cp:version/>
  <cp:contentType/>
  <cp:contentStatus/>
</cp:coreProperties>
</file>