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922" firstSheet="2" activeTab="19"/>
  </bookViews>
  <sheets>
    <sheet name="bevétfő " sheetId="1" r:id="rId1"/>
    <sheet name="kiadfő " sheetId="2" r:id="rId2"/>
    <sheet name="önállóan működő" sheetId="3" r:id="rId3"/>
    <sheet name="önállóan gazd." sheetId="4" r:id="rId4"/>
    <sheet name="hivatal1" sheetId="5" r:id="rId5"/>
    <sheet name="hivatal2" sheetId="6" r:id="rId6"/>
    <sheet name="hivatal3" sheetId="7" r:id="rId7"/>
    <sheet name="hivatal4" sheetId="8" r:id="rId8"/>
    <sheet name="hivatal5 " sheetId="9" r:id="rId9"/>
    <sheet name="hivatal6" sheetId="10" r:id="rId10"/>
    <sheet name="hivatal7" sheetId="11" r:id="rId11"/>
    <sheet name="hivatal8" sheetId="12" r:id="rId12"/>
    <sheet name="hivatal9" sheetId="13" r:id="rId13"/>
    <sheet name="támogatások" sheetId="14" r:id="rId14"/>
    <sheet name="segélyek" sheetId="15" r:id="rId15"/>
    <sheet name="felújítás" sheetId="16" r:id="rId16"/>
    <sheet name="beruházás" sheetId="17" r:id="rId17"/>
    <sheet name="tartalék" sheetId="18" r:id="rId18"/>
    <sheet name="pályázatok" sheetId="19" r:id="rId19"/>
    <sheet name="kötelező feladatok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Titles" localSheetId="16">'beruházás'!$3:$7</definedName>
    <definedName name="_xlnm.Print_Titles" localSheetId="15">'felújítás'!$3:$7</definedName>
    <definedName name="_xlnm.Print_Area" localSheetId="16">'beruházás'!$A$1:$E$154</definedName>
    <definedName name="_xlnm.Print_Area" localSheetId="0">'bevétfő '!$A$1:$I$92</definedName>
    <definedName name="_xlnm.Print_Area" localSheetId="15">'felújítás'!$A$1:$E$112</definedName>
    <definedName name="_xlnm.Print_Area" localSheetId="4">'hivatal1'!$A$1:$Q$63</definedName>
    <definedName name="_xlnm.Print_Area" localSheetId="5">'hivatal2'!$A$1:$Q$63</definedName>
    <definedName name="_xlnm.Print_Area" localSheetId="6">'hivatal3'!$A$1:$Q$63</definedName>
    <definedName name="_xlnm.Print_Area" localSheetId="7">'hivatal4'!$A$1:$Q$63</definedName>
    <definedName name="_xlnm.Print_Area" localSheetId="8">'hivatal5 '!$A$1:$Q$63</definedName>
    <definedName name="_xlnm.Print_Area" localSheetId="9">'hivatal6'!$A$1:$Q$63</definedName>
    <definedName name="_xlnm.Print_Area" localSheetId="10">'hivatal7'!$A$1:$Q$63</definedName>
    <definedName name="_xlnm.Print_Area" localSheetId="11">'hivatal8'!$A$1:$K$63</definedName>
    <definedName name="_xlnm.Print_Area" localSheetId="12">'hivatal9'!$A$1:$K$63</definedName>
    <definedName name="_xlnm.Print_Area" localSheetId="1">'kiadfő '!$A$1:$H$81</definedName>
    <definedName name="_xlnm.Print_Area" localSheetId="19">'kötelező feladatok'!$B$1:$L$69</definedName>
    <definedName name="_xlnm.Print_Area" localSheetId="3">'önállóan gazd.'!$A$1:$Q$63</definedName>
    <definedName name="_xlnm.Print_Area" localSheetId="2">'önállóan működő'!$A$1:$Q$63</definedName>
    <definedName name="_xlnm.Print_Area" localSheetId="14">'segélyek'!$A$1:$H$31</definedName>
    <definedName name="_xlnm.Print_Area" localSheetId="13">'támogatások'!$A$1:$F$90</definedName>
    <definedName name="_xlnm.Print_Area" localSheetId="17">'tartalék'!$A$1:$F$38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'[1]Kötvény'!#REF!</definedName>
    <definedName name="ppb">'[1]Kötvény'!#REF!</definedName>
    <definedName name="ppc">'[1]Kötvény'!#REF!</definedName>
    <definedName name="ppd">'[1]Kötvény'!#REF!</definedName>
    <definedName name="ppe">'[1]Kötvény'!#REF!</definedName>
    <definedName name="ppf">'[1]Kötvény'!#REF!</definedName>
    <definedName name="ppg">'[1]Kötvény'!$H$4</definedName>
    <definedName name="ppn">'[2]Kötvény'!#REF!</definedName>
    <definedName name="ppo">'[2]Kötvény'!#REF!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fullCalcOnLoad="1"/>
</workbook>
</file>

<file path=xl/sharedStrings.xml><?xml version="1.0" encoding="utf-8"?>
<sst xmlns="http://schemas.openxmlformats.org/spreadsheetml/2006/main" count="2300" uniqueCount="863">
  <si>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</si>
  <si>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</si>
  <si>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</si>
  <si>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</si>
  <si>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</si>
  <si>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</si>
  <si>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visszatérítendő támogatások, kölcsönök nyújtása áht-n kívülre</t>
  </si>
  <si>
    <t>K508</t>
  </si>
  <si>
    <t>Egyéb működési célú támogatások államháztartáson kívülre</t>
  </si>
  <si>
    <t>K512</t>
  </si>
  <si>
    <t xml:space="preserve">     Általános tartalék</t>
  </si>
  <si>
    <t>Beruházások</t>
  </si>
  <si>
    <t>K6</t>
  </si>
  <si>
    <t>Felújítások</t>
  </si>
  <si>
    <t>K7</t>
  </si>
  <si>
    <t>K8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</si>
  <si>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</si>
  <si>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</si>
  <si>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</si>
  <si>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</si>
  <si>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</si>
  <si>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</si>
  <si>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visszatérítendő támogatások, kölcsönök nyújtása áht-n kívülre</t>
  </si>
  <si>
    <t>K86</t>
  </si>
  <si>
    <t>Egyéb felhalmozási célú támogatások államháztartáson kívülre</t>
  </si>
  <si>
    <t>Belföldi finanszírozás kiadásai</t>
  </si>
  <si>
    <t>K91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</si>
  <si>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</si>
  <si>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</si>
  <si>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</si>
  <si>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</si>
  <si>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</si>
  <si>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Rövid lejáratú hitelek, kölcsönök törlesztése</t>
  </si>
  <si>
    <t>K9113</t>
  </si>
  <si>
    <t>Belföldi értékpapírok kiadásai</t>
  </si>
  <si>
    <t>K912</t>
  </si>
  <si>
    <t>Pénzeszközök betétként elhelyezése</t>
  </si>
  <si>
    <t>K916</t>
  </si>
  <si>
    <t>Adóssághoz nem kapcsolódó származékos ügyletek kiadásai</t>
  </si>
  <si>
    <t>K93</t>
  </si>
  <si>
    <t>B83</t>
  </si>
  <si>
    <t>TÁRGYÉVI BEVÉTELEK ÖSSZESEN (C. + D.)</t>
  </si>
  <si>
    <t>D.</t>
  </si>
  <si>
    <t>E.</t>
  </si>
  <si>
    <t>B8</t>
  </si>
  <si>
    <t>Központi, irányítószervi támogatás</t>
  </si>
  <si>
    <t>feladatfinanszírozás összege</t>
  </si>
  <si>
    <t>Kamatbevételek</t>
  </si>
  <si>
    <t>Igazgatási szolgáltatási díj</t>
  </si>
  <si>
    <t>Egyéb bírság</t>
  </si>
  <si>
    <t>Immateriális javak értékesítése</t>
  </si>
  <si>
    <t xml:space="preserve">Képviselő-testület </t>
  </si>
  <si>
    <t>Intézmények Gazdasági Irodája 
Központ</t>
  </si>
  <si>
    <t>5.</t>
  </si>
  <si>
    <t>6.</t>
  </si>
  <si>
    <t>Tartalékok</t>
  </si>
  <si>
    <t>9.</t>
  </si>
  <si>
    <t>a.</t>
  </si>
  <si>
    <t>b.</t>
  </si>
  <si>
    <t>Idegenfogalmi feladatok</t>
  </si>
  <si>
    <t>Szociális feladatellátás</t>
  </si>
  <si>
    <t>Vagyongazdálkodás</t>
  </si>
  <si>
    <t>Önkormányzati bérlakások pénzbeli térítése</t>
  </si>
  <si>
    <t>Közfoglalkoztatás</t>
  </si>
  <si>
    <t>Főépítészi,  városrendezési feladatok</t>
  </si>
  <si>
    <t>Budafok-Tétényért Városfejlesztő Kft.</t>
  </si>
  <si>
    <t>Közalkalmazottak 2 %-os keresetkiegészítése</t>
  </si>
  <si>
    <t>XXII. ker. Önkormányzat összesen</t>
  </si>
  <si>
    <t xml:space="preserve">Önkormányzati egyéb bevételek               </t>
  </si>
  <si>
    <t>h</t>
  </si>
  <si>
    <t>Bevételek</t>
  </si>
  <si>
    <t>Kiadások</t>
  </si>
  <si>
    <t>Önként vállalt feladatok</t>
  </si>
  <si>
    <t>államigazgatási feladatok</t>
  </si>
  <si>
    <t>Tervezett kiadások összesen</t>
  </si>
  <si>
    <t>állami hozzájárulás</t>
  </si>
  <si>
    <t>Tervezett bevételek összesen</t>
  </si>
  <si>
    <t xml:space="preserve">    Borlovagrend</t>
  </si>
  <si>
    <t>Alapok, alapítványok támogatása</t>
  </si>
  <si>
    <t>Kártalanítás, utcamegnyitás</t>
  </si>
  <si>
    <t>Egyházi jogi személytől</t>
  </si>
  <si>
    <t>Háztartásoktól</t>
  </si>
  <si>
    <t>Egyéb felhalmozási célú átvett pénzeszközök áht-n kívülről</t>
  </si>
  <si>
    <t>KÖLTSÉGVETÉSI BEVÉTELEK ÖSSZESEN (A + B):</t>
  </si>
  <si>
    <t xml:space="preserve">                                                                                                                                          </t>
  </si>
  <si>
    <t>kötelező feladatok kiadásai</t>
  </si>
  <si>
    <t>Városüzemeltetési feladatok:</t>
  </si>
  <si>
    <t xml:space="preserve"> </t>
  </si>
  <si>
    <t>Kötelező-, önként vállalt és államigazgatási feladatok bontásban</t>
  </si>
  <si>
    <t>Eredeti előirányzat</t>
  </si>
  <si>
    <t>Intézmények által elvégzett felújítások:</t>
  </si>
  <si>
    <t xml:space="preserve">    Budafoki Péter Pál Utca Polgári Kör</t>
  </si>
  <si>
    <t xml:space="preserve">    Újbuda Prizma Nkft. - Szociális forglalkoztatás</t>
  </si>
  <si>
    <t>Önkormányzati rendelethez</t>
  </si>
  <si>
    <t>Sor-szám</t>
  </si>
  <si>
    <t>I.</t>
  </si>
  <si>
    <t>Építményadó</t>
  </si>
  <si>
    <t>Telekadó</t>
  </si>
  <si>
    <t>a</t>
  </si>
  <si>
    <t>b</t>
  </si>
  <si>
    <t>c</t>
  </si>
  <si>
    <t>d</t>
  </si>
  <si>
    <t>II.</t>
  </si>
  <si>
    <t>Kommunális adó</t>
  </si>
  <si>
    <t>Gépjárműadó</t>
  </si>
  <si>
    <t>III.</t>
  </si>
  <si>
    <t>IV.</t>
  </si>
  <si>
    <t>V.</t>
  </si>
  <si>
    <t>A</t>
  </si>
  <si>
    <t>B</t>
  </si>
  <si>
    <t>VIII.</t>
  </si>
  <si>
    <t>C.</t>
  </si>
  <si>
    <t>1.</t>
  </si>
  <si>
    <t>Személyi juttatások</t>
  </si>
  <si>
    <t>2.</t>
  </si>
  <si>
    <t>3.</t>
  </si>
  <si>
    <t>Dologi kiadások</t>
  </si>
  <si>
    <t>4.</t>
  </si>
  <si>
    <t>7.</t>
  </si>
  <si>
    <t>8.</t>
  </si>
  <si>
    <t>A.</t>
  </si>
  <si>
    <t>B.</t>
  </si>
  <si>
    <t>IX.</t>
  </si>
  <si>
    <t>1. oldal</t>
  </si>
  <si>
    <t>Sor-</t>
  </si>
  <si>
    <t>C í m r e n d</t>
  </si>
  <si>
    <t>szám</t>
  </si>
  <si>
    <t>Előirányzatok megnevezése</t>
  </si>
  <si>
    <t>módosítás            ( ± )</t>
  </si>
  <si>
    <t>K I A D Á S O K</t>
  </si>
  <si>
    <t>módosítás           ( ± )</t>
  </si>
  <si>
    <t>B E V É T E L E K</t>
  </si>
  <si>
    <t>2. oldal</t>
  </si>
  <si>
    <t>Intézmények összesen</t>
  </si>
  <si>
    <t>ezer Ft-ban</t>
  </si>
  <si>
    <t>Kerületi feladatok</t>
  </si>
  <si>
    <t>Kulturális feladatok</t>
  </si>
  <si>
    <t>Sajtó</t>
  </si>
  <si>
    <t>Környezetvédelem</t>
  </si>
  <si>
    <t>3. oldal</t>
  </si>
  <si>
    <t>Kerületi díjak</t>
  </si>
  <si>
    <t>Polgármesteri keret</t>
  </si>
  <si>
    <t>4. oldal</t>
  </si>
  <si>
    <t>5. oldal</t>
  </si>
  <si>
    <t>6. oldal</t>
  </si>
  <si>
    <t>7. oldal</t>
  </si>
  <si>
    <t>Tartalék</t>
  </si>
  <si>
    <t>Bevételek rendezése</t>
  </si>
  <si>
    <t>8. oldal</t>
  </si>
  <si>
    <t>9. oldal</t>
  </si>
  <si>
    <t>Környezetvédelmi Alap</t>
  </si>
  <si>
    <t>Feladat megnevezése</t>
  </si>
  <si>
    <t xml:space="preserve">    BMTE</t>
  </si>
  <si>
    <t xml:space="preserve">    BLC</t>
  </si>
  <si>
    <t xml:space="preserve">    Nagytétényi SE</t>
  </si>
  <si>
    <t xml:space="preserve">    Budatétényi SE</t>
  </si>
  <si>
    <t xml:space="preserve">    BKK</t>
  </si>
  <si>
    <t>Sportegyesületek támogatása összesen</t>
  </si>
  <si>
    <t>Halacska Református Óvoda</t>
  </si>
  <si>
    <t>Önkormányzat egyéb bevételei</t>
  </si>
  <si>
    <t>Vízvezeték építés összesen :</t>
  </si>
  <si>
    <t>INTÉZMÉNYEK ÖSSZESEN</t>
  </si>
  <si>
    <t>Egyesített Bölcsőde</t>
  </si>
  <si>
    <t>s.sz.</t>
  </si>
  <si>
    <t>Intézményi tartalék</t>
  </si>
  <si>
    <t>Közszolgálati műsorok támogatása (Sajtó)</t>
  </si>
  <si>
    <t xml:space="preserve">    Baross Gábor Telepi Polgári Kör</t>
  </si>
  <si>
    <t xml:space="preserve">    Budatétényi Polgári Kör</t>
  </si>
  <si>
    <t xml:space="preserve">    Nagytétényi Polgári Kör</t>
  </si>
  <si>
    <t xml:space="preserve">    Rózsavölgy Egyesület</t>
  </si>
  <si>
    <t xml:space="preserve">    Budafok-Tétény Baráti Körök </t>
  </si>
  <si>
    <t>Egyéb működési célú kiadások</t>
  </si>
  <si>
    <t>Ellátottak pénzbeli juttatásai</t>
  </si>
  <si>
    <t>Egyéb felhalmozási célú kiadások</t>
  </si>
  <si>
    <t>Beruházások   (ÁFA-val)</t>
  </si>
  <si>
    <t>egyéb közhatalmi bevételek</t>
  </si>
  <si>
    <t>Közhatalmi bevételek összesen</t>
  </si>
  <si>
    <t>Működési célú támogatások áht-n belülről</t>
  </si>
  <si>
    <t>felhalmozási célú támogatások áht-n belülről</t>
  </si>
  <si>
    <t>Finanszírozási célú kiadások összesen</t>
  </si>
  <si>
    <t>KIADÁSOK összesen:    (1-10-ig)</t>
  </si>
  <si>
    <t>Felhalmozási célú átvett pénzeszközök összesen:</t>
  </si>
  <si>
    <t xml:space="preserve">BEVÉTELEK összesen :                  (1-10-ig)      </t>
  </si>
  <si>
    <t>9/b</t>
  </si>
  <si>
    <t>Pénzmaradvány igénybevétele:</t>
  </si>
  <si>
    <t>sor-szám</t>
  </si>
  <si>
    <t>Tartalékolás jogcíme</t>
  </si>
  <si>
    <t>Általános tartalék</t>
  </si>
  <si>
    <t>Céltartalék</t>
  </si>
  <si>
    <t>Céltartalék összesen :</t>
  </si>
  <si>
    <t>Önkormányzati tartalék előirányzat összesen :</t>
  </si>
  <si>
    <t>Útépítések összesen:</t>
  </si>
  <si>
    <t>e</t>
  </si>
  <si>
    <t>Egyházak támogatása</t>
  </si>
  <si>
    <t>INTÉZMÉNYEK GAZDASÁGI IRODÁJA
  ÖSSZESEN</t>
  </si>
  <si>
    <t>Kulturális feladatok összesen</t>
  </si>
  <si>
    <t xml:space="preserve">    Nagytétényi Kastély Közalapítvány</t>
  </si>
  <si>
    <t>Alapok, alapítványok összesen</t>
  </si>
  <si>
    <t>Kisegítő mezőgazdasági szolgáltatások összesen:</t>
  </si>
  <si>
    <t>Intézmények tervezett beruházásai:</t>
  </si>
  <si>
    <t>Egyéb nem lakás célú helyiségek felújítása</t>
  </si>
  <si>
    <t>Orvosi rendelők felújítása</t>
  </si>
  <si>
    <t>Munkaadót terhelő járulékok és szociális hozzájárulási adó</t>
  </si>
  <si>
    <t>Önkormányzati igazgatás (841169)</t>
  </si>
  <si>
    <t>Képviselő-testület</t>
  </si>
  <si>
    <t>Idegenforgalmi feladatok</t>
  </si>
  <si>
    <t>Intézmények összesen :</t>
  </si>
  <si>
    <t xml:space="preserve">Önkormányzati feladatok összesen: </t>
  </si>
  <si>
    <t>Útfenntartási kiadások összesen:</t>
  </si>
  <si>
    <t>Egyéb intézményi feladatok összesen:</t>
  </si>
  <si>
    <t>Műszaki ellenőrzések magas- és mélyépítési munkák</t>
  </si>
  <si>
    <t xml:space="preserve">Felszíni vizelvezetési fa.-ok  tervezés, építés </t>
  </si>
  <si>
    <t>Szennyvízcsatorna tervezés és építés</t>
  </si>
  <si>
    <t>Elektromos vezetékek kiép.közterületen</t>
  </si>
  <si>
    <t>Intézményekben tervezett beruházások</t>
  </si>
  <si>
    <t>Intézményekben tervezett felújítások</t>
  </si>
  <si>
    <t xml:space="preserve">Intézmények karbantartási kiadása </t>
  </si>
  <si>
    <t xml:space="preserve">Önkormányzat összesen: </t>
  </si>
  <si>
    <t xml:space="preserve">    Szent Bernát Alapítvány</t>
  </si>
  <si>
    <t xml:space="preserve">BERUHÁZÁSI KIADÁSOK ÖSSZESEN  (A+B): </t>
  </si>
  <si>
    <t>FELÚJÍTÁSI KIADÁSOK ÖSSZESEN (A+B):</t>
  </si>
  <si>
    <t>Rovat-
szám</t>
  </si>
  <si>
    <t>Működési célú támogatások államháztartáson belülről</t>
  </si>
  <si>
    <t>B1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</si>
  <si>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</si>
  <si>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</si>
  <si>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</si>
  <si>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</si>
  <si>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</si>
  <si>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</si>
  <si>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</si>
  <si>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</si>
  <si>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</si>
  <si>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</si>
  <si>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</si>
  <si>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Elvonások és befizetések bevételei</t>
  </si>
  <si>
    <t>B12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</si>
  <si>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</si>
  <si>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</si>
  <si>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</si>
  <si>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</si>
  <si>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</si>
  <si>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</si>
  <si>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ebből:</t>
  </si>
  <si>
    <t>Vagyoni típusú adók</t>
  </si>
  <si>
    <t>B34</t>
  </si>
  <si>
    <t>Termékek és szolgáltatások adói</t>
  </si>
  <si>
    <t>B35</t>
  </si>
  <si>
    <t>B351</t>
  </si>
  <si>
    <t>B354</t>
  </si>
  <si>
    <t>Egyéb áruhasználati és szolgáltatási adók</t>
  </si>
  <si>
    <t>B355</t>
  </si>
  <si>
    <t>Egyéb közhatalmi bevételek</t>
  </si>
  <si>
    <t>B36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</si>
  <si>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</si>
  <si>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</si>
  <si>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</si>
  <si>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</si>
  <si>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</si>
  <si>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</si>
  <si>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</si>
  <si>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</si>
  <si>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</si>
  <si>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</si>
  <si>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</si>
  <si>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</si>
  <si>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</si>
  <si>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</si>
  <si>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</si>
  <si>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</si>
  <si>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</si>
  <si>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</si>
  <si>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</si>
  <si>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</si>
  <si>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</si>
  <si>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>Működési célú átvett pénzeszközök</t>
  </si>
  <si>
    <t>B6</t>
  </si>
  <si>
    <t>Működési célú visszatérítendő támogatások, kölcsönök visszatérülése áht-n kívülről</t>
  </si>
  <si>
    <t>Egyéb működési célú átvett pénzeszközök</t>
  </si>
  <si>
    <t>Felhalmozási célú támogatások államháztartáson belülről</t>
  </si>
  <si>
    <t>B2</t>
  </si>
  <si>
    <t>Felhalmozási célú önkormányzati támogatás</t>
  </si>
  <si>
    <t>B21</t>
  </si>
  <si>
    <t>Egyéb felhalmozási célú támogatások bevételei államháztartáson belülről</t>
  </si>
  <si>
    <t>B25</t>
  </si>
  <si>
    <t>Felhalmozási bevételek</t>
  </si>
  <si>
    <t>B5</t>
  </si>
  <si>
    <t>B51</t>
  </si>
  <si>
    <t>Ingatlanok értékesítése</t>
  </si>
  <si>
    <t>B52</t>
  </si>
  <si>
    <t>Egyéb tárgyi eszközök értékesítése</t>
  </si>
  <si>
    <t>B53</t>
  </si>
  <si>
    <t>B55</t>
  </si>
  <si>
    <t>Felhalmozási célú átvett pénzeszközök</t>
  </si>
  <si>
    <t>B7</t>
  </si>
  <si>
    <t>Felhalmozási célú visszatérítendő támogatások, kölcsönök visszatérülése áht-n kívülről</t>
  </si>
  <si>
    <t>Belföldi finanszírozás bevételei</t>
  </si>
  <si>
    <t>B81</t>
  </si>
  <si>
    <t>Hitel-, kölcsönfelvétel államháztartáson kívülről</t>
  </si>
  <si>
    <t>B811</t>
  </si>
  <si>
    <t>Belföldi értékpapírok bevételei</t>
  </si>
  <si>
    <t>B812</t>
  </si>
  <si>
    <t>Maradvány igénybevétele</t>
  </si>
  <si>
    <t>B813</t>
  </si>
  <si>
    <t>B8131</t>
  </si>
  <si>
    <t>Betétek megszüntetése</t>
  </si>
  <si>
    <t>B817</t>
  </si>
  <si>
    <t>Sorszám</t>
  </si>
  <si>
    <t>Előirányzat (rovat) megnevezése</t>
  </si>
  <si>
    <t>Önkormányzat működési támogatása (a - f)</t>
  </si>
  <si>
    <t>Helyi önkormányzatoktól és költségvetési szerveiktől</t>
  </si>
  <si>
    <t>Szabálysértési bírság</t>
  </si>
  <si>
    <t>Tárgyi eszköz bérbeadásából származó bevétel</t>
  </si>
  <si>
    <t>Nemzetiségi önkormányzatok közüzemi díja</t>
  </si>
  <si>
    <t>Főépítészi, városrendezési feladatok</t>
  </si>
  <si>
    <t>VI.</t>
  </si>
  <si>
    <t>VII.</t>
  </si>
  <si>
    <t>Nemzetiségi önkormányzatok - pályázat</t>
  </si>
  <si>
    <t>Működési célú céltartalék</t>
  </si>
  <si>
    <t xml:space="preserve">Felhalmozási célú céltartalék </t>
  </si>
  <si>
    <t>Önkormányzati lakások felújítása</t>
  </si>
  <si>
    <t>Közterületi jelenlét</t>
  </si>
  <si>
    <t>X.</t>
  </si>
  <si>
    <t>Talajterhelési díj</t>
  </si>
  <si>
    <t>Elektromos vezetékek kiépítése összesen:</t>
  </si>
  <si>
    <t>Környezetvédelmi bírság</t>
  </si>
  <si>
    <t>Építésügyi bírság</t>
  </si>
  <si>
    <t>f</t>
  </si>
  <si>
    <t>g</t>
  </si>
  <si>
    <t>Egyesített Óvoda</t>
  </si>
  <si>
    <t>pályázat címe, pályázati cél</t>
  </si>
  <si>
    <t>pályázat / operatív program neve</t>
  </si>
  <si>
    <t xml:space="preserve">pályázati forrás </t>
  </si>
  <si>
    <t>saját forrás</t>
  </si>
  <si>
    <t>tervezett összes kiadás</t>
  </si>
  <si>
    <t>Europai Uniós forrásból finanszírozott pályázatok összesen:</t>
  </si>
  <si>
    <t>Egyéb külföldi forrásból finanszírozott pályázatok összesen:</t>
  </si>
  <si>
    <t>Pályázatokból megvalósuló fejlesztések összesen (I+II+III.):</t>
  </si>
  <si>
    <t>Polgármesteri Hivatal</t>
  </si>
  <si>
    <t>Önkormányzati  feladatok mindösszesen</t>
  </si>
  <si>
    <t>Polgármesteri Hivatal által ellátott Önkormányzati feladatok összesen</t>
  </si>
  <si>
    <t>Önkormányzati igazgatás</t>
  </si>
  <si>
    <t>K1</t>
  </si>
  <si>
    <t>Munkaadókat terhelő járulékok és szociális hozzájárulási adó</t>
  </si>
  <si>
    <t>K2</t>
  </si>
  <si>
    <t>K3</t>
  </si>
  <si>
    <t>K4</t>
  </si>
  <si>
    <t>K5</t>
  </si>
  <si>
    <t>Elvonások és befizetések</t>
  </si>
  <si>
    <t>K502</t>
  </si>
  <si>
    <t xml:space="preserve">     Céltartalék</t>
  </si>
  <si>
    <t>Egyéb államháztartáson belüli szervezettől, központi kezelésű előirányzatból</t>
  </si>
  <si>
    <t>Egyéb</t>
  </si>
  <si>
    <t>Hitel-, kölcsöntörlesztés államháztartáson kívülre</t>
  </si>
  <si>
    <t>egyházi jogi személyek részére</t>
  </si>
  <si>
    <t>egyéb civil szervezetek részére</t>
  </si>
  <si>
    <t>háztartások részére</t>
  </si>
  <si>
    <t>önkormányzati tulajdonú gazdasági társaságoknak</t>
  </si>
  <si>
    <t>MŰKÖDÉSI KÖLTSÉGVETÉS EGYENLEGE (működési bevétel - működési kiadás)</t>
  </si>
  <si>
    <t>FELHALMOZÁSI KÖLTSÉGVETÉS EGYENLEGE (felhalmozási bevétel - felhalmozási kiadás)</t>
  </si>
  <si>
    <t>Önkormányzati beruházások</t>
  </si>
  <si>
    <t>Intézmények saját hatáskörben végrehajtott beruházásai</t>
  </si>
  <si>
    <t>Önkormányzati felújítások</t>
  </si>
  <si>
    <t>Intézmények saját hatáskörben végrehajtott felújításai</t>
  </si>
  <si>
    <t>egyéb gazdasági társaságnak</t>
  </si>
  <si>
    <t>KÖLTSÉGVETÉSI KIADÁSOK ÖSSZESEN (A + B):</t>
  </si>
  <si>
    <t>TÁRGYÉVI KIADÁSOK ÖSSZESEN (C. + D.)</t>
  </si>
  <si>
    <t>Értékesítési és forgalmi adók (Iparűzési adó)</t>
  </si>
  <si>
    <t>Egyéb bírság, pótlék</t>
  </si>
  <si>
    <t>Európai Uniótól</t>
  </si>
  <si>
    <t>elvonások és befizetések</t>
  </si>
  <si>
    <t>egyéb működési célú támogatások áht-n belülre</t>
  </si>
  <si>
    <t>egyéb működési célú támogatások áht-n kívül</t>
  </si>
  <si>
    <t>tartalékok</t>
  </si>
  <si>
    <t>egyéb felhalmozási célú támogatások áht-n belülre</t>
  </si>
  <si>
    <t>egyéb felhalmozási célú támogatások áht-n kívül</t>
  </si>
  <si>
    <t>Önkormányzat működési támogatása</t>
  </si>
  <si>
    <t>Műk. célú visszat. tám-ok, kölcsönök visszatérülése áht-n belül</t>
  </si>
  <si>
    <t>vagyoni típusú adók</t>
  </si>
  <si>
    <t>termékek és szolgáltatások adói</t>
  </si>
  <si>
    <t>Felh. célú visszat. tám-ok, kölcsönök visszatérülése áht-n belül</t>
  </si>
  <si>
    <t>Egyéb műk.c. támogatások  bevételei áht-n belül</t>
  </si>
  <si>
    <t>felhalm c. tám-ok, kölcsönök visszatérülése áht-n kívülről</t>
  </si>
  <si>
    <t>egyéb felhalmozási célú átvett pénzeszközök áht-n kívül</t>
  </si>
  <si>
    <t>egyéb finanszírozási célú bevételek összesen:</t>
  </si>
  <si>
    <t>9/a</t>
  </si>
  <si>
    <t>Működési célú támogatások összesen:</t>
  </si>
  <si>
    <t>Működési célú támogatások áht-n kívűlre összesen:</t>
  </si>
  <si>
    <t>Működési célú támogatások áht- belülre összesen:</t>
  </si>
  <si>
    <t>központi költségvetési szervek részére</t>
  </si>
  <si>
    <t>Rovat-szám</t>
  </si>
  <si>
    <t>K42</t>
  </si>
  <si>
    <t>K46</t>
  </si>
  <si>
    <t>K48</t>
  </si>
  <si>
    <t>Ellátottak pénzbeli juttatása összesen:</t>
  </si>
  <si>
    <t xml:space="preserve">Családi támogatások </t>
  </si>
  <si>
    <t>Lakhatással kapcsolatos ellátások</t>
  </si>
  <si>
    <t>Egyéb nem intézményi ellátások</t>
  </si>
  <si>
    <t>köztemetés [Szoctv. 48.§]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</si>
  <si>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</si>
  <si>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</si>
  <si>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jegyzői hatáskörben lévő segélyek (PH-által fizetendő)</t>
  </si>
  <si>
    <r>
      <t xml:space="preserve">lakásfenntartási támogatás
[Szoctv. 38. § (1) bek. a) és b) pontok] </t>
    </r>
    <r>
      <rPr>
        <b/>
        <i/>
        <sz val="11"/>
        <rFont val="Arial"/>
        <family val="2"/>
      </rPr>
      <t>(jegyzői)</t>
    </r>
  </si>
  <si>
    <t>jövedelemadók</t>
  </si>
  <si>
    <t>Működési kiadások összesen (I+II+III+IV+V)</t>
  </si>
  <si>
    <t>Felhalmozási kiadások összesen (VI+VII+VIII)</t>
  </si>
  <si>
    <t>Működési bevételek összesen (I+II+III+IV)</t>
  </si>
  <si>
    <t>Felhalmozási bevételek összesen (V+VI+VII):</t>
  </si>
  <si>
    <t>Finanszírozási kiadások összesen: (IX+X)</t>
  </si>
  <si>
    <t>IX</t>
  </si>
  <si>
    <t>Finanszírozási bevételek (VIII+IX):</t>
  </si>
  <si>
    <t>Feladathoz kapcsolódó egyéb támogatás</t>
  </si>
  <si>
    <t>Egészségügyi és szociális feladatok</t>
  </si>
  <si>
    <t>Egyéb felh.c. támogatások  bevételei áht-n belül</t>
  </si>
  <si>
    <t>irányítószervi és feladattámogatás</t>
  </si>
  <si>
    <t>Egyéb szervezetektől</t>
  </si>
  <si>
    <t xml:space="preserve">egyéb államháztartáson belüli szervezettől, </t>
  </si>
  <si>
    <t>Ellátottak pénzbeli juttatása (segélyek)</t>
  </si>
  <si>
    <t>j</t>
  </si>
  <si>
    <t>Adóssághoz nem kapcsolódó származékos ügyletek bevételei</t>
  </si>
  <si>
    <t>Érvényes előirányzat</t>
  </si>
  <si>
    <t>Felújítások   (ÁFA-val)</t>
  </si>
  <si>
    <t>Felhalmozási célú támogatások összesen:</t>
  </si>
  <si>
    <t>helyi önkormányzatok és költségvetési szerveik részére</t>
  </si>
  <si>
    <t>módosítás     
( ± )</t>
  </si>
  <si>
    <t>KÖLTSÉGVETÉSI HIÁNY(-) / TÖBBLET (+): (költségvetési bevétel-költségvetési kiadás)</t>
  </si>
  <si>
    <t>Iparűzési adó bírság, pótlék</t>
  </si>
  <si>
    <t>Ellátottak pénzbeli juttatása
(önkormányzati segélyek)</t>
  </si>
  <si>
    <t>Közszolgáltatás fejlesztési feladatok</t>
  </si>
  <si>
    <t>egyéb fejezeti kezelésű előirányzatok</t>
  </si>
  <si>
    <t>helyi  nemzetiségi önkormányzatok és költségvetési szerveik részére</t>
  </si>
  <si>
    <t>Önkormányzat által bevezett helyi adók bírság, pótlék</t>
  </si>
  <si>
    <t>Ingatlanok vásárlása</t>
  </si>
  <si>
    <t xml:space="preserve"> teljes program forrásának tervezett összetétele</t>
  </si>
  <si>
    <t>pályázat teljes költsége</t>
  </si>
  <si>
    <t>10.</t>
  </si>
  <si>
    <t>11.</t>
  </si>
  <si>
    <t>12.</t>
  </si>
  <si>
    <t>Sportcélú pályázatok  (SZEB)</t>
  </si>
  <si>
    <t xml:space="preserve">    OKTB pályázatok</t>
  </si>
  <si>
    <r>
      <t>Rendkívüli gyermekvédelmi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</si>
  <si>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Krízis segély
[Szoctv. 45.§]</t>
    </r>
    <r>
      <rPr>
        <b/>
        <i/>
        <sz val="11"/>
        <rFont val="Arial"/>
        <family val="2"/>
      </rPr>
      <t xml:space="preserve"> (települési támogatás)</t>
    </r>
  </si>
  <si>
    <r>
      <t>Temetési segély
[Szoctv. 45.§]</t>
    </r>
    <r>
      <rPr>
        <b/>
        <i/>
        <sz val="11"/>
        <rFont val="Arial"/>
        <family val="2"/>
      </rPr>
      <t xml:space="preserve"> (települési támogatás)</t>
    </r>
  </si>
  <si>
    <r>
      <t>Lakhatási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</si>
  <si>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Hátralékkezelési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</si>
  <si>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Beteggondozási díj
[Szoctv. 45.§]</t>
    </r>
    <r>
      <rPr>
        <b/>
        <i/>
        <sz val="11"/>
        <rFont val="Arial"/>
        <family val="2"/>
      </rPr>
      <t xml:space="preserve"> (települési támogatás)</t>
    </r>
  </si>
  <si>
    <t>Települési támogatás</t>
  </si>
  <si>
    <r>
      <t>Gyógyszertámogatás
[Szoctv. 45.§]</t>
    </r>
    <r>
      <rPr>
        <b/>
        <i/>
        <sz val="11"/>
        <rFont val="Arial"/>
        <family val="2"/>
      </rPr>
      <t xml:space="preserve"> (települési támogatás)</t>
    </r>
  </si>
  <si>
    <t>Egyéb önkormányzati segély, támogatás</t>
  </si>
  <si>
    <t>Lakótelepek energiatakarékos korszerűsítése, társasház</t>
  </si>
  <si>
    <t>Közvilágítás hálózatok és lámpák, díszkivilágítás</t>
  </si>
  <si>
    <t>Útépítések tervezése</t>
  </si>
  <si>
    <t>Járda építések  összesen:</t>
  </si>
  <si>
    <t>Járda felújítások:</t>
  </si>
  <si>
    <t>Út-,  támfal- és lépcsőfelújítások:</t>
  </si>
  <si>
    <t>Előző év költségvetési maradványának igénybevétele</t>
  </si>
  <si>
    <t>Előző év vállalkozási maradványának igénybevétele</t>
  </si>
  <si>
    <t>B8132</t>
  </si>
  <si>
    <t>Vízvezeték építés összesen</t>
  </si>
  <si>
    <t>Útépítések összesen</t>
  </si>
  <si>
    <t>Járda építések</t>
  </si>
  <si>
    <t>Járda felújítások</t>
  </si>
  <si>
    <t>Közszolgáltatásfejlesztési feladatok</t>
  </si>
  <si>
    <t>B814</t>
  </si>
  <si>
    <t>Államháztartáson belüli megelőlegezések</t>
  </si>
  <si>
    <t>Parkoló építések, felújítások</t>
  </si>
  <si>
    <t>Út-, támfal- és lépcsők felújítása, építése</t>
  </si>
  <si>
    <t>k</t>
  </si>
  <si>
    <t>K513</t>
  </si>
  <si>
    <t>K89</t>
  </si>
  <si>
    <t>B411</t>
  </si>
  <si>
    <t>Biztosító által fizetett kártérítés</t>
  </si>
  <si>
    <t>B64</t>
  </si>
  <si>
    <t>B65</t>
  </si>
  <si>
    <t>B74</t>
  </si>
  <si>
    <t>B75</t>
  </si>
  <si>
    <t>Atlasz SE</t>
  </si>
  <si>
    <t>Egyéb városüzemeltetési feladatok</t>
  </si>
  <si>
    <t>Fogyasztási adók (jövedéki adó)</t>
  </si>
  <si>
    <t>B352</t>
  </si>
  <si>
    <r>
      <t xml:space="preserve">Kiegészítő Gyermekvédelmi támogatás </t>
    </r>
    <r>
      <rPr>
        <b/>
        <i/>
        <sz val="11"/>
        <rFont val="Arial"/>
        <family val="2"/>
      </rPr>
      <t>(jegyzői)</t>
    </r>
  </si>
  <si>
    <t>Kisegítő mezőgazdasági szolgáltatások</t>
  </si>
  <si>
    <t>Út-, járda-, lépcső-, támfal felújítások tervezése</t>
  </si>
  <si>
    <t>Útfenntartási kiadások:</t>
  </si>
  <si>
    <t>Intézményi beruházások, felújítások tervezése</t>
  </si>
  <si>
    <t>intézményi fűtésfelújítások összesen:</t>
  </si>
  <si>
    <t>intézményi vizesblokkok, vízvezetékek és csatornák felújítása összesen:</t>
  </si>
  <si>
    <t>sportcélú helyiségek, sportudvarok, udvarok összesen:</t>
  </si>
  <si>
    <t>intézményi tetőfelújítások összesen:</t>
  </si>
  <si>
    <t>intézményi világítás felújítások összesen:</t>
  </si>
  <si>
    <t>konyhafelújítások összesen:</t>
  </si>
  <si>
    <t>homlokzatfelújítások összesen:</t>
  </si>
  <si>
    <t xml:space="preserve">Intézményekbe egyedi bútorok beszerzése </t>
  </si>
  <si>
    <t>akadálymentesítés összesen:</t>
  </si>
  <si>
    <t>egyéb intézményi beruházások összesen:</t>
  </si>
  <si>
    <t>i</t>
  </si>
  <si>
    <t>intézményekbe egyedi bútorok beszerzése:</t>
  </si>
  <si>
    <t>Intézményekben tervezett beruházások (a+b+...+k):</t>
  </si>
  <si>
    <t>Vagyongazdálkodási feladatok:</t>
  </si>
  <si>
    <t>Kártalanítás, utcamegnyitás:</t>
  </si>
  <si>
    <t>Önkormányzati bérlakások térítése</t>
  </si>
  <si>
    <t>Felhalmozási célú támogatások áht-n kívűlre</t>
  </si>
  <si>
    <t>Egyéb pályázatok</t>
  </si>
  <si>
    <t>Egészségügyi alapellátás fejlesztése</t>
  </si>
  <si>
    <t>Budafok-Tétény Polgárőrség</t>
  </si>
  <si>
    <t>Felszíni vízelvezetések tervezése</t>
  </si>
  <si>
    <t>Idegenforgalmi adó</t>
  </si>
  <si>
    <r>
      <t xml:space="preserve">Babakelengye támogatás  </t>
    </r>
    <r>
      <rPr>
        <b/>
        <i/>
        <sz val="11"/>
        <rFont val="Arial"/>
        <family val="2"/>
      </rPr>
      <t>(települési támogatás)</t>
    </r>
  </si>
  <si>
    <r>
      <t xml:space="preserve">Ingatlan helyreállítási támogatás </t>
    </r>
    <r>
      <rPr>
        <b/>
        <i/>
        <sz val="11"/>
        <rFont val="Arial"/>
        <family val="2"/>
      </rPr>
      <t>(települési támogatás)</t>
    </r>
  </si>
  <si>
    <t>Felszíni vízelvezetési  feladatok összesen:</t>
  </si>
  <si>
    <t>Működési célú költségvetési támogatások és kiegészítő támogatások</t>
  </si>
  <si>
    <t>Elszámolásból származó bevételek</t>
  </si>
  <si>
    <t>CE331 - YouInHerit pályázat</t>
  </si>
  <si>
    <t>Interreg CENTRAL EUROPE</t>
  </si>
  <si>
    <t>Közterület-felügyeleti feladatok</t>
  </si>
  <si>
    <t>Szennyvízcsatorna tervezés és építés összesen:</t>
  </si>
  <si>
    <t xml:space="preserve">Szennyvízcsatorna tervezés </t>
  </si>
  <si>
    <t>Vízvezeték tervezések</t>
  </si>
  <si>
    <t>Előre nem tervezhető törzshálózati ivóvíz vezeték építés</t>
  </si>
  <si>
    <t>Parkolók Összesen:</t>
  </si>
  <si>
    <t>Közterület-felügyeleti feladatok:</t>
  </si>
  <si>
    <t>VEKOP-6.1.1-15-BP1-2016-00003</t>
  </si>
  <si>
    <t>Útfenntartási kiadások összesen</t>
  </si>
  <si>
    <r>
      <t>Utcabútorok pótlása</t>
    </r>
    <r>
      <rPr>
        <b/>
        <sz val="10"/>
        <rFont val="Arial"/>
        <family val="2"/>
      </rPr>
      <t xml:space="preserve"> </t>
    </r>
  </si>
  <si>
    <t>c.</t>
  </si>
  <si>
    <t>d.</t>
  </si>
  <si>
    <t>Bursa Hungarica ösztöndíj</t>
  </si>
  <si>
    <t xml:space="preserve">    Művészeti Programok szervezése</t>
  </si>
  <si>
    <t xml:space="preserve">    Budafoki Kézilabda SE</t>
  </si>
  <si>
    <t xml:space="preserve">    Képző- és Iparművészeti Közalapítvány a XXII. Kerület Kultúrájáért </t>
  </si>
  <si>
    <t>Szociális feladatellátás támogatása összesen</t>
  </si>
  <si>
    <t>egyéb intézményi feladatok összesen:</t>
  </si>
  <si>
    <t>program 2020. évi ütemezése</t>
  </si>
  <si>
    <t>Finanszírozási bevételek</t>
  </si>
  <si>
    <t>Pályázatok önrésze</t>
  </si>
  <si>
    <t>Mentőszolgálat Budafoki állomás</t>
  </si>
  <si>
    <t>Leányka Tagbölcsőde előtérből leválasztott helyiség műanyag lambéria fala átalakítása</t>
  </si>
  <si>
    <t>Mocorgó Tagbölcsőde fűtésrendszer korszerűsítése</t>
  </si>
  <si>
    <t>Lakás felújítások bérbeszámítással</t>
  </si>
  <si>
    <t>Nem lakás célú helyiség felújítása bérbeszámítással</t>
  </si>
  <si>
    <t>Leányka Tagóvoda dajka öltöző és zuhanyzó felújítása</t>
  </si>
  <si>
    <t>Zöldecske Tagóvoda tetőszerkezet felújítása, hőszigetelése</t>
  </si>
  <si>
    <r>
      <t>Zöldterületek fejlesztésének tervezése</t>
    </r>
    <r>
      <rPr>
        <b/>
        <sz val="10"/>
        <rFont val="Arial"/>
        <family val="2"/>
      </rPr>
      <t xml:space="preserve"> </t>
    </r>
  </si>
  <si>
    <t xml:space="preserve">Faültetés, faültetési program </t>
  </si>
  <si>
    <t>Gyalogátkelőhelyek létesítése közvilágítással</t>
  </si>
  <si>
    <t>Intézmények bútorozási és lambéria csere munkái</t>
  </si>
  <si>
    <t>Rózsakert Tagbölcsőde iroda felőli bejáratnál rámpás védőkorlát felszerelése és beléptető ajtózár szerelése</t>
  </si>
  <si>
    <t>Rózsakert Tagóvoda - tető felülvizsgálata és felújítása</t>
  </si>
  <si>
    <t xml:space="preserve">Hegybíró utca csapadékvízelvezetés </t>
  </si>
  <si>
    <r>
      <t>Diétás étkeztetés
[Szoctv. 45.§]</t>
    </r>
    <r>
      <rPr>
        <b/>
        <i/>
        <sz val="11"/>
        <rFont val="Arial"/>
        <family val="2"/>
      </rPr>
      <t xml:space="preserve"> (települési támogatás)</t>
    </r>
  </si>
  <si>
    <t>Sportcélú fejlesztések</t>
  </si>
  <si>
    <t xml:space="preserve">Játszó- és sporteszközök telepítése, pótlása és cseréje közterületen és intézményekben </t>
  </si>
  <si>
    <t>Társadalombiztosítás pénzügyi alapjaitól</t>
  </si>
  <si>
    <t>Részesedések megszűnéséhez kapcsolódó bevételek</t>
  </si>
  <si>
    <t>műk. célú visszatérítendő tám., kölcsön nyújtás áht-n belül</t>
  </si>
  <si>
    <t>műk. célú visszatérítendő tám., kölcsön törlesztése áht-n belül</t>
  </si>
  <si>
    <t>műk. célú visszatérítendő tám., kölcsön nyújtás áht-n kívül</t>
  </si>
  <si>
    <t>műk. célú visszatérítendő tám., kölcsön törlesztése áht-n kívül</t>
  </si>
  <si>
    <t>felh. célú visszatérítendő tám., kölcsön törlesztése áht-n belül</t>
  </si>
  <si>
    <t>felh. célú visszatérítendő tám., kölcsön nyújtás áht-n kívül</t>
  </si>
  <si>
    <t>felh. célú visszatérítendő tám., kölcsön nyújtás áht-n belül</t>
  </si>
  <si>
    <t>Család- és Gyermekjóléti Központ</t>
  </si>
  <si>
    <t>Szociális Szolgálat 22.</t>
  </si>
  <si>
    <t>Védőnői Szolgálat 22.</t>
  </si>
  <si>
    <t>Klauzál Gábor Budafok-Tétényi Művelődési Központ</t>
  </si>
  <si>
    <t>Nemzetiségi önkormányzatok támogatása</t>
  </si>
  <si>
    <t>Közterület-felügyelet</t>
  </si>
  <si>
    <t>Városüzemeltetési feladatok</t>
  </si>
  <si>
    <t>Dél-Budai Egészségügyi Szolgálat Közhasznú NKft.</t>
  </si>
  <si>
    <t>Budafoki Dohnányi Ernő Szimfonikus Zenekar Közhasznú NKft.</t>
  </si>
  <si>
    <t>Dél-budai Egészségügyi Szolgálat Közhasznú NKft.</t>
  </si>
  <si>
    <t>Közrendvédelmi rendezvények</t>
  </si>
  <si>
    <t xml:space="preserve">Árnyaskert Tagóvoda udvari kisház külső felújítása, külső-belső festése, a kisház környékén műfüvezése, járda javítása </t>
  </si>
  <si>
    <t xml:space="preserve">Budafok-Tétény Budapest XXII. kerület Önkormányzata </t>
  </si>
  <si>
    <t>Budafok-Tétény Budapest XXII. kerület Önkormányzata</t>
  </si>
  <si>
    <t>Budafok-Tétény Budapest XXII. kerület Önkormányzata ASP központhoz való csatlakozása</t>
  </si>
  <si>
    <t>Intézmények Gazdasági Irodája</t>
  </si>
  <si>
    <t>Budafok - Tétény Budapest XXII. kerület Önkormányzatának</t>
  </si>
  <si>
    <t>Budafok-Tétény Budapest XXII. kerület Önkormányzata Költségvetési Intézményeinek</t>
  </si>
  <si>
    <t xml:space="preserve">    Budafok-Tétény Budapest XXII. kerület Önkormányzata </t>
  </si>
  <si>
    <t xml:space="preserve">nem lakás célú helyiségek </t>
  </si>
  <si>
    <t>lakás felújítások</t>
  </si>
  <si>
    <t>2020. évi tervezett bevételei</t>
  </si>
  <si>
    <t>2020. évi tervezett kiadásai</t>
  </si>
  <si>
    <t>2020. évi tervezett előirányzatai</t>
  </si>
  <si>
    <t>2020. évi önkormányzati feladatainak tervezett előirányzatai</t>
  </si>
  <si>
    <t>2020. évi tervezett támogatások</t>
  </si>
  <si>
    <t>2020. évben lakosságnak önkormányzat által nyújtott 
szociális és rászorultsági ellátások</t>
  </si>
  <si>
    <t>2020. évi tervezett felújítási kiadásai</t>
  </si>
  <si>
    <t>2020. évi tervezett beruházási kiadásai</t>
  </si>
  <si>
    <t>2020. évi tervezett tartalék előirányzata</t>
  </si>
  <si>
    <t>program 2021. évi ütemezése</t>
  </si>
  <si>
    <t>2020. évi költségvetési bevételei és kiadásai</t>
  </si>
  <si>
    <t>2020. évi létszámelőirányzat / fő</t>
  </si>
  <si>
    <t>Közfoglalkoztatottak 2020. évi létszámelőirányzata</t>
  </si>
  <si>
    <t xml:space="preserve">    Határon túli programok támogatása</t>
  </si>
  <si>
    <t xml:space="preserve">    24 órás központi ügyelet</t>
  </si>
  <si>
    <t xml:space="preserve">    Központi gyermek ügyelet</t>
  </si>
  <si>
    <t xml:space="preserve">    Bértámogatás</t>
  </si>
  <si>
    <t xml:space="preserve">    Stratégiai partnerségi megállapodások</t>
  </si>
  <si>
    <t>2020. évi iparűzési adó beszedésével kapcsolatos költségek (forrásmegosztás alapján)</t>
  </si>
  <si>
    <t xml:space="preserve">Játszóeszközök alatti ütéscsillapító gumiburkolat javítása, cseréje </t>
  </si>
  <si>
    <t>Kisebb zöldterület-fejlesztési munkák</t>
  </si>
  <si>
    <t>Péter Pál utca vízvezeték utáni járda felújítás</t>
  </si>
  <si>
    <t>Előre nem tervezhető járda és park felújításfelújítás</t>
  </si>
  <si>
    <t>Gloriette körüli térburkolat kiépítése</t>
  </si>
  <si>
    <t>Intézményekben burkolatok (hideg és meleg) felújítása</t>
  </si>
  <si>
    <t>Intézményekben hőérzet javítása, árnyékolás és klímaszerelés</t>
  </si>
  <si>
    <t>Bartók Béla ált. iskola udvar burkolatjavítás és játszótér felújítás tervezése</t>
  </si>
  <si>
    <t>Napraforgó Tagbölcsőde pince csatornarendszer kiépítésének felülvizsgálata</t>
  </si>
  <si>
    <t>Mocorgó Tagbölcsőde teraszok tetőszerkezetén a hullámos fémlemez borítás javítása, cseréje</t>
  </si>
  <si>
    <t>Bartók Tagóvoda Teknős csoportban parketta csere</t>
  </si>
  <si>
    <t>Zöldecske Tagóvoda szennyvízelvezető cső teljes cseréje</t>
  </si>
  <si>
    <t>Maci Tagóvoda tető felújítása az M2 épületben</t>
  </si>
  <si>
    <t>Árnyaskert Tagóvoda játszóház cseréje</t>
  </si>
  <si>
    <t>Szivárvány Tagóvoda dekorbeton javítása</t>
  </si>
  <si>
    <t>Huncutka Tagóvoda épület süllyedésének megállítása, fürdőszobák felújításával, iroda szárnyban</t>
  </si>
  <si>
    <t>XII. u. 28. válaszfal építés és bontás</t>
  </si>
  <si>
    <t>XVI. U. 22. Polgári Kör emeleti klubhelyiség teljes elektromos felújítása</t>
  </si>
  <si>
    <t>Klauzál ház színházterem feletti lapostető cseréje</t>
  </si>
  <si>
    <t>Útépítések kivitelezése</t>
  </si>
  <si>
    <t>Alkotmány utca szakaszosan</t>
  </si>
  <si>
    <t>Terv utcai járda és Terv-Bibic kereszteződés átépítés</t>
  </si>
  <si>
    <t>Tündérkert Tagóvoda kazáncsere</t>
  </si>
  <si>
    <t>Maci Tagóvoda M2 udvari szín tetejének felújítása (napelem )</t>
  </si>
  <si>
    <t>Csemetekert Tagóvoda tocsogó, pancsoló kialakítása</t>
  </si>
  <si>
    <t>Nagytétényi út 266. kerti pavilon helyének betonozása vagy térkövezése</t>
  </si>
  <si>
    <t>Városháza főépítészi iroda átalakítása</t>
  </si>
  <si>
    <t>Rózsakert Tagóvoda - tető összefolyó javítás (2 db)</t>
  </si>
  <si>
    <t>Csicsergő Tagóvoda kerítés javítása utcafronton</t>
  </si>
  <si>
    <t>Polgármesteri Hivatal folyosói padlóburkolat rekonstrukciója</t>
  </si>
  <si>
    <t>Országos görpark program (pályázat)</t>
  </si>
  <si>
    <t>"Főváros kerületi belterületi szilárd burkolat nélküli utak szilárd burkolattal történő ellátása" pályázat 2019</t>
  </si>
  <si>
    <t>"Főváros kerületi belterületi szilárd burkolat nélküli utak szilárd burkolattal történő ellátása" pályázat 2019. Komáromi utca</t>
  </si>
  <si>
    <t>Útépítések leőtti közmű kiváltások</t>
  </si>
  <si>
    <t>Leányka Tagbölcsőde vasút felőli kerítés lábazatának kialakítása</t>
  </si>
  <si>
    <t>Szociális Szolgálat Anna u. 10. épület főbejáratánál előtető kialakítása</t>
  </si>
  <si>
    <t>K914</t>
  </si>
  <si>
    <t>pályázati forrásokból megvalósuló feladatai és azok évenkénti ütemezése</t>
  </si>
  <si>
    <t>program 2022. évi ütemezése</t>
  </si>
  <si>
    <t>13.</t>
  </si>
  <si>
    <t>14.</t>
  </si>
  <si>
    <t>15.</t>
  </si>
  <si>
    <t>Bartók Utcai Tagóvoda, Napraforgó Tagbölcsőde és Halacska Református Óvoda (1225 Budapest, Bartók Béla utca 4., hrsz.) utólagos homlokzati hőszigetelése, tetőszigetelése, akadálymentesítése és külső nyílászárók cseréje</t>
  </si>
  <si>
    <t>KÖFOP-1.2.1-VEKOP-16-2017-01279</t>
  </si>
  <si>
    <t>URBACT III. Integrált városfejlesztést támogató transznacionális program</t>
  </si>
  <si>
    <t>URBACT III. Integrált városfejlesztést támogató transznacionális program 1555398745</t>
  </si>
  <si>
    <t>Környezeti és Energiahatékonysági Operatív Program</t>
  </si>
  <si>
    <t xml:space="preserve">KEHOP-1.2.1-18-2018-00018 Változz a jövődért, változz a Kerületért! </t>
  </si>
  <si>
    <t>Budafoki Művészeti és Helytörténeti Galéria kialakítása</t>
  </si>
  <si>
    <t>"TÉR-KÖZ"</t>
  </si>
  <si>
    <t>Országos Görpark Program</t>
  </si>
  <si>
    <t>Polgármesteri Hivatal – folyosói padlólap rekonstrukciója</t>
  </si>
  <si>
    <t>Építészeti Örökségvédelmi Támogatás 2017</t>
  </si>
  <si>
    <t>Rekortán kültéri kézilabda pálya építése</t>
  </si>
  <si>
    <t>Magyar Kézilabda Szövetség Pályaépítési Program</t>
  </si>
  <si>
    <t>Hazai forrásból megvalósuló pályázatok összesen:</t>
  </si>
  <si>
    <t>Budafoki Művészeti és Helytörténeti Galéria berendezése</t>
  </si>
  <si>
    <t>Piac fejlesztés (hulladékkezelés)</t>
  </si>
  <si>
    <t>Államháztartáson belüli megelőlegezések visszafizetése</t>
  </si>
  <si>
    <t>XI.</t>
  </si>
  <si>
    <t>Módosított előirányzat</t>
  </si>
  <si>
    <t>Üzemeltetési, karbantartási és egyéb működési kiadások tartaléka</t>
  </si>
  <si>
    <t>Felhalmozási kiadások (beruházások és felújítások) tartaléka</t>
  </si>
  <si>
    <t>Érvényes előiárnyzat</t>
  </si>
  <si>
    <t xml:space="preserve">Érvényes előirányzat          </t>
  </si>
  <si>
    <t xml:space="preserve">Hajó utca - Duna parti sétány környezetének fejl.-e </t>
  </si>
  <si>
    <t xml:space="preserve">Szent István tér komplex fejlesztése </t>
  </si>
  <si>
    <t>Memento Szmolenszkért emlékmű</t>
  </si>
  <si>
    <t>Budafoki Művészeti és Helytörténeti Galéria</t>
  </si>
  <si>
    <t>Közfoglalkoztatás támogatása</t>
  </si>
  <si>
    <t>Csatlakozás az Első Energia-beszerzési Önk. Társuláshoz</t>
  </si>
  <si>
    <t>Önkormányzat és Hivatal által nyújtott, visszajött segélyek technikai rendezése</t>
  </si>
  <si>
    <t>2019. évi iparűzési adó beszedésével kapcsolatos költségek (forrásmegosztás alapján)</t>
  </si>
  <si>
    <t>Nádasdy Művészeti Iskola - dobogó és színpad hátsó felületének akusztikai borítása</t>
  </si>
  <si>
    <t>Egyéb pályázatok - YoulnHerit pályázat elszámolása</t>
  </si>
  <si>
    <t>Szent István tér komplex fejlesztése</t>
  </si>
  <si>
    <t>Lakáskarbantartás</t>
  </si>
  <si>
    <t>Balatonakali üdülőházak cseréje</t>
  </si>
  <si>
    <t>Kerületi feladatok:</t>
  </si>
  <si>
    <t>Péter Pál utcai játszótér felújítása</t>
  </si>
  <si>
    <t>Kőbányász park felújítása</t>
  </si>
  <si>
    <t>BKISZ keretében végzett szennyvízcsatorna építések utáni útfelújítások - Árpád u.</t>
  </si>
  <si>
    <t>Egyéb útfenntartási kiadások:</t>
  </si>
  <si>
    <t>-- Városház tér Rendőrkapitányság előtti járdaburkolat nagyjavítása</t>
  </si>
  <si>
    <t>-- Zsoldos forduló - útszerkezetet megámasztó mélycölöp támasztó sor építése</t>
  </si>
  <si>
    <t>Bartók Tagóvoda - tető-és homlokzatszigetelési munkák, nyílászárók cseréje (VEKOP pályázat)</t>
  </si>
  <si>
    <t>Általános hibaelhárítás</t>
  </si>
  <si>
    <t>-- Csemetekert Tagóvoda - kazánház szivattyú cseréje</t>
  </si>
  <si>
    <t>-- Nagytétényi út 31-33. - uszodatér homlokzati nyílászáró üvegeinek cseréje</t>
  </si>
  <si>
    <t>-- Szociális Szolgálat (Anna u.) - fűtésrendszer cseréje</t>
  </si>
  <si>
    <t>Külső ellenőrzések által előírt feladatok (NÉBIH HACCP)</t>
  </si>
  <si>
    <t>-- Leányka Tagbölcsőde - átadó helyiségben felnőtt kézmosók helyreállítása</t>
  </si>
  <si>
    <t>Intézményekben tervezett felújítások (a+b+..+k) :</t>
  </si>
  <si>
    <t>Városüzemeltetési feladatok összesen (1+…+7):</t>
  </si>
  <si>
    <t>Egyéb városüzemeltetési feladatok:</t>
  </si>
  <si>
    <t>Szakorvosi rendelő - gépészet és mosdók felújítása I. ütem</t>
  </si>
  <si>
    <t>Dél-budai Egészségügyi Szolgálat Közhasznú NKft:</t>
  </si>
  <si>
    <t>Kulturális feladatok:</t>
  </si>
  <si>
    <t>Egészségügyi és szociális feladatok:</t>
  </si>
  <si>
    <t>Közszolgáltatás fejlesztési feladatok:</t>
  </si>
  <si>
    <t>Főépítészi, városrendezési feladatok:</t>
  </si>
  <si>
    <t>Ingatlanok vásárlása:</t>
  </si>
  <si>
    <t>Hajó utca - Duna parti sétány környezetének fejl.-e:</t>
  </si>
  <si>
    <t>Memento Szmolenszkért emlékmű:</t>
  </si>
  <si>
    <t>Budafoki Művészeti és Helytörténeti Galéria:</t>
  </si>
  <si>
    <t>Kerületi feladat:</t>
  </si>
  <si>
    <t>Önkormányzati igazgatás:</t>
  </si>
  <si>
    <t>XII.</t>
  </si>
  <si>
    <t>XIII.</t>
  </si>
  <si>
    <t>XIV.</t>
  </si>
  <si>
    <t>XV.</t>
  </si>
  <si>
    <t>Önkormányzati beruházások összesen (I-től XV-ig):</t>
  </si>
  <si>
    <t>Kossuth L. u. 26. - pergola építése</t>
  </si>
  <si>
    <t>"Főváros kerületi belterületi szilárd burkolat nélküli utak szilárd burkolattal történő ellátása" pályázat 2018</t>
  </si>
  <si>
    <t xml:space="preserve">Előre nem tervezhető járda és park felújításfelújítás </t>
  </si>
  <si>
    <t>-- Honfoglalás út 22-vel szembeni játszótér ivóvíz ellátása</t>
  </si>
  <si>
    <t>Leányka utca 38. sz. mögött gépkocsi parkoló építés + közvilágítás</t>
  </si>
  <si>
    <t>Egyéb forgalomtechnikai létesítmények</t>
  </si>
  <si>
    <t>-- Polgármesteri Hivatal (Városház tér) - informatika ajtó beépítése</t>
  </si>
  <si>
    <t>-- Leányka Tagbölcsőde - konyhaszekrény készítése, szállítása és felszerelése</t>
  </si>
  <si>
    <t>-- Rosta u. és Kender u.</t>
  </si>
  <si>
    <t>-- Só u.</t>
  </si>
  <si>
    <t>-- Szikla u.</t>
  </si>
  <si>
    <t>-- Temesvári u.</t>
  </si>
  <si>
    <t>-- Kiskőbánya u.</t>
  </si>
  <si>
    <t>-- Méz u. és Villa u.</t>
  </si>
  <si>
    <t>-- Angolna u., Márna u., Pikó u., Compó u. és Törpeharcsa u.</t>
  </si>
  <si>
    <t>-- Naphal u. és Dévér park</t>
  </si>
  <si>
    <t>-- Iluska u. (Bartók B. út - Csút u.)</t>
  </si>
  <si>
    <t>-- Busa u. (Balin u. - Naphal u.)</t>
  </si>
  <si>
    <t>-- Libertás u. (Dukát u. - Kunyhó u.)</t>
  </si>
  <si>
    <t xml:space="preserve">-- Csúcs u. (Dukát u. - Barackos u.) </t>
  </si>
  <si>
    <t>-- Dukát u. (Barackos u. - Szélkakas u.)</t>
  </si>
  <si>
    <t>-- Dukát u. (Szélkakas u. - Peták u.)</t>
  </si>
  <si>
    <t>-- Dukát u. (Peták u. - Kakukkhegyi u.)</t>
  </si>
  <si>
    <t>-- Móricz Zsigmond u. (Géza u. - 9.sz.)</t>
  </si>
  <si>
    <t>-- Kő u.</t>
  </si>
  <si>
    <t>-- Kötő u.</t>
  </si>
  <si>
    <t>-- Pógyor István u. (Gyula vezér út - végig)</t>
  </si>
  <si>
    <t>-- Vitéz u. (Dallam u. - Kossuth u.)</t>
  </si>
  <si>
    <t>-- Cikória u.</t>
  </si>
  <si>
    <t>-- Nyírfás köz</t>
  </si>
  <si>
    <t>-- Diófa u. (Sörház u. - zsákutca vége)</t>
  </si>
  <si>
    <t>-- Szalontai - Ménes u. (Szél u. - zsákutca vége)</t>
  </si>
  <si>
    <t>-- Kenderike u. (Kelenvölgyi u. - Kamaraerdei u.)</t>
  </si>
  <si>
    <t>-- Halom u. (Olajhegy u. - Árpád u.)</t>
  </si>
  <si>
    <t>-- Kőház sor (XIV. u. - XV. u.)</t>
  </si>
  <si>
    <t>-- Palást u. (234401/4 - 234400/4 hrsz)</t>
  </si>
  <si>
    <t>-- Hegyfok köz (Hegyfok u. - zsákutca vége)</t>
  </si>
  <si>
    <t>-- Aranyvessző u.(Dukát u. - Dénár u.)</t>
  </si>
  <si>
    <t>-- Babérfűz u.(3.sz. - 7/b.sz.)</t>
  </si>
  <si>
    <t>-- Dénár u. (Libertás u. - Aranyvessző u. között)</t>
  </si>
  <si>
    <t>-- Diótörő u. (Balatoni út. - Viharvédő u.)</t>
  </si>
  <si>
    <t>-- Sárgarigó u. (Alkotmány u. - zsákutca vége)</t>
  </si>
  <si>
    <t>fejezeti kezelésű előirányzatok EU-s programokra</t>
  </si>
  <si>
    <t>Járványügyi veszélyhelyzet</t>
  </si>
  <si>
    <t>Zöldterületek fejlesztése pályázatok keretében</t>
  </si>
  <si>
    <t>Működési tartalék bevételi elmaradások fedezetére</t>
  </si>
  <si>
    <t>Cafeteria keret összeg emelésének fedezete</t>
  </si>
  <si>
    <t>Elágazás park I. ütem - bringapark pályázat</t>
  </si>
  <si>
    <t xml:space="preserve">Parkfenntartási részleg anyag és szerszám szükséglet </t>
  </si>
  <si>
    <t>Napvitorlák közterületen</t>
  </si>
  <si>
    <t>"Főváros kerületi belterületi szilárd burkolat nélküli utak szilárd burkolattal történő ellátása" pályázat 2020.</t>
  </si>
  <si>
    <t>-- Egyesített Óvoda (Nagytétényi út 291) klimatizálása</t>
  </si>
  <si>
    <t>-- Zöldecske Tagóvoda - kazánköri szivattyú cseréje</t>
  </si>
  <si>
    <t>-- Halacska Református Óvoda - fűtési rendszer átalakítása</t>
  </si>
  <si>
    <t>-- Tündérkert Tagóvoda - fűtésrendszer cseréje</t>
  </si>
  <si>
    <t>Intézményekben gépészeti vezetékek, berendezések felülvizsgálata, javítása</t>
  </si>
  <si>
    <t xml:space="preserve">-- Leányka Tagbölcsőde - légcsatorna bontása </t>
  </si>
  <si>
    <t>-- Ficánka Tagóvoda - fűtési tágulási tartály cseréje</t>
  </si>
  <si>
    <t>-- Hajós Alfréd Tanuszoda - fűtési tágulási tartály cserélye</t>
  </si>
  <si>
    <t>Intézményekben kazánok vízkőtelenítése</t>
  </si>
  <si>
    <t>-- Művelődési Központ (Klauzál Ház) - kazánok és hőcserélők vízkőtelenítése + iszapleválasztók beépítése</t>
  </si>
  <si>
    <t>-- Polgármesteri Hivatal (Városház tér) - kazánok és hőcserélők vízkőtelenítése + iszapleválasztók beépítése</t>
  </si>
  <si>
    <t>I. félév</t>
  </si>
  <si>
    <t>Nem lakás célú helyiség karbantartása</t>
  </si>
  <si>
    <t>-- Csemetekert Tagóvoda - ablakrács készítése, lépcsőkorlát meghosszabítása</t>
  </si>
  <si>
    <t>Dél-Budai Egészségügyi Szolgálat Közhasznú NKft. öszesen:</t>
  </si>
  <si>
    <t xml:space="preserve">    Dél-budai Egészségügyi Szolgálat Közhasznú NKft. - működési támogatás</t>
  </si>
  <si>
    <t>Környezetvédelmi pályázat</t>
  </si>
  <si>
    <t>Szociális feladatellátás - jelzőrendszeres házi segítségnyújtás</t>
  </si>
  <si>
    <t xml:space="preserve">Nemzetiségi önkormányzatok támogatása összesen: </t>
  </si>
  <si>
    <t xml:space="preserve">    Görög Nemzetiségi Önkormányzat</t>
  </si>
  <si>
    <t xml:space="preserve">    Horvát Önkormányzat</t>
  </si>
  <si>
    <t xml:space="preserve">    Lengyel Nemzetiségi Önkormányzat</t>
  </si>
  <si>
    <t xml:space="preserve">    Német Nemzetiségi Önkormányzat</t>
  </si>
  <si>
    <t xml:space="preserve">    Örmény Nemzetiségi Önkormányzat</t>
  </si>
  <si>
    <t xml:space="preserve">    Roma Önkormányzat</t>
  </si>
  <si>
    <t xml:space="preserve">    Ukrán Nemzetiségi Önkormányzat</t>
  </si>
  <si>
    <t>Polgármesteri Hivatal - önkormányzati képviselők választása</t>
  </si>
  <si>
    <r>
      <t xml:space="preserve">Védőoltások támogatása </t>
    </r>
    <r>
      <rPr>
        <b/>
        <i/>
        <sz val="11"/>
        <rFont val="Arial"/>
        <family val="2"/>
      </rPr>
      <t>(települési támogatás)</t>
    </r>
  </si>
  <si>
    <t>Promontor Udvar alvállalkozói szerződések</t>
  </si>
  <si>
    <t>Vagyongazdálkodási feladatok tervezett kiadásai összesen (a+...+e):</t>
  </si>
  <si>
    <t>Járványügyi veszélyhelyzet:</t>
  </si>
  <si>
    <t>XVI.</t>
  </si>
  <si>
    <t>Felügyeleti díj</t>
  </si>
  <si>
    <t>elkülönített állami pénzalapnak</t>
  </si>
  <si>
    <t>-- Sörház u. 37. szám előtti útszűkület melletti támfal felújítása</t>
  </si>
  <si>
    <t>Batthyány utca 10-12. szám alatti orvosi rendelő felújítása pályázat keretében</t>
  </si>
  <si>
    <t>A fővárosi kerületi belterületi szilárd burkolat nélküli utak szilárd burkolattal történő ellátása II. ütem</t>
  </si>
  <si>
    <t>Miniszterelnökség</t>
  </si>
  <si>
    <t xml:space="preserve">Országos Bringapark Program </t>
  </si>
  <si>
    <t>A fővárosi kerületi belterületi szilárd burkolat nélküli utak szilárd burkolattal történő ellátása IV. ütem</t>
  </si>
  <si>
    <t xml:space="preserve">Bölcsőde fejlesztési program </t>
  </si>
  <si>
    <t xml:space="preserve">Pénzügyminisztérium </t>
  </si>
  <si>
    <t>Egészséges Budapest Program, járóbeteg szakellátást érintő orvosieszköz-fejlesztés</t>
  </si>
  <si>
    <t>Egészséges Budapest Program</t>
  </si>
  <si>
    <t>módosítás              ( ± )</t>
  </si>
  <si>
    <t>Tárgyévi normatív támogatások tartaléka</t>
  </si>
  <si>
    <t>Dél-budai Egészségügyi Szolgálat Közhasznú NKft. - Egészséges Budapest Program</t>
  </si>
  <si>
    <t>Civil szervezetek felhalmozási támogatása (kulturális feladatok)</t>
  </si>
  <si>
    <t>Kerületi díjak - Tiszta virágos kerületért díj</t>
  </si>
  <si>
    <t>-- Leányka u. 16-24. szám előtt + átjárók között balesetveszélyes járda felújítása</t>
  </si>
  <si>
    <t>-- Leányka u. 14-32. szám előtti járdaszakasz helyreállítása</t>
  </si>
  <si>
    <t>-- Wesselényi utca -  vízvezeték rekonstrukciót követő útburkolat helyreállítása (félpálya)</t>
  </si>
  <si>
    <t>Sportpark Program</t>
  </si>
  <si>
    <t>-- Tatárka u. 15. és Vincellér utcai járdaburkolatok összekötése</t>
  </si>
  <si>
    <t>Egyéb útfenntartási kiadások</t>
  </si>
  <si>
    <t>-- Libertás u. - Dukát u. csatlakozása - vízelvezetés megoldása</t>
  </si>
  <si>
    <t>"Régi idők új kapui" és "Budafok-Belváros megújul" pályázat (2019-ig)</t>
  </si>
  <si>
    <t>"Régi idők új kapui" és "Budafok-Tétény utcaképe megújul" pályázat</t>
  </si>
  <si>
    <t>Adományközvetítés, (hideg-meleg) ételosztás támogatása pályázat keretében</t>
  </si>
  <si>
    <t>-- XI. utca (Gyula vezér út - 42. szám között)</t>
  </si>
  <si>
    <t>-- 228409/80 hrsz (Hűség utcai lakóparkon belüli utca)</t>
  </si>
  <si>
    <t>-- 234475/25 hrsz (Pedellus utcából nyíló útszakasz)</t>
  </si>
  <si>
    <t>-- 231963 hrsz (Kormorán u. - Rudnyányszky u.)</t>
  </si>
  <si>
    <t>-- Mária u. (Kövesföld u. - 230155/22 hrsz között)</t>
  </si>
  <si>
    <t>-- Aszály utca (Kő u. - Klauzál u. között)</t>
  </si>
  <si>
    <t>-- 229220/1 hrsz (Bibic u. - 229208 hrsz között)</t>
  </si>
  <si>
    <t>-- Sík u. (Cikória u. - Rózsabarack u. között)</t>
  </si>
  <si>
    <t>-- Barackos út (Szakiskola u. - 79. sz. között)</t>
  </si>
  <si>
    <t>-- Mogyoró u. (Rózsabarack u. - Cikória u. között)</t>
  </si>
  <si>
    <t>-- Só u. (Pannónia u. - lépcső között)</t>
  </si>
  <si>
    <t>-- Komáromi út - BMTE előtti szakaszon vízelvezetési feladatok</t>
  </si>
  <si>
    <t>-- Forgalomtechnikai tervek, egyéb tervezési feladatok</t>
  </si>
  <si>
    <t>-- Rózsakert Tagbölcsőde - személybejáró ajtó kódzár és nyitás kiépítése</t>
  </si>
  <si>
    <t>-- Tündérkert Tagóvoda - fűtési vezeték cseréje, kötések hyelyreállítása</t>
  </si>
  <si>
    <t>-- Fűtési tágulási tartályok cseréje 3 intézményben</t>
  </si>
  <si>
    <t>III. negyedév</t>
  </si>
  <si>
    <t>-- Vincellér u. 24. szám előtti járdaburkolat kiépítése (telekszabályozási eljárást követően)</t>
  </si>
  <si>
    <t>Felhalmozási célú támogatások áht-n belülre</t>
  </si>
  <si>
    <t xml:space="preserve">FKI Budafoki Katasztrófavédelmi Őrs </t>
  </si>
  <si>
    <t>Dél-budai Egészségügyi Szolgálat Közhasznú NKft. - 2019. évi EBP pályázat elszámolása</t>
  </si>
  <si>
    <t>Egészségügyi, közbiztonsági és balesetmegelőzési prevenciós programok, szolgáltatások</t>
  </si>
  <si>
    <t xml:space="preserve">Önkormányzati igazgatás </t>
  </si>
  <si>
    <t>Önkormányzati felújítások összesen (I+…….+V):</t>
  </si>
  <si>
    <t>Egyéb pályázatok:</t>
  </si>
  <si>
    <t>helyi  önkormányzatok és költségvetési szerveik részére</t>
  </si>
  <si>
    <t>Utcanyitások és terület-lejegyzések költségei:</t>
  </si>
  <si>
    <t>Városüzemeltetés feladatok összesen (1-től 11-ig) :</t>
  </si>
  <si>
    <t>Utcanyitások és terület-lejegyzések költségei</t>
  </si>
  <si>
    <t>A fővárosi kerületi belterületi szilárd burkolat nélküli utak szilárd burkolattal történő ellátása V. ütem</t>
  </si>
  <si>
    <t>1. melléklet a 19/2020.(XI.12.) számú</t>
  </si>
  <si>
    <t>2. melléklet a 19/2020.(XI.12.) számú</t>
  </si>
  <si>
    <t>3. melléklet a 19/2020.(XI.12.) számú</t>
  </si>
  <si>
    <t>4. melléklet a 19/2020.(XI.12.) számú</t>
  </si>
  <si>
    <t>5. melléklet a 19/2020.(XI.12.) számú</t>
  </si>
  <si>
    <t>6. melléklet a 19/2020.(XI.12.) számú</t>
  </si>
  <si>
    <t>9. melléklet a 19/2020.(XI.12.) számú</t>
  </si>
  <si>
    <t>10. melléklet a 19/2020.(XI.12.) számú</t>
  </si>
  <si>
    <t>11. melléklet a 19/2020.(XI.12.) számú</t>
  </si>
  <si>
    <t>4. melléklet a  19/2020.(XI.12.) számú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</si>
</sst>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154">
    <font>
      <sz val="10"/>
      <name val="Times New Roman CE"/>
      <family val="0"/>
    </font>
    <font>
      <sz val="12"/>
      <color indexed="8"/>
      <name val="Times New Roman"/>
      <family val="2"/>
    </font>
    <font>
      <b/>
      <sz val="10"/>
      <name val="Times New Roman CE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color indexed="9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8"/>
      <name val="Times New Roman CE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0"/>
      <name val="Wingdings"/>
      <family val="0"/>
    </font>
    <font>
      <sz val="12"/>
      <name val="MS Sans Serif"/>
      <family val="2"/>
    </font>
    <font>
      <sz val="9"/>
      <name val="Times New Roman CE"/>
      <family val="0"/>
    </font>
    <font>
      <b/>
      <sz val="12"/>
      <name val="Times New Roman CE"/>
      <family val="1"/>
    </font>
    <font>
      <b/>
      <sz val="1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6"/>
      <name val="Arial CE"/>
      <family val="2"/>
    </font>
    <font>
      <b/>
      <sz val="14"/>
      <name val="Times New Roman CE"/>
      <family val="1"/>
    </font>
    <font>
      <b/>
      <sz val="10"/>
      <name val="Wingdings"/>
      <family val="0"/>
    </font>
    <font>
      <sz val="10"/>
      <name val="Arial"/>
      <family val="2"/>
    </font>
    <font>
      <sz val="11"/>
      <color indexed="10"/>
      <name val="Times New Roman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2"/>
      <color indexed="9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2"/>
      <name val="Arial CE"/>
      <family val="0"/>
    </font>
    <font>
      <sz val="10"/>
      <color indexed="10"/>
      <name val="Times New Roman CE"/>
      <family val="0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0"/>
      <color indexed="24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Times New Roman CE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Times New Roman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0"/>
      <color indexed="20"/>
      <name val="Times New Roman CE"/>
      <family val="0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9"/>
      <name val="Times New Roman CE"/>
      <family val="0"/>
    </font>
    <font>
      <b/>
      <sz val="16"/>
      <color indexed="9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sz val="11"/>
      <color indexed="10"/>
      <name val="Arial CE"/>
      <family val="0"/>
    </font>
    <font>
      <b/>
      <sz val="11"/>
      <color indexed="17"/>
      <name val="Arial"/>
      <family val="2"/>
    </font>
    <font>
      <sz val="12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4"/>
      <name val="Times New Roman CE"/>
      <family val="0"/>
    </font>
    <font>
      <b/>
      <sz val="10"/>
      <color indexed="14"/>
      <name val="Arial"/>
      <family val="2"/>
    </font>
    <font>
      <b/>
      <sz val="10"/>
      <color indexed="14"/>
      <name val="Arial CE"/>
      <family val="2"/>
    </font>
    <font>
      <b/>
      <sz val="11"/>
      <color indexed="14"/>
      <name val="Arial CE"/>
      <family val="2"/>
    </font>
    <font>
      <b/>
      <sz val="10"/>
      <color indexed="12"/>
      <name val="Arial"/>
      <family val="2"/>
    </font>
    <font>
      <b/>
      <sz val="10"/>
      <color indexed="12"/>
      <name val="Times New Roman CE"/>
      <family val="0"/>
    </font>
    <font>
      <b/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1"/>
      <color indexed="9"/>
      <name val="Arial C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0"/>
      <name val="Times New Roman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0"/>
      <color theme="11"/>
      <name val="Times New Roman CE"/>
      <family val="0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theme="0"/>
      <name val="Arial CE"/>
      <family val="2"/>
    </font>
    <font>
      <sz val="10"/>
      <color theme="0"/>
      <name val="Times New Roman CE"/>
      <family val="0"/>
    </font>
    <font>
      <b/>
      <sz val="16"/>
      <color theme="0"/>
      <name val="Arial CE"/>
      <family val="2"/>
    </font>
    <font>
      <b/>
      <sz val="14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  <font>
      <b/>
      <sz val="12"/>
      <color theme="0"/>
      <name val="Arial CE"/>
      <family val="2"/>
    </font>
    <font>
      <sz val="8"/>
      <color theme="0"/>
      <name val="Arial CE"/>
      <family val="2"/>
    </font>
    <font>
      <sz val="10"/>
      <color theme="1"/>
      <name val="Arial"/>
      <family val="2"/>
    </font>
    <font>
      <sz val="11"/>
      <color rgb="FFFF0000"/>
      <name val="Arial CE"/>
      <family val="0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2"/>
      <color rgb="FFFF0000"/>
      <name val="Arial CE"/>
      <family val="2"/>
    </font>
    <font>
      <sz val="10"/>
      <color rgb="FFFF0000"/>
      <name val="Arial"/>
      <family val="2"/>
    </font>
    <font>
      <b/>
      <sz val="10"/>
      <color rgb="FFCC00FF"/>
      <name val="Times New Roman CE"/>
      <family val="0"/>
    </font>
    <font>
      <b/>
      <sz val="10"/>
      <color rgb="FFCC00FF"/>
      <name val="Arial"/>
      <family val="2"/>
    </font>
    <font>
      <b/>
      <sz val="10"/>
      <color rgb="FFCC00FF"/>
      <name val="Arial CE"/>
      <family val="2"/>
    </font>
    <font>
      <b/>
      <sz val="11"/>
      <color rgb="FFCC00FF"/>
      <name val="Arial CE"/>
      <family val="2"/>
    </font>
    <font>
      <b/>
      <sz val="10"/>
      <color rgb="FF0000FF"/>
      <name val="Arial"/>
      <family val="2"/>
    </font>
    <font>
      <b/>
      <sz val="10"/>
      <color rgb="FF0000FF"/>
      <name val="Times New Roman CE"/>
      <family val="0"/>
    </font>
    <font>
      <b/>
      <sz val="10"/>
      <color rgb="FF0000FF"/>
      <name val="Arial CE"/>
      <family val="2"/>
    </font>
    <font>
      <b/>
      <sz val="11"/>
      <color rgb="FF0000FF"/>
      <name val="Arial CE"/>
      <family val="2"/>
    </font>
    <font>
      <b/>
      <sz val="11"/>
      <color theme="0"/>
      <name val="Arial CE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FFF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6FE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double"/>
      <bottom style="double"/>
    </border>
    <border>
      <left/>
      <right style="thin"/>
      <top style="medium"/>
      <bottom style="medium"/>
    </border>
    <border>
      <left style="medium"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double"/>
    </border>
    <border>
      <left/>
      <right style="medium"/>
      <top style="thick"/>
      <bottom style="double"/>
    </border>
    <border>
      <left style="medium"/>
      <right style="medium"/>
      <top style="double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thick"/>
      <bottom style="double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double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medium"/>
      <right/>
      <top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double"/>
    </border>
    <border>
      <left style="thin"/>
      <right style="medium"/>
      <top style="thin"/>
      <bottom/>
    </border>
    <border>
      <left/>
      <right style="medium"/>
      <top style="thin"/>
      <bottom style="double"/>
    </border>
    <border>
      <left/>
      <right style="thin"/>
      <top style="double"/>
      <bottom style="double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double"/>
      <bottom style="double"/>
    </border>
    <border>
      <left/>
      <right style="thin"/>
      <top style="medium"/>
      <bottom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medium"/>
      <right/>
      <top style="thick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 style="thin"/>
      <right/>
      <top style="medium"/>
      <bottom style="thin"/>
    </border>
    <border>
      <left style="medium"/>
      <right/>
      <top style="medium"/>
      <bottom style="thick"/>
    </border>
    <border>
      <left style="medium"/>
      <right style="medium"/>
      <top style="medium"/>
      <bottom style="thick"/>
    </border>
    <border>
      <left/>
      <right/>
      <top>
        <color indexed="63"/>
      </top>
      <bottom style="thick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/>
      <right/>
      <top style="thick"/>
      <bottom style="medium"/>
    </border>
    <border>
      <left/>
      <right/>
      <top style="thick"/>
      <bottom style="double"/>
    </border>
    <border>
      <left/>
      <right/>
      <top style="double"/>
      <bottom style="medium"/>
    </border>
    <border>
      <left style="medium"/>
      <right style="medium"/>
      <top style="thin"/>
      <bottom style="thick"/>
    </border>
    <border>
      <left style="medium"/>
      <right style="thin"/>
      <top style="thin"/>
      <bottom style="medium"/>
    </border>
    <border>
      <left/>
      <right style="medium"/>
      <top style="thick"/>
      <bottom style="thick"/>
    </border>
    <border>
      <left style="thin"/>
      <right/>
      <top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41" fillId="3" borderId="0" applyNumberFormat="0" applyBorder="0" applyAlignment="0" applyProtection="0"/>
    <xf numFmtId="0" fontId="111" fillId="4" borderId="0" applyNumberFormat="0" applyBorder="0" applyAlignment="0" applyProtection="0"/>
    <xf numFmtId="0" fontId="41" fillId="5" borderId="0" applyNumberFormat="0" applyBorder="0" applyAlignment="0" applyProtection="0"/>
    <xf numFmtId="0" fontId="111" fillId="6" borderId="0" applyNumberFormat="0" applyBorder="0" applyAlignment="0" applyProtection="0"/>
    <xf numFmtId="0" fontId="41" fillId="7" borderId="0" applyNumberFormat="0" applyBorder="0" applyAlignment="0" applyProtection="0"/>
    <xf numFmtId="0" fontId="111" fillId="8" borderId="0" applyNumberFormat="0" applyBorder="0" applyAlignment="0" applyProtection="0"/>
    <xf numFmtId="0" fontId="41" fillId="9" borderId="0" applyNumberFormat="0" applyBorder="0" applyAlignment="0" applyProtection="0"/>
    <xf numFmtId="0" fontId="111" fillId="10" borderId="0" applyNumberFormat="0" applyBorder="0" applyAlignment="0" applyProtection="0"/>
    <xf numFmtId="0" fontId="41" fillId="11" borderId="0" applyNumberFormat="0" applyBorder="0" applyAlignment="0" applyProtection="0"/>
    <xf numFmtId="0" fontId="111" fillId="12" borderId="0" applyNumberFormat="0" applyBorder="0" applyAlignment="0" applyProtection="0"/>
    <xf numFmtId="0" fontId="41" fillId="7" borderId="0" applyNumberFormat="0" applyBorder="0" applyAlignment="0" applyProtection="0"/>
    <xf numFmtId="0" fontId="111" fillId="13" borderId="0" applyNumberFormat="0" applyBorder="0" applyAlignment="0" applyProtection="0"/>
    <xf numFmtId="0" fontId="41" fillId="11" borderId="0" applyNumberFormat="0" applyBorder="0" applyAlignment="0" applyProtection="0"/>
    <xf numFmtId="0" fontId="111" fillId="14" borderId="0" applyNumberFormat="0" applyBorder="0" applyAlignment="0" applyProtection="0"/>
    <xf numFmtId="0" fontId="41" fillId="5" borderId="0" applyNumberFormat="0" applyBorder="0" applyAlignment="0" applyProtection="0"/>
    <xf numFmtId="0" fontId="111" fillId="15" borderId="0" applyNumberFormat="0" applyBorder="0" applyAlignment="0" applyProtection="0"/>
    <xf numFmtId="0" fontId="41" fillId="16" borderId="0" applyNumberFormat="0" applyBorder="0" applyAlignment="0" applyProtection="0"/>
    <xf numFmtId="0" fontId="111" fillId="17" borderId="0" applyNumberFormat="0" applyBorder="0" applyAlignment="0" applyProtection="0"/>
    <xf numFmtId="0" fontId="41" fillId="18" borderId="0" applyNumberFormat="0" applyBorder="0" applyAlignment="0" applyProtection="0"/>
    <xf numFmtId="0" fontId="111" fillId="19" borderId="0" applyNumberFormat="0" applyBorder="0" applyAlignment="0" applyProtection="0"/>
    <xf numFmtId="0" fontId="41" fillId="11" borderId="0" applyNumberFormat="0" applyBorder="0" applyAlignment="0" applyProtection="0"/>
    <xf numFmtId="0" fontId="111" fillId="20" borderId="0" applyNumberFormat="0" applyBorder="0" applyAlignment="0" applyProtection="0"/>
    <xf numFmtId="0" fontId="41" fillId="7" borderId="0" applyNumberFormat="0" applyBorder="0" applyAlignment="0" applyProtection="0"/>
    <xf numFmtId="0" fontId="112" fillId="21" borderId="0" applyNumberFormat="0" applyBorder="0" applyAlignment="0" applyProtection="0"/>
    <xf numFmtId="0" fontId="60" fillId="11" borderId="0" applyNumberFormat="0" applyBorder="0" applyAlignment="0" applyProtection="0"/>
    <xf numFmtId="0" fontId="112" fillId="22" borderId="0" applyNumberFormat="0" applyBorder="0" applyAlignment="0" applyProtection="0"/>
    <xf numFmtId="0" fontId="60" fillId="23" borderId="0" applyNumberFormat="0" applyBorder="0" applyAlignment="0" applyProtection="0"/>
    <xf numFmtId="0" fontId="112" fillId="24" borderId="0" applyNumberFormat="0" applyBorder="0" applyAlignment="0" applyProtection="0"/>
    <xf numFmtId="0" fontId="60" fillId="25" borderId="0" applyNumberFormat="0" applyBorder="0" applyAlignment="0" applyProtection="0"/>
    <xf numFmtId="0" fontId="112" fillId="26" borderId="0" applyNumberFormat="0" applyBorder="0" applyAlignment="0" applyProtection="0"/>
    <xf numFmtId="0" fontId="60" fillId="18" borderId="0" applyNumberFormat="0" applyBorder="0" applyAlignment="0" applyProtection="0"/>
    <xf numFmtId="0" fontId="112" fillId="27" borderId="0" applyNumberFormat="0" applyBorder="0" applyAlignment="0" applyProtection="0"/>
    <xf numFmtId="0" fontId="60" fillId="11" borderId="0" applyNumberFormat="0" applyBorder="0" applyAlignment="0" applyProtection="0"/>
    <xf numFmtId="0" fontId="112" fillId="28" borderId="0" applyNumberFormat="0" applyBorder="0" applyAlignment="0" applyProtection="0"/>
    <xf numFmtId="0" fontId="60" fillId="5" borderId="0" applyNumberFormat="0" applyBorder="0" applyAlignment="0" applyProtection="0"/>
    <xf numFmtId="0" fontId="113" fillId="29" borderId="1" applyNumberFormat="0" applyAlignment="0" applyProtection="0"/>
    <xf numFmtId="0" fontId="61" fillId="16" borderId="2" applyNumberFormat="0" applyAlignment="0" applyProtection="0"/>
    <xf numFmtId="0" fontId="1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5" fillId="0" borderId="3" applyNumberFormat="0" applyFill="0" applyAlignment="0" applyProtection="0"/>
    <xf numFmtId="0" fontId="62" fillId="0" borderId="4" applyNumberFormat="0" applyFill="0" applyAlignment="0" applyProtection="0"/>
    <xf numFmtId="0" fontId="116" fillId="0" borderId="5" applyNumberFormat="0" applyFill="0" applyAlignment="0" applyProtection="0"/>
    <xf numFmtId="0" fontId="63" fillId="0" borderId="6" applyNumberFormat="0" applyFill="0" applyAlignment="0" applyProtection="0"/>
    <xf numFmtId="0" fontId="117" fillId="0" borderId="7" applyNumberFormat="0" applyFill="0" applyAlignment="0" applyProtection="0"/>
    <xf numFmtId="0" fontId="64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" fontId="52" fillId="0" borderId="0" applyFont="0" applyFill="0" applyBorder="0" applyAlignment="0">
      <protection locked="0"/>
    </xf>
    <xf numFmtId="0" fontId="118" fillId="30" borderId="9" applyNumberFormat="0" applyAlignment="0" applyProtection="0"/>
    <xf numFmtId="0" fontId="65" fillId="31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11" applyNumberFormat="0" applyFill="0" applyAlignment="0" applyProtection="0"/>
    <xf numFmtId="0" fontId="66" fillId="0" borderId="12" applyNumberFormat="0" applyFill="0" applyAlignment="0" applyProtection="0"/>
    <xf numFmtId="0" fontId="0" fillId="32" borderId="13" applyNumberFormat="0" applyFont="0" applyAlignment="0" applyProtection="0"/>
    <xf numFmtId="0" fontId="0" fillId="7" borderId="14" applyNumberFormat="0" applyFont="0" applyAlignment="0" applyProtection="0"/>
    <xf numFmtId="0" fontId="60" fillId="33" borderId="0" applyNumberFormat="0" applyBorder="0" applyAlignment="0" applyProtection="0"/>
    <xf numFmtId="0" fontId="60" fillId="23" borderId="0" applyNumberFormat="0" applyBorder="0" applyAlignment="0" applyProtection="0"/>
    <xf numFmtId="0" fontId="60" fillId="25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112" fillId="37" borderId="0" applyNumberFormat="0" applyBorder="0" applyAlignment="0" applyProtection="0"/>
    <xf numFmtId="0" fontId="112" fillId="38" borderId="0" applyNumberFormat="0" applyBorder="0" applyAlignment="0" applyProtection="0"/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1" borderId="0" applyNumberFormat="0" applyBorder="0" applyAlignment="0" applyProtection="0"/>
    <xf numFmtId="0" fontId="112" fillId="42" borderId="0" applyNumberFormat="0" applyBorder="0" applyAlignment="0" applyProtection="0"/>
    <xf numFmtId="0" fontId="122" fillId="43" borderId="0" applyNumberFormat="0" applyBorder="0" applyAlignment="0" applyProtection="0"/>
    <xf numFmtId="0" fontId="67" fillId="11" borderId="0" applyNumberFormat="0" applyBorder="0" applyAlignment="0" applyProtection="0"/>
    <xf numFmtId="0" fontId="123" fillId="44" borderId="15" applyNumberFormat="0" applyAlignment="0" applyProtection="0"/>
    <xf numFmtId="0" fontId="68" fillId="45" borderId="16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7" fillId="0" borderId="17" applyNumberFormat="0" applyFill="0" applyAlignment="0" applyProtection="0"/>
    <xf numFmtId="0" fontId="59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46" borderId="0" applyNumberFormat="0" applyBorder="0" applyAlignment="0" applyProtection="0"/>
    <xf numFmtId="0" fontId="70" fillId="47" borderId="0" applyNumberFormat="0" applyBorder="0" applyAlignment="0" applyProtection="0"/>
    <xf numFmtId="0" fontId="129" fillId="48" borderId="0" applyNumberFormat="0" applyBorder="0" applyAlignment="0" applyProtection="0"/>
    <xf numFmtId="0" fontId="71" fillId="16" borderId="0" applyNumberFormat="0" applyBorder="0" applyAlignment="0" applyProtection="0"/>
    <xf numFmtId="0" fontId="130" fillId="44" borderId="1" applyNumberFormat="0" applyAlignment="0" applyProtection="0"/>
    <xf numFmtId="0" fontId="72" fillId="45" borderId="2" applyNumberFormat="0" applyAlignment="0" applyProtection="0"/>
    <xf numFmtId="9" fontId="0" fillId="0" borderId="0" applyFont="0" applyFill="0" applyBorder="0" applyAlignment="0" applyProtection="0"/>
  </cellStyleXfs>
  <cellXfs count="19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6" fillId="49" borderId="19" xfId="0" applyFont="1" applyFill="1" applyBorder="1" applyAlignment="1">
      <alignment/>
    </xf>
    <xf numFmtId="0" fontId="16" fillId="49" borderId="20" xfId="0" applyFont="1" applyFill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8" fillId="0" borderId="22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0" fontId="11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45" borderId="0" xfId="0" applyFill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9" fillId="50" borderId="28" xfId="0" applyFont="1" applyFill="1" applyBorder="1" applyAlignment="1">
      <alignment horizontal="center"/>
    </xf>
    <xf numFmtId="0" fontId="19" fillId="50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50" borderId="0" xfId="0" applyFill="1" applyAlignment="1">
      <alignment/>
    </xf>
    <xf numFmtId="0" fontId="2" fillId="45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centerContinuous"/>
    </xf>
    <xf numFmtId="0" fontId="18" fillId="45" borderId="0" xfId="0" applyFont="1" applyFill="1" applyAlignment="1">
      <alignment horizontal="centerContinuous"/>
    </xf>
    <xf numFmtId="0" fontId="18" fillId="45" borderId="30" xfId="0" applyFont="1" applyFill="1" applyBorder="1" applyAlignment="1" applyProtection="1">
      <alignment horizontal="left" vertical="center"/>
      <protection locked="0"/>
    </xf>
    <xf numFmtId="0" fontId="18" fillId="45" borderId="31" xfId="0" applyFont="1" applyFill="1" applyBorder="1" applyAlignment="1" applyProtection="1">
      <alignment horizontal="left" vertical="center"/>
      <protection locked="0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19" fillId="50" borderId="24" xfId="0" applyFont="1" applyFill="1" applyBorder="1" applyAlignment="1">
      <alignment horizontal="center" vertical="center" wrapText="1"/>
    </xf>
    <xf numFmtId="0" fontId="19" fillId="50" borderId="25" xfId="0" applyFont="1" applyFill="1" applyBorder="1" applyAlignment="1">
      <alignment horizontal="centerContinuous" vertical="center" wrapText="1"/>
    </xf>
    <xf numFmtId="0" fontId="19" fillId="50" borderId="2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3" fontId="29" fillId="0" borderId="0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52" borderId="0" xfId="0" applyFont="1" applyFill="1" applyBorder="1" applyAlignment="1">
      <alignment/>
    </xf>
    <xf numFmtId="0" fontId="27" fillId="5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51" borderId="31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12" fillId="45" borderId="34" xfId="0" applyNumberFormat="1" applyFont="1" applyFill="1" applyBorder="1" applyAlignment="1">
      <alignment horizontal="right" vertical="center"/>
    </xf>
    <xf numFmtId="3" fontId="12" fillId="45" borderId="35" xfId="0" applyNumberFormat="1" applyFont="1" applyFill="1" applyBorder="1" applyAlignment="1">
      <alignment horizontal="right" vertical="center"/>
    </xf>
    <xf numFmtId="3" fontId="12" fillId="51" borderId="35" xfId="0" applyNumberFormat="1" applyFont="1" applyFill="1" applyBorder="1" applyAlignment="1">
      <alignment horizontal="right" vertical="center"/>
    </xf>
    <xf numFmtId="3" fontId="12" fillId="45" borderId="34" xfId="0" applyNumberFormat="1" applyFont="1" applyFill="1" applyBorder="1" applyAlignment="1">
      <alignment horizontal="right" vertical="center"/>
    </xf>
    <xf numFmtId="3" fontId="18" fillId="45" borderId="34" xfId="0" applyNumberFormat="1" applyFont="1" applyFill="1" applyBorder="1" applyAlignment="1">
      <alignment horizontal="right" vertical="center"/>
    </xf>
    <xf numFmtId="3" fontId="18" fillId="45" borderId="35" xfId="0" applyNumberFormat="1" applyFont="1" applyFill="1" applyBorder="1" applyAlignment="1">
      <alignment horizontal="right" vertical="center"/>
    </xf>
    <xf numFmtId="3" fontId="18" fillId="51" borderId="34" xfId="0" applyNumberFormat="1" applyFont="1" applyFill="1" applyBorder="1" applyAlignment="1">
      <alignment horizontal="right" vertical="center"/>
    </xf>
    <xf numFmtId="3" fontId="18" fillId="51" borderId="35" xfId="0" applyNumberFormat="1" applyFont="1" applyFill="1" applyBorder="1" applyAlignment="1">
      <alignment horizontal="right" vertical="center"/>
    </xf>
    <xf numFmtId="0" fontId="24" fillId="45" borderId="36" xfId="0" applyFont="1" applyFill="1" applyBorder="1" applyAlignment="1">
      <alignment/>
    </xf>
    <xf numFmtId="0" fontId="24" fillId="45" borderId="37" xfId="0" applyFont="1" applyFill="1" applyBorder="1" applyAlignment="1">
      <alignment/>
    </xf>
    <xf numFmtId="0" fontId="18" fillId="51" borderId="36" xfId="0" applyFont="1" applyFill="1" applyBorder="1" applyAlignment="1">
      <alignment horizontal="center" vertical="center"/>
    </xf>
    <xf numFmtId="0" fontId="18" fillId="51" borderId="37" xfId="0" applyFont="1" applyFill="1" applyBorder="1" applyAlignment="1">
      <alignment horizontal="center" vertical="center"/>
    </xf>
    <xf numFmtId="0" fontId="15" fillId="50" borderId="38" xfId="0" applyFont="1" applyFill="1" applyBorder="1" applyAlignment="1">
      <alignment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19" fillId="50" borderId="24" xfId="0" applyFont="1" applyFill="1" applyBorder="1" applyAlignment="1">
      <alignment horizontal="center" vertical="center"/>
    </xf>
    <xf numFmtId="0" fontId="21" fillId="45" borderId="38" xfId="0" applyFont="1" applyFill="1" applyBorder="1" applyAlignment="1">
      <alignment horizontal="centerContinuous" vertical="center"/>
    </xf>
    <xf numFmtId="0" fontId="22" fillId="45" borderId="39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13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13" fillId="0" borderId="44" xfId="0" applyFont="1" applyBorder="1" applyAlignment="1">
      <alignment horizontal="centerContinuous" vertical="center"/>
    </xf>
    <xf numFmtId="0" fontId="33" fillId="45" borderId="37" xfId="0" applyFont="1" applyFill="1" applyBorder="1" applyAlignment="1">
      <alignment/>
    </xf>
    <xf numFmtId="0" fontId="12" fillId="45" borderId="31" xfId="0" applyFont="1" applyFill="1" applyBorder="1" applyAlignment="1" applyProtection="1">
      <alignment horizontal="left" vertical="center"/>
      <protection locked="0"/>
    </xf>
    <xf numFmtId="0" fontId="33" fillId="45" borderId="36" xfId="0" applyFont="1" applyFill="1" applyBorder="1" applyAlignment="1">
      <alignment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2" fillId="51" borderId="36" xfId="0" applyFont="1" applyFill="1" applyBorder="1" applyAlignment="1">
      <alignment horizontal="center" vertical="center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18" fillId="51" borderId="31" xfId="0" applyFont="1" applyFill="1" applyBorder="1" applyAlignment="1" applyProtection="1">
      <alignment horizontal="left" vertical="center"/>
      <protection locked="0"/>
    </xf>
    <xf numFmtId="3" fontId="12" fillId="51" borderId="35" xfId="0" applyNumberFormat="1" applyFont="1" applyFill="1" applyBorder="1" applyAlignment="1">
      <alignment horizontal="right" vertical="center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/>
    </xf>
    <xf numFmtId="3" fontId="12" fillId="53" borderId="2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8" fillId="0" borderId="41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2" fillId="54" borderId="24" xfId="0" applyNumberFormat="1" applyFont="1" applyFill="1" applyBorder="1" applyAlignment="1">
      <alignment horizontal="right" vertical="center"/>
    </xf>
    <xf numFmtId="3" fontId="12" fillId="54" borderId="45" xfId="0" applyNumberFormat="1" applyFont="1" applyFill="1" applyBorder="1" applyAlignment="1">
      <alignment vertical="center"/>
    </xf>
    <xf numFmtId="3" fontId="35" fillId="0" borderId="0" xfId="0" applyNumberFormat="1" applyFont="1" applyAlignment="1">
      <alignment/>
    </xf>
    <xf numFmtId="0" fontId="12" fillId="53" borderId="24" xfId="0" applyFont="1" applyFill="1" applyBorder="1" applyAlignment="1">
      <alignment horizontal="center" vertical="center"/>
    </xf>
    <xf numFmtId="0" fontId="12" fillId="53" borderId="46" xfId="0" applyFont="1" applyFill="1" applyBorder="1" applyAlignment="1" applyProtection="1">
      <alignment horizontal="left" vertical="center"/>
      <protection locked="0"/>
    </xf>
    <xf numFmtId="0" fontId="12" fillId="55" borderId="24" xfId="0" applyFont="1" applyFill="1" applyBorder="1" applyAlignment="1">
      <alignment horizontal="center" vertical="center"/>
    </xf>
    <xf numFmtId="0" fontId="12" fillId="55" borderId="46" xfId="0" applyFont="1" applyFill="1" applyBorder="1" applyAlignment="1" applyProtection="1">
      <alignment horizontal="left" vertical="center"/>
      <protection locked="0"/>
    </xf>
    <xf numFmtId="3" fontId="12" fillId="55" borderId="24" xfId="0" applyNumberFormat="1" applyFont="1" applyFill="1" applyBorder="1" applyAlignment="1">
      <alignment horizontal="right" vertical="center"/>
    </xf>
    <xf numFmtId="0" fontId="12" fillId="56" borderId="24" xfId="0" applyFont="1" applyFill="1" applyBorder="1" applyAlignment="1">
      <alignment horizontal="center" vertical="center"/>
    </xf>
    <xf numFmtId="0" fontId="12" fillId="56" borderId="38" xfId="0" applyFont="1" applyFill="1" applyBorder="1" applyAlignment="1" applyProtection="1">
      <alignment horizontal="left" vertical="center"/>
      <protection locked="0"/>
    </xf>
    <xf numFmtId="3" fontId="12" fillId="56" borderId="24" xfId="0" applyNumberFormat="1" applyFont="1" applyFill="1" applyBorder="1" applyAlignment="1">
      <alignment horizontal="right" vertical="center"/>
    </xf>
    <xf numFmtId="0" fontId="12" fillId="56" borderId="46" xfId="0" applyFont="1" applyFill="1" applyBorder="1" applyAlignment="1" applyProtection="1">
      <alignment horizontal="left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centerContinuous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2" fillId="54" borderId="4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3" fontId="12" fillId="45" borderId="35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0" fillId="0" borderId="0" xfId="104">
      <alignment/>
      <protection/>
    </xf>
    <xf numFmtId="0" fontId="18" fillId="0" borderId="0" xfId="104" applyFont="1">
      <alignment/>
      <protection/>
    </xf>
    <xf numFmtId="0" fontId="8" fillId="0" borderId="0" xfId="104" applyFont="1">
      <alignment/>
      <protection/>
    </xf>
    <xf numFmtId="0" fontId="4" fillId="0" borderId="0" xfId="104" applyFont="1">
      <alignment/>
      <protection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45" borderId="34" xfId="0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2" fontId="8" fillId="0" borderId="58" xfId="0" applyNumberFormat="1" applyFont="1" applyBorder="1" applyAlignment="1">
      <alignment vertical="center"/>
    </xf>
    <xf numFmtId="2" fontId="8" fillId="0" borderId="59" xfId="0" applyNumberFormat="1" applyFont="1" applyBorder="1" applyAlignment="1">
      <alignment vertical="center"/>
    </xf>
    <xf numFmtId="2" fontId="8" fillId="0" borderId="60" xfId="0" applyNumberFormat="1" applyFont="1" applyBorder="1" applyAlignment="1">
      <alignment vertical="center"/>
    </xf>
    <xf numFmtId="2" fontId="8" fillId="0" borderId="6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0" fontId="23" fillId="0" borderId="0" xfId="0" applyFont="1" applyAlignment="1">
      <alignment horizontal="right"/>
    </xf>
    <xf numFmtId="3" fontId="18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7" fillId="0" borderId="27" xfId="0" applyNumberFormat="1" applyFont="1" applyFill="1" applyBorder="1" applyAlignment="1">
      <alignment horizontal="right" vertical="center"/>
    </xf>
    <xf numFmtId="3" fontId="17" fillId="45" borderId="27" xfId="0" applyNumberFormat="1" applyFont="1" applyFill="1" applyBorder="1" applyAlignment="1">
      <alignment horizontal="right" vertical="center"/>
    </xf>
    <xf numFmtId="3" fontId="17" fillId="0" borderId="27" xfId="0" applyNumberFormat="1" applyFont="1" applyFill="1" applyBorder="1" applyAlignment="1">
      <alignment horizontal="right" vertical="center"/>
    </xf>
    <xf numFmtId="0" fontId="0" fillId="0" borderId="0" xfId="104" applyAlignment="1">
      <alignment vertical="center"/>
      <protection/>
    </xf>
    <xf numFmtId="0" fontId="2" fillId="0" borderId="0" xfId="104" applyFont="1" applyFill="1" applyAlignment="1">
      <alignment horizontal="center"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ont="1" applyFill="1" applyAlignment="1">
      <alignment vertical="center"/>
      <protection/>
    </xf>
    <xf numFmtId="3" fontId="4" fillId="0" borderId="0" xfId="104" applyNumberFormat="1" applyFont="1" applyAlignment="1">
      <alignment horizontal="right" vertical="center"/>
      <protection/>
    </xf>
    <xf numFmtId="3" fontId="15" fillId="0" borderId="0" xfId="100" applyNumberFormat="1" applyFont="1" applyAlignment="1">
      <alignment horizontal="right" vertical="center"/>
      <protection/>
    </xf>
    <xf numFmtId="0" fontId="12" fillId="0" borderId="0" xfId="104" applyFont="1" applyFill="1" applyBorder="1" applyAlignment="1">
      <alignment horizontal="center" vertical="center"/>
      <protection/>
    </xf>
    <xf numFmtId="0" fontId="18" fillId="0" borderId="0" xfId="104" applyFont="1" applyFill="1" applyBorder="1" applyAlignment="1">
      <alignment vertical="center"/>
      <protection/>
    </xf>
    <xf numFmtId="0" fontId="18" fillId="0" borderId="0" xfId="106" applyFont="1" applyBorder="1" applyAlignment="1">
      <alignment horizontal="right" vertical="center"/>
      <protection/>
    </xf>
    <xf numFmtId="3" fontId="12" fillId="0" borderId="0" xfId="104" applyNumberFormat="1" applyFont="1" applyAlignment="1">
      <alignment vertical="center"/>
      <protection/>
    </xf>
    <xf numFmtId="0" fontId="4" fillId="0" borderId="0" xfId="104" applyFont="1" applyAlignment="1">
      <alignment vertical="center"/>
      <protection/>
    </xf>
    <xf numFmtId="0" fontId="15" fillId="0" borderId="0" xfId="99" applyFont="1" applyAlignment="1">
      <alignment horizontal="right" vertical="center"/>
      <protection/>
    </xf>
    <xf numFmtId="0" fontId="2" fillId="54" borderId="62" xfId="0" applyFont="1" applyFill="1" applyBorder="1" applyAlignment="1">
      <alignment horizontal="center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2" fillId="51" borderId="34" xfId="0" applyNumberFormat="1" applyFont="1" applyFill="1" applyBorder="1" applyAlignment="1">
      <alignment horizontal="right" vertical="center"/>
    </xf>
    <xf numFmtId="3" fontId="8" fillId="0" borderId="63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65" xfId="0" applyNumberFormat="1" applyFont="1" applyBorder="1" applyAlignment="1">
      <alignment vertical="center"/>
    </xf>
    <xf numFmtId="4" fontId="8" fillId="0" borderId="66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vertical="center"/>
    </xf>
    <xf numFmtId="3" fontId="18" fillId="51" borderId="35" xfId="0" applyNumberFormat="1" applyFont="1" applyFill="1" applyBorder="1" applyAlignment="1">
      <alignment horizontal="right" vertical="center"/>
    </xf>
    <xf numFmtId="3" fontId="34" fillId="0" borderId="34" xfId="0" applyNumberFormat="1" applyFont="1" applyFill="1" applyBorder="1" applyAlignment="1">
      <alignment horizontal="right" vertical="center"/>
    </xf>
    <xf numFmtId="3" fontId="42" fillId="0" borderId="55" xfId="0" applyNumberFormat="1" applyFont="1" applyFill="1" applyBorder="1" applyAlignment="1">
      <alignment horizontal="right" vertical="center"/>
    </xf>
    <xf numFmtId="3" fontId="42" fillId="54" borderId="24" xfId="0" applyNumberFormat="1" applyFont="1" applyFill="1" applyBorder="1" applyAlignment="1">
      <alignment horizontal="right" vertical="center"/>
    </xf>
    <xf numFmtId="3" fontId="34" fillId="0" borderId="35" xfId="0" applyNumberFormat="1" applyFont="1" applyFill="1" applyBorder="1" applyAlignment="1">
      <alignment horizontal="right" vertical="center"/>
    </xf>
    <xf numFmtId="3" fontId="42" fillId="0" borderId="35" xfId="0" applyNumberFormat="1" applyFont="1" applyFill="1" applyBorder="1" applyAlignment="1">
      <alignment horizontal="right" vertical="center"/>
    </xf>
    <xf numFmtId="3" fontId="42" fillId="0" borderId="34" xfId="0" applyNumberFormat="1" applyFont="1" applyFill="1" applyBorder="1" applyAlignment="1">
      <alignment horizontal="right" vertical="center"/>
    </xf>
    <xf numFmtId="3" fontId="42" fillId="0" borderId="67" xfId="0" applyNumberFormat="1" applyFont="1" applyFill="1" applyBorder="1" applyAlignment="1">
      <alignment horizontal="right" vertical="center"/>
    </xf>
    <xf numFmtId="3" fontId="42" fillId="0" borderId="68" xfId="0" applyNumberFormat="1" applyFont="1" applyFill="1" applyBorder="1" applyAlignment="1">
      <alignment horizontal="right" vertical="center"/>
    </xf>
    <xf numFmtId="3" fontId="42" fillId="57" borderId="24" xfId="0" applyNumberFormat="1" applyFont="1" applyFill="1" applyBorder="1" applyAlignment="1">
      <alignment horizontal="right" vertical="center"/>
    </xf>
    <xf numFmtId="3" fontId="42" fillId="57" borderId="69" xfId="0" applyNumberFormat="1" applyFont="1" applyFill="1" applyBorder="1" applyAlignment="1">
      <alignment horizontal="right" vertical="center"/>
    </xf>
    <xf numFmtId="3" fontId="42" fillId="57" borderId="70" xfId="0" applyNumberFormat="1" applyFont="1" applyFill="1" applyBorder="1" applyAlignment="1">
      <alignment horizontal="right" vertical="center"/>
    </xf>
    <xf numFmtId="3" fontId="42" fillId="57" borderId="71" xfId="0" applyNumberFormat="1" applyFont="1" applyFill="1" applyBorder="1" applyAlignment="1">
      <alignment horizontal="right" vertical="center"/>
    </xf>
    <xf numFmtId="3" fontId="42" fillId="54" borderId="72" xfId="0" applyNumberFormat="1" applyFont="1" applyFill="1" applyBorder="1" applyAlignment="1">
      <alignment horizontal="right" vertical="center"/>
    </xf>
    <xf numFmtId="3" fontId="0" fillId="45" borderId="0" xfId="0" applyNumberFormat="1" applyFill="1" applyAlignment="1">
      <alignment/>
    </xf>
    <xf numFmtId="3" fontId="8" fillId="0" borderId="73" xfId="0" applyNumberFormat="1" applyFont="1" applyBorder="1" applyAlignment="1">
      <alignment vertical="center"/>
    </xf>
    <xf numFmtId="3" fontId="39" fillId="0" borderId="0" xfId="0" applyNumberFormat="1" applyFont="1" applyAlignment="1">
      <alignment vertical="center"/>
    </xf>
    <xf numFmtId="3" fontId="8" fillId="0" borderId="74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0" fillId="45" borderId="0" xfId="0" applyNumberFormat="1" applyFont="1" applyFill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Continuous" vertical="center"/>
    </xf>
    <xf numFmtId="0" fontId="13" fillId="0" borderId="63" xfId="0" applyFont="1" applyBorder="1" applyAlignment="1">
      <alignment horizontal="centerContinuous" vertical="center"/>
    </xf>
    <xf numFmtId="3" fontId="15" fillId="0" borderId="0" xfId="99" applyNumberFormat="1" applyFont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2" fillId="53" borderId="38" xfId="0" applyFont="1" applyFill="1" applyBorder="1" applyAlignment="1">
      <alignment horizontal="center" vertical="center"/>
    </xf>
    <xf numFmtId="0" fontId="42" fillId="54" borderId="38" xfId="0" applyFont="1" applyFill="1" applyBorder="1" applyAlignment="1">
      <alignment horizontal="center" vertical="center"/>
    </xf>
    <xf numFmtId="3" fontId="8" fillId="0" borderId="76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44" xfId="0" applyFont="1" applyFill="1" applyBorder="1" applyAlignment="1">
      <alignment horizontal="centerContinuous" vertical="center" wrapText="1"/>
    </xf>
    <xf numFmtId="0" fontId="13" fillId="0" borderId="75" xfId="0" applyFont="1" applyFill="1" applyBorder="1" applyAlignment="1">
      <alignment horizontal="centerContinuous" vertical="center" wrapText="1"/>
    </xf>
    <xf numFmtId="0" fontId="12" fillId="0" borderId="75" xfId="0" applyFont="1" applyFill="1" applyBorder="1" applyAlignment="1">
      <alignment horizontal="centerContinuous" vertical="center" wrapText="1"/>
    </xf>
    <xf numFmtId="0" fontId="12" fillId="9" borderId="78" xfId="0" applyFont="1" applyFill="1" applyBorder="1" applyAlignment="1">
      <alignment horizontal="center" vertical="center"/>
    </xf>
    <xf numFmtId="3" fontId="12" fillId="9" borderId="7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34" fillId="0" borderId="35" xfId="102" applyNumberFormat="1" applyFont="1" applyBorder="1" applyAlignment="1">
      <alignment vertical="center"/>
    </xf>
    <xf numFmtId="0" fontId="12" fillId="53" borderId="38" xfId="0" applyFont="1" applyFill="1" applyBorder="1" applyAlignment="1">
      <alignment horizontal="center" vertical="center"/>
    </xf>
    <xf numFmtId="3" fontId="12" fillId="53" borderId="24" xfId="102" applyNumberFormat="1" applyFont="1" applyFill="1" applyBorder="1" applyAlignment="1">
      <alignment vertical="center"/>
    </xf>
    <xf numFmtId="0" fontId="2" fillId="9" borderId="79" xfId="0" applyFont="1" applyFill="1" applyBorder="1" applyAlignment="1">
      <alignment horizontal="center" vertical="center"/>
    </xf>
    <xf numFmtId="3" fontId="12" fillId="9" borderId="80" xfId="0" applyNumberFormat="1" applyFont="1" applyFill="1" applyBorder="1" applyAlignment="1">
      <alignment vertical="center"/>
    </xf>
    <xf numFmtId="0" fontId="0" fillId="45" borderId="0" xfId="0" applyFill="1" applyAlignment="1">
      <alignment vertical="center"/>
    </xf>
    <xf numFmtId="0" fontId="2" fillId="45" borderId="0" xfId="0" applyFont="1" applyFill="1" applyAlignment="1">
      <alignment vertical="center"/>
    </xf>
    <xf numFmtId="3" fontId="42" fillId="45" borderId="55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42" fillId="0" borderId="50" xfId="0" applyFont="1" applyFill="1" applyBorder="1" applyAlignment="1">
      <alignment horizontal="center" vertical="center"/>
    </xf>
    <xf numFmtId="3" fontId="34" fillId="45" borderId="35" xfId="0" applyNumberFormat="1" applyFont="1" applyFill="1" applyBorder="1" applyAlignment="1">
      <alignment horizontal="right" vertical="center"/>
    </xf>
    <xf numFmtId="3" fontId="34" fillId="0" borderId="34" xfId="102" applyNumberFormat="1" applyFont="1" applyBorder="1" applyAlignment="1">
      <alignment vertical="center"/>
    </xf>
    <xf numFmtId="3" fontId="42" fillId="53" borderId="24" xfId="102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57" borderId="79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5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50" borderId="40" xfId="0" applyFont="1" applyFill="1" applyBorder="1" applyAlignment="1">
      <alignment horizontal="center" vertical="center"/>
    </xf>
    <xf numFmtId="0" fontId="19" fillId="50" borderId="43" xfId="0" applyFont="1" applyFill="1" applyBorder="1" applyAlignment="1">
      <alignment horizontal="center" vertical="center"/>
    </xf>
    <xf numFmtId="0" fontId="12" fillId="45" borderId="40" xfId="0" applyFont="1" applyFill="1" applyBorder="1" applyAlignment="1">
      <alignment vertical="center"/>
    </xf>
    <xf numFmtId="0" fontId="42" fillId="53" borderId="24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45" borderId="0" xfId="0" applyFill="1" applyAlignment="1">
      <alignment horizontal="center"/>
    </xf>
    <xf numFmtId="0" fontId="0" fillId="45" borderId="0" xfId="0" applyFill="1" applyAlignment="1">
      <alignment horizontal="right"/>
    </xf>
    <xf numFmtId="0" fontId="2" fillId="0" borderId="0" xfId="104" applyFont="1" applyFill="1" applyAlignment="1">
      <alignment horizontal="center"/>
      <protection/>
    </xf>
    <xf numFmtId="0" fontId="0" fillId="0" borderId="0" xfId="104" applyFill="1">
      <alignment/>
      <protection/>
    </xf>
    <xf numFmtId="3" fontId="2" fillId="0" borderId="0" xfId="104" applyNumberFormat="1" applyFont="1" applyFill="1">
      <alignment/>
      <protection/>
    </xf>
    <xf numFmtId="3" fontId="2" fillId="0" borderId="0" xfId="104" applyNumberFormat="1" applyFont="1">
      <alignment/>
      <protection/>
    </xf>
    <xf numFmtId="0" fontId="2" fillId="0" borderId="0" xfId="104" applyFont="1" applyFill="1">
      <alignment/>
      <protection/>
    </xf>
    <xf numFmtId="3" fontId="13" fillId="0" borderId="81" xfId="0" applyNumberFormat="1" applyFont="1" applyBorder="1" applyAlignment="1">
      <alignment vertical="center"/>
    </xf>
    <xf numFmtId="4" fontId="8" fillId="0" borderId="82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13" fillId="0" borderId="83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84" xfId="0" applyNumberFormat="1" applyFont="1" applyBorder="1" applyAlignment="1">
      <alignment vertical="center"/>
    </xf>
    <xf numFmtId="3" fontId="13" fillId="0" borderId="73" xfId="0" applyNumberFormat="1" applyFont="1" applyBorder="1" applyAlignment="1">
      <alignment vertical="center"/>
    </xf>
    <xf numFmtId="3" fontId="13" fillId="0" borderId="85" xfId="0" applyNumberFormat="1" applyFont="1" applyFill="1" applyBorder="1" applyAlignment="1">
      <alignment vertical="center"/>
    </xf>
    <xf numFmtId="0" fontId="42" fillId="54" borderId="24" xfId="0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0" borderId="73" xfId="0" applyNumberFormat="1" applyFont="1" applyBorder="1" applyAlignment="1">
      <alignment vertical="center"/>
    </xf>
    <xf numFmtId="3" fontId="8" fillId="49" borderId="5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0" borderId="88" xfId="0" applyNumberFormat="1" applyFont="1" applyBorder="1" applyAlignment="1">
      <alignment vertical="center"/>
    </xf>
    <xf numFmtId="0" fontId="42" fillId="0" borderId="49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3" fontId="13" fillId="0" borderId="89" xfId="0" applyNumberFormat="1" applyFont="1" applyBorder="1" applyAlignment="1">
      <alignment vertical="center"/>
    </xf>
    <xf numFmtId="3" fontId="13" fillId="0" borderId="81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3" fontId="8" fillId="0" borderId="90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0" fontId="13" fillId="45" borderId="24" xfId="0" applyFont="1" applyFill="1" applyBorder="1" applyAlignment="1">
      <alignment vertical="center"/>
    </xf>
    <xf numFmtId="3" fontId="13" fillId="0" borderId="74" xfId="0" applyNumberFormat="1" applyFont="1" applyBorder="1" applyAlignment="1">
      <alignment vertical="center"/>
    </xf>
    <xf numFmtId="3" fontId="13" fillId="0" borderId="73" xfId="0" applyNumberFormat="1" applyFont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3" fontId="8" fillId="0" borderId="92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3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3" fontId="13" fillId="0" borderId="84" xfId="0" applyNumberFormat="1" applyFont="1" applyBorder="1" applyAlignment="1">
      <alignment vertical="center"/>
    </xf>
    <xf numFmtId="3" fontId="13" fillId="0" borderId="9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94" xfId="0" applyNumberFormat="1" applyFont="1" applyBorder="1" applyAlignment="1">
      <alignment vertical="center"/>
    </xf>
    <xf numFmtId="0" fontId="13" fillId="16" borderId="95" xfId="0" applyFont="1" applyFill="1" applyBorder="1" applyAlignment="1">
      <alignment horizontal="center" vertical="center"/>
    </xf>
    <xf numFmtId="3" fontId="13" fillId="16" borderId="96" xfId="0" applyNumberFormat="1" applyFont="1" applyFill="1" applyBorder="1" applyAlignment="1">
      <alignment vertical="center"/>
    </xf>
    <xf numFmtId="0" fontId="13" fillId="16" borderId="97" xfId="0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13" fillId="57" borderId="23" xfId="0" applyFont="1" applyFill="1" applyBorder="1" applyAlignment="1">
      <alignment horizontal="center" vertical="center"/>
    </xf>
    <xf numFmtId="0" fontId="13" fillId="57" borderId="98" xfId="0" applyFont="1" applyFill="1" applyBorder="1" applyAlignment="1">
      <alignment vertical="center"/>
    </xf>
    <xf numFmtId="0" fontId="13" fillId="0" borderId="99" xfId="0" applyFont="1" applyBorder="1" applyAlignment="1">
      <alignment horizontal="center" vertical="center"/>
    </xf>
    <xf numFmtId="0" fontId="13" fillId="0" borderId="99" xfId="0" applyFont="1" applyBorder="1" applyAlignment="1">
      <alignment vertical="center"/>
    </xf>
    <xf numFmtId="3" fontId="13" fillId="0" borderId="100" xfId="0" applyNumberFormat="1" applyFont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3" fontId="13" fillId="0" borderId="102" xfId="0" applyNumberFormat="1" applyFont="1" applyBorder="1" applyAlignment="1">
      <alignment vertical="center"/>
    </xf>
    <xf numFmtId="3" fontId="13" fillId="0" borderId="10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49" borderId="94" xfId="0" applyNumberFormat="1" applyFont="1" applyFill="1" applyBorder="1" applyAlignment="1">
      <alignment vertical="center"/>
    </xf>
    <xf numFmtId="3" fontId="13" fillId="16" borderId="104" xfId="0" applyNumberFormat="1" applyFont="1" applyFill="1" applyBorder="1" applyAlignment="1">
      <alignment vertical="center"/>
    </xf>
    <xf numFmtId="3" fontId="13" fillId="16" borderId="82" xfId="0" applyNumberFormat="1" applyFont="1" applyFill="1" applyBorder="1" applyAlignment="1">
      <alignment vertical="center"/>
    </xf>
    <xf numFmtId="3" fontId="13" fillId="16" borderId="97" xfId="0" applyNumberFormat="1" applyFont="1" applyFill="1" applyBorder="1" applyAlignment="1">
      <alignment vertical="center"/>
    </xf>
    <xf numFmtId="0" fontId="13" fillId="16" borderId="95" xfId="0" applyFont="1" applyFill="1" applyBorder="1" applyAlignment="1">
      <alignment vertical="center"/>
    </xf>
    <xf numFmtId="0" fontId="13" fillId="0" borderId="105" xfId="0" applyFont="1" applyBorder="1" applyAlignment="1">
      <alignment horizontal="center" vertical="center"/>
    </xf>
    <xf numFmtId="0" fontId="13" fillId="0" borderId="105" xfId="0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3" fontId="8" fillId="49" borderId="84" xfId="0" applyNumberFormat="1" applyFont="1" applyFill="1" applyBorder="1" applyAlignment="1">
      <alignment vertical="center"/>
    </xf>
    <xf numFmtId="3" fontId="13" fillId="16" borderId="106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3" fontId="13" fillId="16" borderId="66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16" fillId="49" borderId="76" xfId="0" applyFont="1" applyFill="1" applyBorder="1" applyAlignment="1">
      <alignment vertical="center"/>
    </xf>
    <xf numFmtId="0" fontId="16" fillId="49" borderId="52" xfId="0" applyFont="1" applyFill="1" applyBorder="1" applyAlignment="1">
      <alignment vertical="center"/>
    </xf>
    <xf numFmtId="0" fontId="16" fillId="49" borderId="107" xfId="0" applyFont="1" applyFill="1" applyBorder="1" applyAlignment="1">
      <alignment vertical="center"/>
    </xf>
    <xf numFmtId="0" fontId="16" fillId="49" borderId="108" xfId="0" applyFont="1" applyFill="1" applyBorder="1" applyAlignment="1">
      <alignment vertical="center"/>
    </xf>
    <xf numFmtId="0" fontId="16" fillId="49" borderId="10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3" fontId="8" fillId="0" borderId="73" xfId="0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8" fillId="0" borderId="93" xfId="0" applyNumberFormat="1" applyFont="1" applyBorder="1" applyAlignment="1">
      <alignment vertical="center"/>
    </xf>
    <xf numFmtId="3" fontId="8" fillId="0" borderId="84" xfId="0" applyNumberFormat="1" applyFont="1" applyFill="1" applyBorder="1" applyAlignment="1">
      <alignment vertical="center"/>
    </xf>
    <xf numFmtId="0" fontId="13" fillId="45" borderId="10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4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3" fontId="13" fillId="0" borderId="74" xfId="0" applyNumberFormat="1" applyFont="1" applyFill="1" applyBorder="1" applyAlignment="1">
      <alignment vertical="center"/>
    </xf>
    <xf numFmtId="3" fontId="13" fillId="0" borderId="73" xfId="0" applyNumberFormat="1" applyFont="1" applyFill="1" applyBorder="1" applyAlignment="1">
      <alignment vertical="center"/>
    </xf>
    <xf numFmtId="3" fontId="13" fillId="0" borderId="77" xfId="0" applyNumberFormat="1" applyFont="1" applyFill="1" applyBorder="1" applyAlignment="1">
      <alignment vertical="center"/>
    </xf>
    <xf numFmtId="3" fontId="13" fillId="0" borderId="102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100" xfId="0" applyNumberFormat="1" applyFont="1" applyFill="1" applyBorder="1" applyAlignment="1">
      <alignment vertical="center"/>
    </xf>
    <xf numFmtId="3" fontId="13" fillId="0" borderId="101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4" fontId="8" fillId="0" borderId="110" xfId="0" applyNumberFormat="1" applyFont="1" applyBorder="1" applyAlignment="1">
      <alignment vertical="center"/>
    </xf>
    <xf numFmtId="4" fontId="8" fillId="0" borderId="60" xfId="0" applyNumberFormat="1" applyFont="1" applyBorder="1" applyAlignment="1">
      <alignment vertical="center"/>
    </xf>
    <xf numFmtId="4" fontId="8" fillId="0" borderId="59" xfId="0" applyNumberFormat="1" applyFont="1" applyBorder="1" applyAlignment="1">
      <alignment vertical="center"/>
    </xf>
    <xf numFmtId="4" fontId="8" fillId="0" borderId="64" xfId="0" applyNumberFormat="1" applyFont="1" applyFill="1" applyBorder="1" applyAlignment="1">
      <alignment vertical="center"/>
    </xf>
    <xf numFmtId="4" fontId="8" fillId="0" borderId="59" xfId="0" applyNumberFormat="1" applyFont="1" applyFill="1" applyBorder="1" applyAlignment="1">
      <alignment vertical="center"/>
    </xf>
    <xf numFmtId="4" fontId="8" fillId="0" borderId="6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0" borderId="24" xfId="0" applyFont="1" applyFill="1" applyBorder="1" applyAlignment="1">
      <alignment horizontal="center" vertical="center"/>
    </xf>
    <xf numFmtId="0" fontId="15" fillId="50" borderId="81" xfId="0" applyFont="1" applyFill="1" applyBorder="1" applyAlignment="1">
      <alignment horizontal="center" vertical="center"/>
    </xf>
    <xf numFmtId="0" fontId="15" fillId="50" borderId="28" xfId="0" applyFont="1" applyFill="1" applyBorder="1" applyAlignment="1">
      <alignment horizontal="center" vertical="center"/>
    </xf>
    <xf numFmtId="0" fontId="15" fillId="50" borderId="89" xfId="0" applyFont="1" applyFill="1" applyBorder="1" applyAlignment="1">
      <alignment horizontal="center" vertical="center"/>
    </xf>
    <xf numFmtId="0" fontId="15" fillId="50" borderId="29" xfId="0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6" fillId="49" borderId="88" xfId="0" applyFont="1" applyFill="1" applyBorder="1" applyAlignment="1">
      <alignment vertical="center"/>
    </xf>
    <xf numFmtId="0" fontId="16" fillId="49" borderId="1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0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94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8" fillId="0" borderId="102" xfId="0" applyNumberFormat="1" applyFont="1" applyBorder="1" applyAlignment="1">
      <alignment vertical="center"/>
    </xf>
    <xf numFmtId="3" fontId="13" fillId="0" borderId="100" xfId="0" applyNumberFormat="1" applyFont="1" applyBorder="1" applyAlignment="1">
      <alignment vertical="center"/>
    </xf>
    <xf numFmtId="3" fontId="13" fillId="0" borderId="103" xfId="0" applyNumberFormat="1" applyFont="1" applyBorder="1" applyAlignment="1">
      <alignment vertical="center"/>
    </xf>
    <xf numFmtId="3" fontId="13" fillId="0" borderId="112" xfId="0" applyNumberFormat="1" applyFont="1" applyBorder="1" applyAlignment="1">
      <alignment vertical="center"/>
    </xf>
    <xf numFmtId="3" fontId="13" fillId="16" borderId="82" xfId="0" applyNumberFormat="1" applyFont="1" applyFill="1" applyBorder="1" applyAlignment="1">
      <alignment vertical="center"/>
    </xf>
    <xf numFmtId="3" fontId="13" fillId="16" borderId="104" xfId="0" applyNumberFormat="1" applyFont="1" applyFill="1" applyBorder="1" applyAlignment="1">
      <alignment vertical="center"/>
    </xf>
    <xf numFmtId="4" fontId="13" fillId="0" borderId="82" xfId="0" applyNumberFormat="1" applyFont="1" applyBorder="1" applyAlignment="1">
      <alignment vertical="center"/>
    </xf>
    <xf numFmtId="4" fontId="13" fillId="0" borderId="96" xfId="0" applyNumberFormat="1" applyFont="1" applyBorder="1" applyAlignment="1">
      <alignment vertical="center"/>
    </xf>
    <xf numFmtId="4" fontId="13" fillId="0" borderId="61" xfId="0" applyNumberFormat="1" applyFont="1" applyBorder="1" applyAlignment="1">
      <alignment vertical="center"/>
    </xf>
    <xf numFmtId="4" fontId="8" fillId="0" borderId="104" xfId="0" applyNumberFormat="1" applyFont="1" applyBorder="1" applyAlignment="1">
      <alignment vertical="center"/>
    </xf>
    <xf numFmtId="4" fontId="13" fillId="0" borderId="106" xfId="0" applyNumberFormat="1" applyFont="1" applyBorder="1" applyAlignment="1">
      <alignment vertical="center"/>
    </xf>
    <xf numFmtId="4" fontId="13" fillId="0" borderId="64" xfId="0" applyNumberFormat="1" applyFont="1" applyBorder="1" applyAlignment="1">
      <alignment vertical="center"/>
    </xf>
    <xf numFmtId="4" fontId="8" fillId="0" borderId="113" xfId="0" applyNumberFormat="1" applyFont="1" applyBorder="1" applyAlignment="1">
      <alignment vertical="center"/>
    </xf>
    <xf numFmtId="4" fontId="13" fillId="0" borderId="66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12" fillId="51" borderId="37" xfId="0" applyFont="1" applyFill="1" applyBorder="1" applyAlignment="1">
      <alignment horizontal="center" vertical="center"/>
    </xf>
    <xf numFmtId="0" fontId="0" fillId="0" borderId="0" xfId="104" applyFill="1" applyAlignment="1">
      <alignment horizontal="right"/>
      <protection/>
    </xf>
    <xf numFmtId="3" fontId="2" fillId="0" borderId="0" xfId="104" applyNumberFormat="1" applyFont="1" applyFill="1" applyAlignment="1">
      <alignment horizontal="right"/>
      <protection/>
    </xf>
    <xf numFmtId="3" fontId="2" fillId="0" borderId="0" xfId="104" applyNumberFormat="1" applyFont="1" applyAlignment="1">
      <alignment horizontal="right"/>
      <protection/>
    </xf>
    <xf numFmtId="0" fontId="2" fillId="0" borderId="0" xfId="104" applyFont="1" applyFill="1" applyAlignment="1">
      <alignment horizontal="right"/>
      <protection/>
    </xf>
    <xf numFmtId="3" fontId="0" fillId="0" borderId="0" xfId="104" applyNumberFormat="1" applyFill="1" applyAlignment="1">
      <alignment horizontal="right"/>
      <protection/>
    </xf>
    <xf numFmtId="0" fontId="12" fillId="54" borderId="23" xfId="104" applyFont="1" applyFill="1" applyBorder="1" applyAlignment="1">
      <alignment horizontal="center" vertical="center"/>
      <protection/>
    </xf>
    <xf numFmtId="0" fontId="14" fillId="54" borderId="23" xfId="104" applyFont="1" applyFill="1" applyBorder="1" applyAlignment="1">
      <alignment vertical="center"/>
      <protection/>
    </xf>
    <xf numFmtId="3" fontId="14" fillId="54" borderId="23" xfId="104" applyNumberFormat="1" applyFont="1" applyFill="1" applyBorder="1" applyAlignment="1">
      <alignment vertical="center"/>
      <protection/>
    </xf>
    <xf numFmtId="0" fontId="18" fillId="0" borderId="0" xfId="104" applyFont="1" applyAlignment="1">
      <alignment vertical="center"/>
      <protection/>
    </xf>
    <xf numFmtId="0" fontId="0" fillId="0" borderId="0" xfId="104" applyNumberFormat="1" applyFont="1" applyAlignment="1">
      <alignment horizontal="right" vertical="center"/>
      <protection/>
    </xf>
    <xf numFmtId="0" fontId="13" fillId="0" borderId="114" xfId="104" applyFont="1" applyFill="1" applyBorder="1" applyAlignment="1">
      <alignment horizontal="center" vertical="center"/>
      <protection/>
    </xf>
    <xf numFmtId="0" fontId="8" fillId="0" borderId="114" xfId="104" applyFont="1" applyFill="1" applyBorder="1" applyAlignment="1">
      <alignment vertical="center"/>
      <protection/>
    </xf>
    <xf numFmtId="0" fontId="23" fillId="0" borderId="114" xfId="104" applyFont="1" applyFill="1" applyBorder="1" applyAlignment="1">
      <alignment horizontal="right" vertical="center"/>
      <protection/>
    </xf>
    <xf numFmtId="3" fontId="13" fillId="0" borderId="0" xfId="104" applyNumberFormat="1" applyFont="1" applyAlignment="1">
      <alignment vertical="center"/>
      <protection/>
    </xf>
    <xf numFmtId="3" fontId="13" fillId="0" borderId="0" xfId="104" applyNumberFormat="1" applyFont="1" applyAlignment="1">
      <alignment horizontal="right" vertical="center"/>
      <protection/>
    </xf>
    <xf numFmtId="0" fontId="19" fillId="50" borderId="24" xfId="104" applyFont="1" applyFill="1" applyBorder="1" applyAlignment="1">
      <alignment horizontal="center" vertical="center"/>
      <protection/>
    </xf>
    <xf numFmtId="0" fontId="20" fillId="0" borderId="0" xfId="104" applyFont="1" applyFill="1" applyAlignment="1">
      <alignment horizontal="center" vertical="center"/>
      <protection/>
    </xf>
    <xf numFmtId="0" fontId="19" fillId="0" borderId="0" xfId="104" applyFont="1" applyFill="1" applyAlignment="1">
      <alignment horizontal="center" vertical="center"/>
      <protection/>
    </xf>
    <xf numFmtId="0" fontId="12" fillId="0" borderId="48" xfId="104" applyFont="1" applyFill="1" applyBorder="1" applyAlignment="1">
      <alignment horizontal="center" vertical="center"/>
      <protection/>
    </xf>
    <xf numFmtId="0" fontId="17" fillId="0" borderId="34" xfId="104" applyFont="1" applyFill="1" applyBorder="1" applyAlignment="1">
      <alignment vertical="center"/>
      <protection/>
    </xf>
    <xf numFmtId="3" fontId="14" fillId="57" borderId="34" xfId="104" applyNumberFormat="1" applyFont="1" applyFill="1" applyBorder="1" applyAlignment="1">
      <alignment horizontal="right" vertical="center"/>
      <protection/>
    </xf>
    <xf numFmtId="3" fontId="14" fillId="0" borderId="48" xfId="104" applyNumberFormat="1" applyFont="1" applyFill="1" applyBorder="1" applyAlignment="1">
      <alignment horizontal="right" vertical="center"/>
      <protection/>
    </xf>
    <xf numFmtId="3" fontId="14" fillId="57" borderId="35" xfId="104" applyNumberFormat="1" applyFont="1" applyFill="1" applyBorder="1" applyAlignment="1">
      <alignment vertical="center"/>
      <protection/>
    </xf>
    <xf numFmtId="0" fontId="12" fillId="0" borderId="34" xfId="104" applyFont="1" applyFill="1" applyBorder="1" applyAlignment="1">
      <alignment horizontal="center" vertical="center"/>
      <protection/>
    </xf>
    <xf numFmtId="3" fontId="14" fillId="0" borderId="34" xfId="104" applyNumberFormat="1" applyFont="1" applyFill="1" applyBorder="1" applyAlignment="1">
      <alignment horizontal="right" vertical="center"/>
      <protection/>
    </xf>
    <xf numFmtId="3" fontId="14" fillId="0" borderId="34" xfId="104" applyNumberFormat="1" applyFont="1" applyBorder="1" applyAlignment="1">
      <alignment horizontal="right" vertical="center"/>
      <protection/>
    </xf>
    <xf numFmtId="0" fontId="0" fillId="0" borderId="0" xfId="104" applyFont="1" applyAlignment="1">
      <alignment vertical="center"/>
      <protection/>
    </xf>
    <xf numFmtId="3" fontId="14" fillId="57" borderId="34" xfId="104" applyNumberFormat="1" applyFont="1" applyFill="1" applyBorder="1" applyAlignment="1">
      <alignment vertical="center"/>
      <protection/>
    </xf>
    <xf numFmtId="0" fontId="12" fillId="53" borderId="24" xfId="104" applyFont="1" applyFill="1" applyBorder="1" applyAlignment="1">
      <alignment horizontal="center" vertical="center"/>
      <protection/>
    </xf>
    <xf numFmtId="0" fontId="12" fillId="53" borderId="24" xfId="104" applyFont="1" applyFill="1" applyBorder="1" applyAlignment="1">
      <alignment horizontal="left" vertical="center"/>
      <protection/>
    </xf>
    <xf numFmtId="3" fontId="14" fillId="53" borderId="24" xfId="104" applyNumberFormat="1" applyFont="1" applyFill="1" applyBorder="1" applyAlignment="1">
      <alignment vertical="center"/>
      <protection/>
    </xf>
    <xf numFmtId="0" fontId="2" fillId="0" borderId="0" xfId="104" applyFont="1" applyAlignment="1">
      <alignment vertical="center"/>
      <protection/>
    </xf>
    <xf numFmtId="3" fontId="14" fillId="57" borderId="35" xfId="104" applyNumberFormat="1" applyFont="1" applyFill="1" applyBorder="1" applyAlignment="1">
      <alignment horizontal="right" vertical="center"/>
      <protection/>
    </xf>
    <xf numFmtId="3" fontId="14" fillId="57" borderId="53" xfId="104" applyNumberFormat="1" applyFont="1" applyFill="1" applyBorder="1" applyAlignment="1">
      <alignment vertical="center"/>
      <protection/>
    </xf>
    <xf numFmtId="0" fontId="30" fillId="0" borderId="0" xfId="104" applyFont="1" applyAlignment="1">
      <alignment vertical="center"/>
      <protection/>
    </xf>
    <xf numFmtId="0" fontId="14" fillId="53" borderId="24" xfId="104" applyFont="1" applyFill="1" applyBorder="1" applyAlignment="1">
      <alignment horizontal="center" vertical="center"/>
      <protection/>
    </xf>
    <xf numFmtId="0" fontId="14" fillId="53" borderId="24" xfId="104" applyFont="1" applyFill="1" applyBorder="1" applyAlignment="1">
      <alignment vertical="center"/>
      <protection/>
    </xf>
    <xf numFmtId="3" fontId="14" fillId="53" borderId="24" xfId="104" applyNumberFormat="1" applyFont="1" applyFill="1" applyBorder="1" applyAlignment="1">
      <alignment horizontal="right" vertical="center"/>
      <protection/>
    </xf>
    <xf numFmtId="0" fontId="17" fillId="0" borderId="0" xfId="104" applyFont="1" applyAlignment="1">
      <alignment vertical="center"/>
      <protection/>
    </xf>
    <xf numFmtId="3" fontId="17" fillId="0" borderId="27" xfId="104" applyNumberFormat="1" applyFont="1" applyFill="1" applyBorder="1" applyAlignment="1">
      <alignment horizontal="right" vertical="center"/>
      <protection/>
    </xf>
    <xf numFmtId="3" fontId="17" fillId="0" borderId="74" xfId="103" applyNumberFormat="1" applyFont="1" applyBorder="1" applyAlignment="1">
      <alignment horizontal="right" vertical="center"/>
    </xf>
    <xf numFmtId="3" fontId="17" fillId="0" borderId="74" xfId="103" applyNumberFormat="1" applyFont="1" applyFill="1" applyBorder="1" applyAlignment="1">
      <alignment horizontal="right" vertical="center"/>
    </xf>
    <xf numFmtId="3" fontId="7" fillId="0" borderId="0" xfId="104" applyNumberFormat="1" applyFont="1" applyAlignment="1">
      <alignment horizontal="right" vertical="center"/>
      <protection/>
    </xf>
    <xf numFmtId="0" fontId="7" fillId="0" borderId="0" xfId="104" applyFont="1" applyAlignment="1">
      <alignment vertical="center"/>
      <protection/>
    </xf>
    <xf numFmtId="0" fontId="15" fillId="0" borderId="0" xfId="104" applyFont="1" applyAlignment="1">
      <alignment vertical="center"/>
      <protection/>
    </xf>
    <xf numFmtId="0" fontId="15" fillId="0" borderId="0" xfId="104" applyFont="1" applyFill="1" applyBorder="1" applyAlignment="1">
      <alignment horizontal="center" vertical="center"/>
      <protection/>
    </xf>
    <xf numFmtId="0" fontId="7" fillId="0" borderId="0" xfId="104" applyFont="1" applyAlignment="1">
      <alignment vertical="center"/>
      <protection/>
    </xf>
    <xf numFmtId="0" fontId="15" fillId="0" borderId="0" xfId="104" applyFont="1" applyFill="1" applyAlignment="1">
      <alignment vertical="center"/>
      <protection/>
    </xf>
    <xf numFmtId="0" fontId="7" fillId="0" borderId="0" xfId="104" applyFont="1" applyFill="1" applyAlignment="1">
      <alignment vertical="center"/>
      <protection/>
    </xf>
    <xf numFmtId="0" fontId="15" fillId="0" borderId="0" xfId="104" applyFont="1" applyFill="1" applyBorder="1" applyAlignment="1">
      <alignment horizontal="center" vertical="center" wrapText="1"/>
      <protection/>
    </xf>
    <xf numFmtId="3" fontId="15" fillId="0" borderId="0" xfId="104" applyNumberFormat="1" applyFont="1" applyAlignment="1">
      <alignment horizontal="left" vertical="center"/>
      <protection/>
    </xf>
    <xf numFmtId="3" fontId="15" fillId="0" borderId="0" xfId="104" applyNumberFormat="1" applyFont="1" applyFill="1" applyAlignment="1">
      <alignment vertical="center"/>
      <protection/>
    </xf>
    <xf numFmtId="0" fontId="19" fillId="0" borderId="0" xfId="104" applyFont="1" applyAlignment="1">
      <alignment vertical="center"/>
      <protection/>
    </xf>
    <xf numFmtId="0" fontId="20" fillId="0" borderId="0" xfId="104" applyFont="1" applyAlignment="1">
      <alignment vertical="center"/>
      <protection/>
    </xf>
    <xf numFmtId="0" fontId="15" fillId="0" borderId="0" xfId="104" applyFont="1" applyAlignment="1">
      <alignment vertical="center"/>
      <protection/>
    </xf>
    <xf numFmtId="3" fontId="15" fillId="0" borderId="0" xfId="104" applyNumberFormat="1" applyFont="1" applyAlignment="1">
      <alignment vertical="center"/>
      <protection/>
    </xf>
    <xf numFmtId="0" fontId="7" fillId="0" borderId="0" xfId="104" applyFont="1">
      <alignment/>
      <protection/>
    </xf>
    <xf numFmtId="3" fontId="7" fillId="0" borderId="0" xfId="104" applyNumberFormat="1" applyFont="1">
      <alignment/>
      <protection/>
    </xf>
    <xf numFmtId="0" fontId="15" fillId="0" borderId="0" xfId="104" applyFont="1" applyFill="1" applyBorder="1" applyAlignment="1">
      <alignment horizontal="center" vertical="center" wrapText="1"/>
      <protection/>
    </xf>
    <xf numFmtId="3" fontId="15" fillId="0" borderId="0" xfId="100" applyNumberFormat="1" applyFont="1" applyFill="1" applyAlignment="1">
      <alignment horizontal="center" vertical="center"/>
      <protection/>
    </xf>
    <xf numFmtId="3" fontId="15" fillId="0" borderId="0" xfId="99" applyNumberFormat="1" applyFont="1" applyFill="1" applyAlignment="1">
      <alignment horizontal="center" vertical="center"/>
      <protection/>
    </xf>
    <xf numFmtId="3" fontId="15" fillId="0" borderId="0" xfId="104" applyNumberFormat="1" applyFont="1" applyFill="1" applyAlignment="1">
      <alignment horizontal="center" vertical="center"/>
      <protection/>
    </xf>
    <xf numFmtId="3" fontId="15" fillId="0" borderId="0" xfId="104" applyNumberFormat="1" applyFont="1" applyFill="1" applyBorder="1" applyAlignment="1">
      <alignment horizontal="center" vertical="center"/>
      <protection/>
    </xf>
    <xf numFmtId="3" fontId="15" fillId="0" borderId="0" xfId="104" applyNumberFormat="1" applyFont="1" applyFill="1" applyBorder="1" applyAlignment="1">
      <alignment horizontal="center" vertical="center"/>
      <protection/>
    </xf>
    <xf numFmtId="3" fontId="7" fillId="0" borderId="0" xfId="104" applyNumberFormat="1" applyFont="1" applyFill="1" applyAlignment="1">
      <alignment horizontal="center"/>
      <protection/>
    </xf>
    <xf numFmtId="0" fontId="19" fillId="50" borderId="81" xfId="104" applyFont="1" applyFill="1" applyBorder="1" applyAlignment="1">
      <alignment horizontal="center" vertical="center"/>
      <protection/>
    </xf>
    <xf numFmtId="3" fontId="17" fillId="0" borderId="30" xfId="104" applyNumberFormat="1" applyFont="1" applyFill="1" applyBorder="1" applyAlignment="1">
      <alignment horizontal="right" vertical="center"/>
      <protection/>
    </xf>
    <xf numFmtId="3" fontId="17" fillId="0" borderId="31" xfId="103" applyNumberFormat="1" applyFont="1" applyBorder="1" applyAlignment="1">
      <alignment horizontal="right" vertical="center"/>
    </xf>
    <xf numFmtId="3" fontId="17" fillId="0" borderId="31" xfId="103" applyNumberFormat="1" applyFont="1" applyFill="1" applyBorder="1" applyAlignment="1">
      <alignment horizontal="right" vertical="center"/>
    </xf>
    <xf numFmtId="3" fontId="14" fillId="54" borderId="115" xfId="104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17" fillId="0" borderId="55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58" borderId="47" xfId="0" applyFont="1" applyFill="1" applyBorder="1" applyAlignment="1">
      <alignment horizontal="center" vertical="center"/>
    </xf>
    <xf numFmtId="0" fontId="13" fillId="54" borderId="38" xfId="0" applyFont="1" applyFill="1" applyBorder="1" applyAlignment="1">
      <alignment horizontal="left" vertical="center"/>
    </xf>
    <xf numFmtId="0" fontId="8" fillId="54" borderId="25" xfId="0" applyFont="1" applyFill="1" applyBorder="1" applyAlignment="1">
      <alignment horizontal="left" vertical="center"/>
    </xf>
    <xf numFmtId="3" fontId="13" fillId="54" borderId="116" xfId="0" applyNumberFormat="1" applyFont="1" applyFill="1" applyBorder="1" applyAlignment="1">
      <alignment horizontal="right" vertical="center"/>
    </xf>
    <xf numFmtId="3" fontId="13" fillId="54" borderId="19" xfId="0" applyNumberFormat="1" applyFont="1" applyFill="1" applyBorder="1" applyAlignment="1">
      <alignment horizontal="right" vertical="center"/>
    </xf>
    <xf numFmtId="3" fontId="13" fillId="54" borderId="117" xfId="0" applyNumberFormat="1" applyFont="1" applyFill="1" applyBorder="1" applyAlignment="1">
      <alignment horizontal="right" vertical="center"/>
    </xf>
    <xf numFmtId="0" fontId="12" fillId="0" borderId="35" xfId="104" applyFont="1" applyFill="1" applyBorder="1" applyAlignment="1">
      <alignment horizontal="center" vertical="center"/>
      <protection/>
    </xf>
    <xf numFmtId="0" fontId="17" fillId="0" borderId="35" xfId="104" applyFont="1" applyFill="1" applyBorder="1" applyAlignment="1">
      <alignment vertical="center"/>
      <protection/>
    </xf>
    <xf numFmtId="3" fontId="17" fillId="0" borderId="74" xfId="104" applyNumberFormat="1" applyFont="1" applyFill="1" applyBorder="1" applyAlignment="1">
      <alignment horizontal="right" vertical="center"/>
      <protection/>
    </xf>
    <xf numFmtId="3" fontId="17" fillId="0" borderId="31" xfId="104" applyNumberFormat="1" applyFont="1" applyFill="1" applyBorder="1" applyAlignment="1">
      <alignment horizontal="right" vertical="center"/>
      <protection/>
    </xf>
    <xf numFmtId="3" fontId="17" fillId="0" borderId="37" xfId="104" applyNumberFormat="1" applyFont="1" applyFill="1" applyBorder="1" applyAlignment="1">
      <alignment horizontal="right" vertical="center"/>
      <protection/>
    </xf>
    <xf numFmtId="3" fontId="14" fillId="0" borderId="35" xfId="104" applyNumberFormat="1" applyFont="1" applyBorder="1" applyAlignment="1">
      <alignment horizontal="right" vertical="center"/>
      <protection/>
    </xf>
    <xf numFmtId="0" fontId="30" fillId="0" borderId="0" xfId="0" applyFont="1" applyAlignment="1">
      <alignment vertical="center"/>
    </xf>
    <xf numFmtId="0" fontId="14" fillId="57" borderId="2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13" fillId="16" borderId="38" xfId="0" applyNumberFormat="1" applyFont="1" applyFill="1" applyBorder="1" applyAlignment="1">
      <alignment horizontal="right" vertical="center"/>
    </xf>
    <xf numFmtId="3" fontId="13" fillId="16" borderId="28" xfId="0" applyNumberFormat="1" applyFont="1" applyFill="1" applyBorder="1" applyAlignment="1">
      <alignment vertical="center"/>
    </xf>
    <xf numFmtId="3" fontId="13" fillId="16" borderId="39" xfId="0" applyNumberFormat="1" applyFont="1" applyFill="1" applyBorder="1" applyAlignment="1">
      <alignment vertical="center"/>
    </xf>
    <xf numFmtId="3" fontId="17" fillId="53" borderId="33" xfId="103" applyNumberFormat="1" applyFont="1" applyFill="1" applyBorder="1" applyAlignment="1">
      <alignment horizontal="right" vertical="center"/>
    </xf>
    <xf numFmtId="3" fontId="17" fillId="53" borderId="118" xfId="103" applyNumberFormat="1" applyFont="1" applyFill="1" applyBorder="1" applyAlignment="1">
      <alignment horizontal="right" vertical="center"/>
    </xf>
    <xf numFmtId="3" fontId="17" fillId="53" borderId="44" xfId="104" applyNumberFormat="1" applyFont="1" applyFill="1" applyBorder="1" applyAlignment="1">
      <alignment horizontal="right" vertical="center"/>
      <protection/>
    </xf>
    <xf numFmtId="3" fontId="14" fillId="53" borderId="48" xfId="104" applyNumberFormat="1" applyFont="1" applyFill="1" applyBorder="1" applyAlignment="1">
      <alignment vertical="center"/>
      <protection/>
    </xf>
    <xf numFmtId="0" fontId="0" fillId="0" borderId="0" xfId="104" applyFont="1" applyFill="1" applyAlignment="1">
      <alignment horizontal="right"/>
      <protection/>
    </xf>
    <xf numFmtId="0" fontId="43" fillId="0" borderId="26" xfId="105" applyFont="1" applyBorder="1" applyAlignment="1" applyProtection="1">
      <alignment vertical="center"/>
      <protection hidden="1"/>
    </xf>
    <xf numFmtId="0" fontId="43" fillId="0" borderId="26" xfId="105" applyFont="1" applyBorder="1" applyAlignment="1" applyProtection="1">
      <alignment horizontal="center" vertical="center"/>
      <protection hidden="1"/>
    </xf>
    <xf numFmtId="0" fontId="48" fillId="0" borderId="26" xfId="105" applyFont="1" applyBorder="1" applyAlignment="1" applyProtection="1">
      <alignment vertical="center"/>
      <protection hidden="1"/>
    </xf>
    <xf numFmtId="0" fontId="48" fillId="0" borderId="26" xfId="105" applyFont="1" applyBorder="1" applyAlignment="1" applyProtection="1">
      <alignment horizontal="left" vertical="center"/>
      <protection hidden="1"/>
    </xf>
    <xf numFmtId="0" fontId="48" fillId="0" borderId="21" xfId="105" applyFont="1" applyBorder="1" applyAlignment="1" applyProtection="1">
      <alignment horizontal="left" vertical="center"/>
      <protection hidden="1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7" fillId="45" borderId="81" xfId="105" applyFont="1" applyFill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/>
    </xf>
    <xf numFmtId="0" fontId="43" fillId="0" borderId="52" xfId="105" applyFont="1" applyBorder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34" xfId="105" applyFont="1" applyBorder="1" applyAlignment="1" applyProtection="1">
      <alignment horizontal="left" vertical="center"/>
      <protection hidden="1"/>
    </xf>
    <xf numFmtId="3" fontId="43" fillId="0" borderId="0" xfId="0" applyNumberFormat="1" applyFont="1" applyAlignment="1">
      <alignment/>
    </xf>
    <xf numFmtId="3" fontId="43" fillId="0" borderId="0" xfId="0" applyNumberFormat="1" applyFont="1" applyFill="1" applyAlignment="1">
      <alignment horizontal="right"/>
    </xf>
    <xf numFmtId="3" fontId="43" fillId="0" borderId="34" xfId="68" applyNumberFormat="1" applyFont="1" applyBorder="1" applyAlignment="1" applyProtection="1">
      <alignment horizontal="right" vertical="center"/>
      <protection hidden="1"/>
    </xf>
    <xf numFmtId="3" fontId="47" fillId="0" borderId="34" xfId="68" applyNumberFormat="1" applyFont="1" applyBorder="1" applyAlignment="1" applyProtection="1">
      <alignment horizontal="right" vertical="center"/>
      <protection hidden="1"/>
    </xf>
    <xf numFmtId="3" fontId="43" fillId="0" borderId="0" xfId="0" applyNumberFormat="1" applyFont="1" applyAlignment="1">
      <alignment vertical="center"/>
    </xf>
    <xf numFmtId="3" fontId="43" fillId="0" borderId="34" xfId="95" applyNumberFormat="1" applyFont="1" applyBorder="1" applyAlignment="1">
      <alignment horizontal="right" vertical="center"/>
      <protection/>
    </xf>
    <xf numFmtId="3" fontId="43" fillId="0" borderId="53" xfId="95" applyNumberFormat="1" applyFont="1" applyBorder="1" applyAlignment="1">
      <alignment horizontal="right" vertical="center"/>
      <protection/>
    </xf>
    <xf numFmtId="3" fontId="48" fillId="0" borderId="34" xfId="105" applyNumberFormat="1" applyFont="1" applyBorder="1" applyAlignment="1" applyProtection="1">
      <alignment horizontal="right" vertical="center"/>
      <protection hidden="1"/>
    </xf>
    <xf numFmtId="3" fontId="47" fillId="0" borderId="34" xfId="105" applyNumberFormat="1" applyFont="1" applyBorder="1" applyAlignment="1" applyProtection="1">
      <alignment horizontal="right" vertical="center"/>
      <protection hidden="1"/>
    </xf>
    <xf numFmtId="3" fontId="43" fillId="0" borderId="0" xfId="0" applyNumberFormat="1" applyFont="1" applyAlignment="1">
      <alignment horizontal="right" vertical="center"/>
    </xf>
    <xf numFmtId="0" fontId="48" fillId="0" borderId="52" xfId="105" applyFont="1" applyBorder="1" applyAlignment="1" applyProtection="1">
      <alignment vertical="center"/>
      <protection hidden="1"/>
    </xf>
    <xf numFmtId="3" fontId="47" fillId="0" borderId="35" xfId="68" applyNumberFormat="1" applyFont="1" applyBorder="1" applyAlignment="1" applyProtection="1">
      <alignment horizontal="right" vertical="center"/>
      <protection hidden="1"/>
    </xf>
    <xf numFmtId="3" fontId="43" fillId="0" borderId="36" xfId="95" applyNumberFormat="1" applyFont="1" applyBorder="1" applyAlignment="1">
      <alignment horizontal="right" vertical="center"/>
      <protection/>
    </xf>
    <xf numFmtId="3" fontId="43" fillId="0" borderId="36" xfId="105" applyNumberFormat="1" applyFont="1" applyBorder="1" applyAlignment="1" applyProtection="1">
      <alignment horizontal="right" vertical="center"/>
      <protection hidden="1"/>
    </xf>
    <xf numFmtId="3" fontId="43" fillId="0" borderId="119" xfId="95" applyNumberFormat="1" applyFont="1" applyBorder="1" applyAlignment="1">
      <alignment horizontal="right" vertical="center"/>
      <protection/>
    </xf>
    <xf numFmtId="3" fontId="43" fillId="0" borderId="119" xfId="105" applyNumberFormat="1" applyFont="1" applyBorder="1" applyAlignment="1" applyProtection="1">
      <alignment horizontal="right" vertical="center"/>
      <protection hidden="1"/>
    </xf>
    <xf numFmtId="3" fontId="47" fillId="0" borderId="36" xfId="105" applyNumberFormat="1" applyFont="1" applyBorder="1" applyAlignment="1" applyProtection="1">
      <alignment horizontal="right" vertical="center"/>
      <protection hidden="1"/>
    </xf>
    <xf numFmtId="3" fontId="50" fillId="0" borderId="39" xfId="0" applyNumberFormat="1" applyFont="1" applyBorder="1" applyAlignment="1">
      <alignment horizontal="center" vertical="center" wrapText="1"/>
    </xf>
    <xf numFmtId="3" fontId="43" fillId="0" borderId="55" xfId="95" applyNumberFormat="1" applyFont="1" applyBorder="1" applyAlignment="1">
      <alignment horizontal="right" vertical="center"/>
      <protection/>
    </xf>
    <xf numFmtId="3" fontId="43" fillId="0" borderId="55" xfId="68" applyNumberFormat="1" applyFont="1" applyBorder="1" applyAlignment="1" applyProtection="1">
      <alignment horizontal="right" vertical="center"/>
      <protection hidden="1"/>
    </xf>
    <xf numFmtId="3" fontId="43" fillId="0" borderId="34" xfId="105" applyNumberFormat="1" applyFont="1" applyBorder="1" applyAlignment="1" applyProtection="1">
      <alignment horizontal="right" vertical="center"/>
      <protection hidden="1"/>
    </xf>
    <xf numFmtId="3" fontId="43" fillId="0" borderId="53" xfId="105" applyNumberFormat="1" applyFont="1" applyBorder="1" applyAlignment="1" applyProtection="1">
      <alignment horizontal="right" vertical="center"/>
      <protection hidden="1"/>
    </xf>
    <xf numFmtId="0" fontId="47" fillId="45" borderId="39" xfId="105" applyFont="1" applyFill="1" applyBorder="1" applyAlignment="1" applyProtection="1">
      <alignment horizontal="center" vertical="center" wrapText="1"/>
      <protection hidden="1"/>
    </xf>
    <xf numFmtId="0" fontId="43" fillId="0" borderId="55" xfId="95" applyFont="1" applyBorder="1" applyAlignment="1">
      <alignment vertical="center"/>
      <protection/>
    </xf>
    <xf numFmtId="0" fontId="43" fillId="0" borderId="55" xfId="105" applyFont="1" applyBorder="1" applyAlignment="1" applyProtection="1">
      <alignment horizontal="left" vertical="center"/>
      <protection hidden="1"/>
    </xf>
    <xf numFmtId="0" fontId="48" fillId="0" borderId="55" xfId="105" applyFont="1" applyBorder="1" applyAlignment="1" applyProtection="1">
      <alignment horizontal="left" vertical="center"/>
      <protection hidden="1"/>
    </xf>
    <xf numFmtId="0" fontId="43" fillId="0" borderId="27" xfId="105" applyFont="1" applyBorder="1" applyAlignment="1" applyProtection="1">
      <alignment horizontal="center" vertical="center"/>
      <protection hidden="1"/>
    </xf>
    <xf numFmtId="0" fontId="43" fillId="0" borderId="76" xfId="105" applyFont="1" applyBorder="1" applyAlignment="1" applyProtection="1">
      <alignment horizontal="center" vertical="center"/>
      <protection hidden="1"/>
    </xf>
    <xf numFmtId="0" fontId="48" fillId="0" borderId="111" xfId="105" applyFont="1" applyBorder="1" applyAlignment="1" applyProtection="1">
      <alignment horizontal="left" vertical="center"/>
      <protection hidden="1"/>
    </xf>
    <xf numFmtId="0" fontId="43" fillId="0" borderId="21" xfId="105" applyFont="1" applyBorder="1" applyAlignment="1" applyProtection="1">
      <alignment vertical="center"/>
      <protection hidden="1"/>
    </xf>
    <xf numFmtId="0" fontId="47" fillId="0" borderId="63" xfId="105" applyFont="1" applyBorder="1" applyAlignment="1" applyProtection="1">
      <alignment horizontal="left" vertical="center"/>
      <protection hidden="1"/>
    </xf>
    <xf numFmtId="0" fontId="48" fillId="0" borderId="30" xfId="105" applyFont="1" applyBorder="1" applyAlignment="1" applyProtection="1">
      <alignment horizontal="center" vertical="center"/>
      <protection hidden="1"/>
    </xf>
    <xf numFmtId="0" fontId="48" fillId="0" borderId="51" xfId="105" applyFont="1" applyBorder="1" applyAlignment="1" applyProtection="1">
      <alignment vertical="center"/>
      <protection hidden="1"/>
    </xf>
    <xf numFmtId="0" fontId="47" fillId="0" borderId="68" xfId="105" applyFont="1" applyBorder="1" applyAlignment="1" applyProtection="1">
      <alignment horizontal="left" vertical="center"/>
      <protection hidden="1"/>
    </xf>
    <xf numFmtId="0" fontId="47" fillId="0" borderId="55" xfId="105" applyFont="1" applyBorder="1" applyAlignment="1" applyProtection="1">
      <alignment horizontal="left" vertical="center"/>
      <protection hidden="1"/>
    </xf>
    <xf numFmtId="0" fontId="43" fillId="0" borderId="91" xfId="105" applyFont="1" applyBorder="1" applyAlignment="1" applyProtection="1">
      <alignment vertical="center"/>
      <protection hidden="1"/>
    </xf>
    <xf numFmtId="0" fontId="48" fillId="0" borderId="91" xfId="105" applyFont="1" applyBorder="1" applyAlignment="1" applyProtection="1">
      <alignment vertical="center"/>
      <protection hidden="1"/>
    </xf>
    <xf numFmtId="0" fontId="48" fillId="0" borderId="19" xfId="105" applyFont="1" applyBorder="1" applyAlignment="1" applyProtection="1">
      <alignment horizontal="left" vertical="center"/>
      <protection hidden="1"/>
    </xf>
    <xf numFmtId="0" fontId="48" fillId="0" borderId="20" xfId="105" applyFont="1" applyBorder="1" applyAlignment="1" applyProtection="1">
      <alignment horizontal="left" vertical="center"/>
      <protection hidden="1"/>
    </xf>
    <xf numFmtId="0" fontId="48" fillId="0" borderId="51" xfId="105" applyFont="1" applyBorder="1" applyAlignment="1" applyProtection="1">
      <alignment horizontal="center" vertical="center"/>
      <protection hidden="1"/>
    </xf>
    <xf numFmtId="3" fontId="47" fillId="0" borderId="44" xfId="68" applyNumberFormat="1" applyFont="1" applyBorder="1" applyAlignment="1" applyProtection="1">
      <alignment horizontal="right" vertical="center"/>
      <protection hidden="1"/>
    </xf>
    <xf numFmtId="3" fontId="47" fillId="0" borderId="48" xfId="68" applyNumberFormat="1" applyFont="1" applyBorder="1" applyAlignment="1" applyProtection="1">
      <alignment horizontal="right" vertical="center"/>
      <protection hidden="1"/>
    </xf>
    <xf numFmtId="0" fontId="47" fillId="0" borderId="108" xfId="105" applyFont="1" applyBorder="1" applyAlignment="1" applyProtection="1">
      <alignment horizontal="center" vertical="center"/>
      <protection hidden="1"/>
    </xf>
    <xf numFmtId="0" fontId="47" fillId="0" borderId="74" xfId="105" applyFont="1" applyBorder="1" applyAlignment="1" applyProtection="1">
      <alignment horizontal="center" vertical="center"/>
      <protection hidden="1"/>
    </xf>
    <xf numFmtId="3" fontId="47" fillId="0" borderId="37" xfId="68" applyNumberFormat="1" applyFont="1" applyBorder="1" applyAlignment="1" applyProtection="1">
      <alignment horizontal="right" vertical="center"/>
      <protection hidden="1"/>
    </xf>
    <xf numFmtId="0" fontId="47" fillId="0" borderId="81" xfId="105" applyFont="1" applyBorder="1" applyAlignment="1" applyProtection="1">
      <alignment horizontal="center" vertical="center"/>
      <protection hidden="1"/>
    </xf>
    <xf numFmtId="0" fontId="47" fillId="0" borderId="39" xfId="105" applyFont="1" applyBorder="1" applyAlignment="1" applyProtection="1">
      <alignment horizontal="left" vertical="center"/>
      <protection hidden="1"/>
    </xf>
    <xf numFmtId="3" fontId="47" fillId="0" borderId="38" xfId="68" applyNumberFormat="1" applyFont="1" applyBorder="1" applyAlignment="1" applyProtection="1">
      <alignment horizontal="right" vertical="center"/>
      <protection hidden="1"/>
    </xf>
    <xf numFmtId="3" fontId="47" fillId="0" borderId="24" xfId="68" applyNumberFormat="1" applyFont="1" applyBorder="1" applyAlignment="1" applyProtection="1">
      <alignment horizontal="right" vertical="center"/>
      <protection hidden="1"/>
    </xf>
    <xf numFmtId="3" fontId="47" fillId="0" borderId="39" xfId="68" applyNumberFormat="1" applyFont="1" applyBorder="1" applyAlignment="1" applyProtection="1">
      <alignment horizontal="right" vertical="center"/>
      <protection hidden="1"/>
    </xf>
    <xf numFmtId="0" fontId="43" fillId="0" borderId="68" xfId="95" applyFont="1" applyBorder="1" applyAlignment="1">
      <alignment vertical="center"/>
      <protection/>
    </xf>
    <xf numFmtId="3" fontId="43" fillId="0" borderId="35" xfId="95" applyNumberFormat="1" applyFont="1" applyBorder="1" applyAlignment="1">
      <alignment horizontal="right" vertical="center"/>
      <protection/>
    </xf>
    <xf numFmtId="3" fontId="43" fillId="0" borderId="68" xfId="95" applyNumberFormat="1" applyFont="1" applyBorder="1" applyAlignment="1">
      <alignment horizontal="right" vertical="center"/>
      <protection/>
    </xf>
    <xf numFmtId="3" fontId="47" fillId="0" borderId="39" xfId="95" applyNumberFormat="1" applyFont="1" applyBorder="1" applyAlignment="1">
      <alignment horizontal="right" vertical="center"/>
      <protection/>
    </xf>
    <xf numFmtId="0" fontId="43" fillId="0" borderId="67" xfId="95" applyFont="1" applyBorder="1" applyAlignment="1">
      <alignment vertical="center"/>
      <protection/>
    </xf>
    <xf numFmtId="3" fontId="47" fillId="0" borderId="38" xfId="105" applyNumberFormat="1" applyFont="1" applyBorder="1" applyAlignment="1" applyProtection="1">
      <alignment horizontal="right" vertical="center"/>
      <protection hidden="1"/>
    </xf>
    <xf numFmtId="3" fontId="47" fillId="0" borderId="24" xfId="105" applyNumberFormat="1" applyFont="1" applyBorder="1" applyAlignment="1" applyProtection="1">
      <alignment horizontal="right" vertical="center"/>
      <protection hidden="1"/>
    </xf>
    <xf numFmtId="0" fontId="47" fillId="0" borderId="91" xfId="105" applyFont="1" applyBorder="1" applyAlignment="1" applyProtection="1">
      <alignment horizontal="center" vertical="center"/>
      <protection hidden="1"/>
    </xf>
    <xf numFmtId="0" fontId="47" fillId="0" borderId="33" xfId="105" applyFont="1" applyBorder="1" applyAlignment="1" applyProtection="1">
      <alignment horizontal="center" vertical="center"/>
      <protection hidden="1"/>
    </xf>
    <xf numFmtId="3" fontId="47" fillId="0" borderId="48" xfId="95" applyNumberFormat="1" applyFont="1" applyBorder="1" applyAlignment="1">
      <alignment horizontal="right" vertical="center"/>
      <protection/>
    </xf>
    <xf numFmtId="3" fontId="47" fillId="0" borderId="63" xfId="95" applyNumberFormat="1" applyFont="1" applyBorder="1" applyAlignment="1">
      <alignment horizontal="right" vertical="center"/>
      <protection/>
    </xf>
    <xf numFmtId="0" fontId="48" fillId="0" borderId="31" xfId="105" applyFont="1" applyBorder="1" applyAlignment="1" applyProtection="1">
      <alignment horizontal="center" vertical="center"/>
      <protection hidden="1"/>
    </xf>
    <xf numFmtId="0" fontId="47" fillId="0" borderId="115" xfId="105" applyFont="1" applyBorder="1" applyAlignment="1" applyProtection="1">
      <alignment horizontal="center" vertical="center"/>
      <protection hidden="1"/>
    </xf>
    <xf numFmtId="0" fontId="43" fillId="0" borderId="91" xfId="105" applyFont="1" applyBorder="1" applyAlignment="1" applyProtection="1">
      <alignment horizontal="left" vertical="center"/>
      <protection hidden="1"/>
    </xf>
    <xf numFmtId="0" fontId="43" fillId="0" borderId="115" xfId="105" applyFont="1" applyBorder="1" applyAlignment="1" applyProtection="1">
      <alignment horizontal="left" vertical="center"/>
      <protection hidden="1"/>
    </xf>
    <xf numFmtId="0" fontId="48" fillId="0" borderId="84" xfId="105" applyFont="1" applyBorder="1" applyAlignment="1" applyProtection="1">
      <alignment horizontal="left" vertical="center"/>
      <protection hidden="1"/>
    </xf>
    <xf numFmtId="3" fontId="47" fillId="0" borderId="41" xfId="95" applyNumberFormat="1" applyFont="1" applyBorder="1" applyAlignment="1">
      <alignment horizontal="right" vertical="center"/>
      <protection/>
    </xf>
    <xf numFmtId="3" fontId="47" fillId="0" borderId="40" xfId="95" applyNumberFormat="1" applyFont="1" applyBorder="1" applyAlignment="1">
      <alignment horizontal="right" vertical="center"/>
      <protection/>
    </xf>
    <xf numFmtId="0" fontId="47" fillId="0" borderId="68" xfId="105" applyFont="1" applyBorder="1" applyAlignment="1" applyProtection="1">
      <alignment vertical="center"/>
      <protection hidden="1"/>
    </xf>
    <xf numFmtId="0" fontId="47" fillId="0" borderId="55" xfId="95" applyFont="1" applyBorder="1" applyAlignment="1">
      <alignment vertical="center"/>
      <protection/>
    </xf>
    <xf numFmtId="0" fontId="48" fillId="0" borderId="67" xfId="105" applyFont="1" applyBorder="1" applyAlignment="1" applyProtection="1">
      <alignment horizontal="left" vertical="center"/>
      <protection hidden="1"/>
    </xf>
    <xf numFmtId="0" fontId="47" fillId="0" borderId="67" xfId="95" applyFont="1" applyBorder="1" applyAlignment="1">
      <alignment vertical="center"/>
      <protection/>
    </xf>
    <xf numFmtId="0" fontId="43" fillId="0" borderId="67" xfId="105" applyFont="1" applyBorder="1" applyAlignment="1" applyProtection="1">
      <alignment horizontal="left" vertical="center"/>
      <protection hidden="1"/>
    </xf>
    <xf numFmtId="0" fontId="47" fillId="0" borderId="73" xfId="105" applyFont="1" applyBorder="1" applyAlignment="1" applyProtection="1">
      <alignment horizontal="center" vertical="center"/>
      <protection hidden="1"/>
    </xf>
    <xf numFmtId="3" fontId="47" fillId="0" borderId="37" xfId="105" applyNumberFormat="1" applyFont="1" applyBorder="1" applyAlignment="1" applyProtection="1">
      <alignment horizontal="right" vertical="center"/>
      <protection hidden="1"/>
    </xf>
    <xf numFmtId="3" fontId="47" fillId="0" borderId="35" xfId="105" applyNumberFormat="1" applyFont="1" applyBorder="1" applyAlignment="1" applyProtection="1">
      <alignment horizontal="right" vertical="center"/>
      <protection hidden="1"/>
    </xf>
    <xf numFmtId="0" fontId="47" fillId="0" borderId="27" xfId="105" applyFont="1" applyBorder="1" applyAlignment="1" applyProtection="1">
      <alignment horizontal="center" vertical="center"/>
      <protection hidden="1"/>
    </xf>
    <xf numFmtId="0" fontId="47" fillId="0" borderId="26" xfId="105" applyFont="1" applyBorder="1" applyAlignment="1" applyProtection="1">
      <alignment horizontal="center" vertical="center"/>
      <protection hidden="1"/>
    </xf>
    <xf numFmtId="3" fontId="47" fillId="0" borderId="36" xfId="95" applyNumberFormat="1" applyFont="1" applyBorder="1" applyAlignment="1">
      <alignment horizontal="right" vertical="center"/>
      <protection/>
    </xf>
    <xf numFmtId="3" fontId="47" fillId="0" borderId="34" xfId="95" applyNumberFormat="1" applyFont="1" applyBorder="1" applyAlignment="1">
      <alignment horizontal="right" vertical="center"/>
      <protection/>
    </xf>
    <xf numFmtId="0" fontId="47" fillId="0" borderId="21" xfId="95" applyFont="1" applyBorder="1" applyAlignment="1">
      <alignment vertical="center"/>
      <protection/>
    </xf>
    <xf numFmtId="0" fontId="47" fillId="0" borderId="76" xfId="105" applyFont="1" applyBorder="1" applyAlignment="1" applyProtection="1">
      <alignment horizontal="center" vertical="center"/>
      <protection hidden="1"/>
    </xf>
    <xf numFmtId="0" fontId="47" fillId="0" borderId="111" xfId="95" applyFont="1" applyBorder="1" applyAlignment="1">
      <alignment vertical="center"/>
      <protection/>
    </xf>
    <xf numFmtId="3" fontId="47" fillId="0" borderId="119" xfId="95" applyNumberFormat="1" applyFont="1" applyBorder="1" applyAlignment="1">
      <alignment horizontal="right" vertical="center"/>
      <protection/>
    </xf>
    <xf numFmtId="3" fontId="47" fillId="0" borderId="53" xfId="95" applyNumberFormat="1" applyFont="1" applyBorder="1" applyAlignment="1">
      <alignment horizontal="right" vertical="center"/>
      <protection/>
    </xf>
    <xf numFmtId="3" fontId="48" fillId="0" borderId="36" xfId="105" applyNumberFormat="1" applyFont="1" applyBorder="1" applyAlignment="1" applyProtection="1">
      <alignment horizontal="right" vertical="center"/>
      <protection hidden="1"/>
    </xf>
    <xf numFmtId="3" fontId="47" fillId="0" borderId="36" xfId="68" applyNumberFormat="1" applyFont="1" applyBorder="1" applyAlignment="1" applyProtection="1">
      <alignment horizontal="right" vertical="center"/>
      <protection hidden="1"/>
    </xf>
    <xf numFmtId="3" fontId="47" fillId="0" borderId="40" xfId="68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 vertical="center"/>
    </xf>
    <xf numFmtId="0" fontId="43" fillId="0" borderId="74" xfId="105" applyFont="1" applyBorder="1" applyAlignment="1" applyProtection="1">
      <alignment horizontal="center" vertical="center"/>
      <protection hidden="1"/>
    </xf>
    <xf numFmtId="0" fontId="43" fillId="0" borderId="68" xfId="105" applyFont="1" applyBorder="1" applyAlignment="1" applyProtection="1">
      <alignment horizontal="left" vertical="center"/>
      <protection hidden="1"/>
    </xf>
    <xf numFmtId="3" fontId="43" fillId="0" borderId="37" xfId="105" applyNumberFormat="1" applyFont="1" applyBorder="1" applyAlignment="1" applyProtection="1">
      <alignment horizontal="right" vertical="center"/>
      <protection hidden="1"/>
    </xf>
    <xf numFmtId="3" fontId="43" fillId="0" borderId="35" xfId="105" applyNumberFormat="1" applyFont="1" applyBorder="1" applyAlignment="1" applyProtection="1">
      <alignment horizontal="right" vertical="center"/>
      <protection hidden="1"/>
    </xf>
    <xf numFmtId="3" fontId="43" fillId="0" borderId="68" xfId="68" applyNumberFormat="1" applyFont="1" applyBorder="1" applyAlignment="1" applyProtection="1">
      <alignment horizontal="right" vertical="center"/>
      <protection hidden="1"/>
    </xf>
    <xf numFmtId="3" fontId="47" fillId="0" borderId="37" xfId="95" applyNumberFormat="1" applyFont="1" applyBorder="1" applyAlignment="1">
      <alignment horizontal="right" vertical="center"/>
      <protection/>
    </xf>
    <xf numFmtId="3" fontId="47" fillId="0" borderId="35" xfId="95" applyNumberFormat="1" applyFont="1" applyBorder="1" applyAlignment="1">
      <alignment horizontal="right" vertical="center"/>
      <protection/>
    </xf>
    <xf numFmtId="0" fontId="47" fillId="0" borderId="39" xfId="105" applyFont="1" applyBorder="1" applyAlignment="1" applyProtection="1">
      <alignment vertical="center"/>
      <protection hidden="1"/>
    </xf>
    <xf numFmtId="0" fontId="48" fillId="0" borderId="52" xfId="105" applyFont="1" applyBorder="1" applyAlignment="1" applyProtection="1">
      <alignment horizontal="left" vertical="center"/>
      <protection hidden="1"/>
    </xf>
    <xf numFmtId="0" fontId="36" fillId="53" borderId="39" xfId="105" applyFont="1" applyFill="1" applyBorder="1" applyAlignment="1" applyProtection="1">
      <alignment horizontal="center" vertical="center"/>
      <protection hidden="1"/>
    </xf>
    <xf numFmtId="3" fontId="36" fillId="53" borderId="38" xfId="68" applyNumberFormat="1" applyFont="1" applyFill="1" applyBorder="1" applyAlignment="1" applyProtection="1">
      <alignment horizontal="right" vertical="center"/>
      <protection hidden="1"/>
    </xf>
    <xf numFmtId="3" fontId="36" fillId="53" borderId="24" xfId="68" applyNumberFormat="1" applyFont="1" applyFill="1" applyBorder="1" applyAlignment="1" applyProtection="1">
      <alignment horizontal="right" vertical="center"/>
      <protection hidden="1"/>
    </xf>
    <xf numFmtId="3" fontId="47" fillId="0" borderId="37" xfId="68" applyNumberFormat="1" applyFont="1" applyFill="1" applyBorder="1" applyAlignment="1" applyProtection="1">
      <alignment horizontal="right" vertical="center"/>
      <protection hidden="1"/>
    </xf>
    <xf numFmtId="3" fontId="47" fillId="0" borderId="35" xfId="68" applyNumberFormat="1" applyFont="1" applyFill="1" applyBorder="1" applyAlignment="1" applyProtection="1">
      <alignment horizontal="right" vertical="center"/>
      <protection hidden="1"/>
    </xf>
    <xf numFmtId="3" fontId="47" fillId="0" borderId="36" xfId="68" applyNumberFormat="1" applyFont="1" applyFill="1" applyBorder="1" applyAlignment="1" applyProtection="1">
      <alignment horizontal="right" vertical="center"/>
      <protection hidden="1"/>
    </xf>
    <xf numFmtId="3" fontId="47" fillId="0" borderId="34" xfId="68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centerContinuous"/>
    </xf>
    <xf numFmtId="0" fontId="47" fillId="54" borderId="81" xfId="105" applyFont="1" applyFill="1" applyBorder="1" applyAlignment="1" applyProtection="1">
      <alignment horizontal="center" vertical="center"/>
      <protection hidden="1"/>
    </xf>
    <xf numFmtId="0" fontId="47" fillId="54" borderId="24" xfId="105" applyFont="1" applyFill="1" applyBorder="1" applyAlignment="1" applyProtection="1">
      <alignment horizontal="left" vertical="center"/>
      <protection hidden="1"/>
    </xf>
    <xf numFmtId="3" fontId="47" fillId="54" borderId="38" xfId="68" applyNumberFormat="1" applyFont="1" applyFill="1" applyBorder="1" applyAlignment="1" applyProtection="1">
      <alignment horizontal="right" vertical="center"/>
      <protection hidden="1"/>
    </xf>
    <xf numFmtId="3" fontId="47" fillId="54" borderId="24" xfId="68" applyNumberFormat="1" applyFont="1" applyFill="1" applyBorder="1" applyAlignment="1" applyProtection="1">
      <alignment horizontal="right" vertical="center"/>
      <protection hidden="1"/>
    </xf>
    <xf numFmtId="0" fontId="47" fillId="54" borderId="98" xfId="105" applyFont="1" applyFill="1" applyBorder="1" applyAlignment="1" applyProtection="1">
      <alignment horizontal="center" vertical="center"/>
      <protection hidden="1"/>
    </xf>
    <xf numFmtId="0" fontId="47" fillId="54" borderId="120" xfId="105" applyFont="1" applyFill="1" applyBorder="1" applyAlignment="1" applyProtection="1">
      <alignment horizontal="left" vertical="center"/>
      <protection hidden="1"/>
    </xf>
    <xf numFmtId="3" fontId="47" fillId="54" borderId="98" xfId="68" applyNumberFormat="1" applyFont="1" applyFill="1" applyBorder="1" applyAlignment="1" applyProtection="1">
      <alignment horizontal="right" vertical="center"/>
      <protection hidden="1"/>
    </xf>
    <xf numFmtId="3" fontId="47" fillId="54" borderId="23" xfId="68" applyNumberFormat="1" applyFont="1" applyFill="1" applyBorder="1" applyAlignment="1" applyProtection="1">
      <alignment horizontal="right" vertical="center"/>
      <protection hidden="1"/>
    </xf>
    <xf numFmtId="0" fontId="47" fillId="54" borderId="39" xfId="105" applyFont="1" applyFill="1" applyBorder="1" applyAlignment="1" applyProtection="1">
      <alignment horizontal="left" vertical="center"/>
      <protection hidden="1"/>
    </xf>
    <xf numFmtId="0" fontId="47" fillId="54" borderId="39" xfId="95" applyFont="1" applyFill="1" applyBorder="1" applyAlignment="1">
      <alignment horizontal="left" vertical="center"/>
      <protection/>
    </xf>
    <xf numFmtId="3" fontId="47" fillId="54" borderId="39" xfId="68" applyNumberFormat="1" applyFont="1" applyFill="1" applyBorder="1" applyAlignment="1" applyProtection="1">
      <alignment horizontal="right" vertical="center"/>
      <protection hidden="1"/>
    </xf>
    <xf numFmtId="0" fontId="13" fillId="50" borderId="23" xfId="0" applyFont="1" applyFill="1" applyBorder="1" applyAlignment="1">
      <alignment horizontal="center" vertical="center"/>
    </xf>
    <xf numFmtId="0" fontId="13" fillId="50" borderId="9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0" fontId="43" fillId="45" borderId="26" xfId="95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48" fillId="0" borderId="73" xfId="105" applyFont="1" applyBorder="1" applyAlignment="1" applyProtection="1">
      <alignment vertical="center"/>
      <protection hidden="1"/>
    </xf>
    <xf numFmtId="0" fontId="48" fillId="0" borderId="74" xfId="105" applyFont="1" applyBorder="1" applyAlignment="1" applyProtection="1">
      <alignment vertical="center"/>
      <protection hidden="1"/>
    </xf>
    <xf numFmtId="0" fontId="48" fillId="0" borderId="26" xfId="105" applyFont="1" applyBorder="1" applyAlignment="1" applyProtection="1">
      <alignment horizontal="center" vertical="center"/>
      <protection hidden="1"/>
    </xf>
    <xf numFmtId="0" fontId="48" fillId="0" borderId="26" xfId="95" applyFont="1" applyBorder="1" applyAlignment="1">
      <alignment horizontal="left" vertical="center"/>
      <protection/>
    </xf>
    <xf numFmtId="0" fontId="48" fillId="0" borderId="21" xfId="105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3" fontId="47" fillId="28" borderId="25" xfId="105" applyNumberFormat="1" applyFont="1" applyFill="1" applyBorder="1" applyAlignment="1" applyProtection="1">
      <alignment horizontal="right" vertical="center"/>
      <protection hidden="1"/>
    </xf>
    <xf numFmtId="3" fontId="47" fillId="28" borderId="24" xfId="105" applyNumberFormat="1" applyFont="1" applyFill="1" applyBorder="1" applyAlignment="1" applyProtection="1">
      <alignment horizontal="right" vertical="center"/>
      <protection hidden="1"/>
    </xf>
    <xf numFmtId="0" fontId="43" fillId="45" borderId="52" xfId="95" applyFont="1" applyFill="1" applyBorder="1" applyAlignment="1" applyProtection="1">
      <alignment horizontal="center" vertical="center"/>
      <protection/>
    </xf>
    <xf numFmtId="3" fontId="47" fillId="59" borderId="24" xfId="63" applyNumberFormat="1" applyFont="1" applyFill="1" applyBorder="1" applyAlignment="1" applyProtection="1">
      <alignment horizontal="right" vertical="center"/>
      <protection/>
    </xf>
    <xf numFmtId="0" fontId="47" fillId="54" borderId="81" xfId="95" applyFont="1" applyFill="1" applyBorder="1" applyAlignment="1" applyProtection="1">
      <alignment horizontal="center" vertical="center"/>
      <protection/>
    </xf>
    <xf numFmtId="0" fontId="47" fillId="54" borderId="29" xfId="105" applyFont="1" applyFill="1" applyBorder="1" applyAlignment="1" applyProtection="1">
      <alignment horizontal="left" vertical="center"/>
      <protection hidden="1"/>
    </xf>
    <xf numFmtId="0" fontId="47" fillId="54" borderId="91" xfId="105" applyFont="1" applyFill="1" applyBorder="1" applyAlignment="1" applyProtection="1">
      <alignment horizontal="center" vertical="center"/>
      <protection hidden="1"/>
    </xf>
    <xf numFmtId="0" fontId="47" fillId="54" borderId="93" xfId="105" applyFont="1" applyFill="1" applyBorder="1" applyAlignment="1" applyProtection="1">
      <alignment horizontal="left" vertical="center"/>
      <protection hidden="1"/>
    </xf>
    <xf numFmtId="3" fontId="53" fillId="54" borderId="24" xfId="63" applyNumberFormat="1" applyFont="1" applyFill="1" applyBorder="1" applyAlignment="1" applyProtection="1">
      <alignment horizontal="right" vertical="center"/>
      <protection/>
    </xf>
    <xf numFmtId="0" fontId="43" fillId="45" borderId="73" xfId="95" applyFont="1" applyFill="1" applyBorder="1" applyAlignment="1" applyProtection="1">
      <alignment horizontal="center" vertical="center"/>
      <protection/>
    </xf>
    <xf numFmtId="0" fontId="48" fillId="0" borderId="111" xfId="105" applyFont="1" applyFill="1" applyBorder="1" applyAlignment="1" applyProtection="1">
      <alignment horizontal="left" vertical="center"/>
      <protection hidden="1"/>
    </xf>
    <xf numFmtId="0" fontId="48" fillId="0" borderId="77" xfId="105" applyFont="1" applyFill="1" applyBorder="1" applyAlignment="1" applyProtection="1">
      <alignment horizontal="left" vertical="center"/>
      <protection hidden="1"/>
    </xf>
    <xf numFmtId="0" fontId="36" fillId="59" borderId="24" xfId="95" applyFont="1" applyFill="1" applyBorder="1" applyAlignment="1" applyProtection="1">
      <alignment horizontal="center" vertical="center"/>
      <protection/>
    </xf>
    <xf numFmtId="3" fontId="47" fillId="59" borderId="25" xfId="63" applyNumberFormat="1" applyFont="1" applyFill="1" applyBorder="1" applyAlignment="1" applyProtection="1">
      <alignment horizontal="right" vertical="center"/>
      <protection/>
    </xf>
    <xf numFmtId="0" fontId="36" fillId="53" borderId="24" xfId="105" applyFont="1" applyFill="1" applyBorder="1" applyAlignment="1" applyProtection="1">
      <alignment horizontal="center" vertical="center"/>
      <protection hidden="1"/>
    </xf>
    <xf numFmtId="0" fontId="48" fillId="0" borderId="19" xfId="105" applyFont="1" applyBorder="1" applyAlignment="1" applyProtection="1">
      <alignment horizontal="center" vertical="center"/>
      <protection hidden="1"/>
    </xf>
    <xf numFmtId="0" fontId="43" fillId="0" borderId="83" xfId="95" applyFont="1" applyBorder="1" applyAlignment="1">
      <alignment vertical="center"/>
      <protection/>
    </xf>
    <xf numFmtId="0" fontId="48" fillId="0" borderId="73" xfId="105" applyFont="1" applyBorder="1" applyAlignment="1" applyProtection="1">
      <alignment horizontal="left" vertical="center"/>
      <protection hidden="1"/>
    </xf>
    <xf numFmtId="0" fontId="48" fillId="0" borderId="77" xfId="105" applyFont="1" applyBorder="1" applyAlignment="1" applyProtection="1">
      <alignment horizontal="left" vertical="center"/>
      <protection hidden="1"/>
    </xf>
    <xf numFmtId="3" fontId="13" fillId="0" borderId="8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0" borderId="121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3" fontId="13" fillId="16" borderId="56" xfId="0" applyNumberFormat="1" applyFont="1" applyFill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3" fontId="13" fillId="16" borderId="96" xfId="0" applyNumberFormat="1" applyFont="1" applyFill="1" applyBorder="1" applyAlignment="1">
      <alignment vertical="center"/>
    </xf>
    <xf numFmtId="3" fontId="13" fillId="16" borderId="106" xfId="0" applyNumberFormat="1" applyFont="1" applyFill="1" applyBorder="1" applyAlignment="1">
      <alignment vertical="center"/>
    </xf>
    <xf numFmtId="3" fontId="13" fillId="57" borderId="39" xfId="0" applyNumberFormat="1" applyFont="1" applyFill="1" applyBorder="1" applyAlignment="1">
      <alignment vertical="center"/>
    </xf>
    <xf numFmtId="3" fontId="13" fillId="57" borderId="122" xfId="0" applyNumberFormat="1" applyFont="1" applyFill="1" applyBorder="1" applyAlignment="1">
      <alignment vertical="center"/>
    </xf>
    <xf numFmtId="0" fontId="43" fillId="0" borderId="26" xfId="105" applyFont="1" applyBorder="1" applyAlignment="1" applyProtection="1">
      <alignment horizontal="left" vertical="center"/>
      <protection hidden="1"/>
    </xf>
    <xf numFmtId="0" fontId="36" fillId="54" borderId="81" xfId="95" applyFont="1" applyFill="1" applyBorder="1" applyAlignment="1" applyProtection="1">
      <alignment horizontal="center" vertical="center"/>
      <protection/>
    </xf>
    <xf numFmtId="0" fontId="36" fillId="54" borderId="29" xfId="105" applyFont="1" applyFill="1" applyBorder="1" applyAlignment="1" applyProtection="1">
      <alignment horizontal="left" vertical="center"/>
      <protection hidden="1"/>
    </xf>
    <xf numFmtId="3" fontId="36" fillId="54" borderId="24" xfId="63" applyNumberFormat="1" applyFont="1" applyFill="1" applyBorder="1" applyAlignment="1" applyProtection="1">
      <alignment horizontal="right" vertical="center"/>
      <protection/>
    </xf>
    <xf numFmtId="3" fontId="47" fillId="0" borderId="34" xfId="95" applyNumberFormat="1" applyFont="1" applyFill="1" applyBorder="1" applyAlignment="1" applyProtection="1">
      <alignment horizontal="right" vertical="center"/>
      <protection hidden="1"/>
    </xf>
    <xf numFmtId="0" fontId="47" fillId="0" borderId="21" xfId="105" applyFont="1" applyFill="1" applyBorder="1" applyAlignment="1" applyProtection="1">
      <alignment horizontal="left" vertical="center"/>
      <protection hidden="1"/>
    </xf>
    <xf numFmtId="3" fontId="47" fillId="0" borderId="123" xfId="105" applyNumberFormat="1" applyFont="1" applyFill="1" applyBorder="1" applyAlignment="1" applyProtection="1">
      <alignment horizontal="right" vertical="center"/>
      <protection hidden="1"/>
    </xf>
    <xf numFmtId="3" fontId="47" fillId="0" borderId="34" xfId="105" applyNumberFormat="1" applyFont="1" applyFill="1" applyBorder="1" applyAlignment="1" applyProtection="1">
      <alignment horizontal="right" vertical="center"/>
      <protection hidden="1"/>
    </xf>
    <xf numFmtId="0" fontId="48" fillId="0" borderId="73" xfId="105" applyFont="1" applyBorder="1" applyAlignment="1" applyProtection="1">
      <alignment horizontal="center" vertical="center"/>
      <protection hidden="1"/>
    </xf>
    <xf numFmtId="0" fontId="47" fillId="0" borderId="77" xfId="105" applyFont="1" applyBorder="1" applyAlignment="1" applyProtection="1">
      <alignment horizontal="left" vertical="center"/>
      <protection hidden="1"/>
    </xf>
    <xf numFmtId="0" fontId="47" fillId="45" borderId="26" xfId="95" applyFont="1" applyFill="1" applyBorder="1" applyAlignment="1" applyProtection="1">
      <alignment horizontal="center" vertical="center"/>
      <protection/>
    </xf>
    <xf numFmtId="3" fontId="47" fillId="0" borderId="124" xfId="105" applyNumberFormat="1" applyFont="1" applyFill="1" applyBorder="1" applyAlignment="1" applyProtection="1">
      <alignment horizontal="right" vertical="center"/>
      <protection hidden="1"/>
    </xf>
    <xf numFmtId="3" fontId="47" fillId="0" borderId="53" xfId="105" applyNumberFormat="1" applyFont="1" applyFill="1" applyBorder="1" applyAlignment="1" applyProtection="1">
      <alignment horizontal="right" vertical="center"/>
      <protection hidden="1"/>
    </xf>
    <xf numFmtId="0" fontId="47" fillId="0" borderId="26" xfId="95" applyFont="1" applyFill="1" applyBorder="1" applyAlignment="1" applyProtection="1">
      <alignment horizontal="center" vertical="center"/>
      <protection hidden="1"/>
    </xf>
    <xf numFmtId="0" fontId="47" fillId="0" borderId="32" xfId="105" applyFont="1" applyBorder="1" applyAlignment="1" applyProtection="1">
      <alignment vertical="center"/>
      <protection hidden="1"/>
    </xf>
    <xf numFmtId="3" fontId="8" fillId="0" borderId="28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13" fillId="0" borderId="94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21" fillId="45" borderId="38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45" borderId="30" xfId="0" applyFont="1" applyFill="1" applyBorder="1" applyAlignment="1" applyProtection="1">
      <alignment horizontal="center" vertical="center"/>
      <protection locked="0"/>
    </xf>
    <xf numFmtId="3" fontId="48" fillId="0" borderId="0" xfId="0" applyNumberFormat="1" applyFont="1" applyAlignment="1">
      <alignment/>
    </xf>
    <xf numFmtId="3" fontId="47" fillId="56" borderId="24" xfId="0" applyNumberFormat="1" applyFont="1" applyFill="1" applyBorder="1" applyAlignment="1">
      <alignment horizontal="right" vertical="center"/>
    </xf>
    <xf numFmtId="0" fontId="19" fillId="50" borderId="24" xfId="0" applyFont="1" applyFill="1" applyBorder="1" applyAlignment="1" applyProtection="1">
      <alignment horizontal="center" vertical="center"/>
      <protection locked="0"/>
    </xf>
    <xf numFmtId="0" fontId="48" fillId="0" borderId="87" xfId="95" applyFont="1" applyFill="1" applyBorder="1" applyAlignment="1">
      <alignment vertical="center" wrapText="1"/>
      <protection/>
    </xf>
    <xf numFmtId="0" fontId="48" fillId="0" borderId="88" xfId="95" applyFont="1" applyFill="1" applyBorder="1" applyAlignment="1">
      <alignment vertical="center" wrapText="1"/>
      <protection/>
    </xf>
    <xf numFmtId="0" fontId="48" fillId="0" borderId="125" xfId="95" applyFont="1" applyFill="1" applyBorder="1" applyAlignment="1">
      <alignment vertical="center" wrapText="1"/>
      <protection/>
    </xf>
    <xf numFmtId="0" fontId="44" fillId="0" borderId="40" xfId="95" applyFont="1" applyFill="1" applyBorder="1" applyAlignment="1">
      <alignment horizontal="center" vertical="center" wrapText="1"/>
      <protection/>
    </xf>
    <xf numFmtId="0" fontId="19" fillId="50" borderId="40" xfId="0" applyFont="1" applyFill="1" applyBorder="1" applyAlignment="1" applyProtection="1">
      <alignment horizontal="center" vertical="center"/>
      <protection locked="0"/>
    </xf>
    <xf numFmtId="0" fontId="54" fillId="0" borderId="34" xfId="95" applyFont="1" applyFill="1" applyBorder="1" applyAlignment="1">
      <alignment horizontal="center" vertical="center"/>
      <protection/>
    </xf>
    <xf numFmtId="0" fontId="54" fillId="0" borderId="53" xfId="95" applyFont="1" applyFill="1" applyBorder="1" applyAlignment="1">
      <alignment horizontal="center" vertical="center"/>
      <protection/>
    </xf>
    <xf numFmtId="0" fontId="54" fillId="0" borderId="126" xfId="95" applyFont="1" applyFill="1" applyBorder="1" applyAlignment="1">
      <alignment horizontal="center" vertical="center"/>
      <protection/>
    </xf>
    <xf numFmtId="0" fontId="19" fillId="50" borderId="42" xfId="0" applyFont="1" applyFill="1" applyBorder="1" applyAlignment="1">
      <alignment horizontal="center" vertical="center"/>
    </xf>
    <xf numFmtId="3" fontId="47" fillId="56" borderId="25" xfId="0" applyNumberFormat="1" applyFont="1" applyFill="1" applyBorder="1" applyAlignment="1">
      <alignment horizontal="right" vertical="center"/>
    </xf>
    <xf numFmtId="3" fontId="48" fillId="45" borderId="34" xfId="0" applyNumberFormat="1" applyFont="1" applyFill="1" applyBorder="1" applyAlignment="1">
      <alignment horizontal="right" vertical="center"/>
    </xf>
    <xf numFmtId="3" fontId="53" fillId="0" borderId="34" xfId="0" applyNumberFormat="1" applyFont="1" applyFill="1" applyBorder="1" applyAlignment="1">
      <alignment horizontal="right" vertical="center"/>
    </xf>
    <xf numFmtId="3" fontId="53" fillId="0" borderId="53" xfId="0" applyNumberFormat="1" applyFont="1" applyFill="1" applyBorder="1" applyAlignment="1">
      <alignment horizontal="right" vertical="center"/>
    </xf>
    <xf numFmtId="0" fontId="47" fillId="0" borderId="23" xfId="0" applyFont="1" applyFill="1" applyBorder="1" applyAlignment="1">
      <alignment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3" fontId="53" fillId="0" borderId="35" xfId="0" applyNumberFormat="1" applyFont="1" applyFill="1" applyBorder="1" applyAlignment="1">
      <alignment horizontal="right" vertical="center"/>
    </xf>
    <xf numFmtId="0" fontId="48" fillId="45" borderId="31" xfId="0" applyFont="1" applyFill="1" applyBorder="1" applyAlignment="1" applyProtection="1">
      <alignment horizontal="center" vertical="center"/>
      <protection locked="0"/>
    </xf>
    <xf numFmtId="0" fontId="48" fillId="0" borderId="86" xfId="95" applyFont="1" applyFill="1" applyBorder="1" applyAlignment="1">
      <alignment vertical="center" wrapText="1"/>
      <protection/>
    </xf>
    <xf numFmtId="0" fontId="54" fillId="0" borderId="35" xfId="95" applyFont="1" applyFill="1" applyBorder="1" applyAlignment="1">
      <alignment horizontal="center" vertical="center"/>
      <protection/>
    </xf>
    <xf numFmtId="0" fontId="47" fillId="60" borderId="48" xfId="0" applyFont="1" applyFill="1" applyBorder="1" applyAlignment="1">
      <alignment horizontal="center" vertical="center"/>
    </xf>
    <xf numFmtId="0" fontId="47" fillId="60" borderId="48" xfId="95" applyFont="1" applyFill="1" applyBorder="1" applyAlignment="1">
      <alignment horizontal="center" vertical="center"/>
      <protection/>
    </xf>
    <xf numFmtId="3" fontId="47" fillId="60" borderId="75" xfId="95" applyNumberFormat="1" applyFont="1" applyFill="1" applyBorder="1" applyAlignment="1" quotePrefix="1">
      <alignment vertical="center"/>
      <protection/>
    </xf>
    <xf numFmtId="3" fontId="43" fillId="60" borderId="48" xfId="0" applyNumberFormat="1" applyFont="1" applyFill="1" applyBorder="1" applyAlignment="1">
      <alignment horizontal="right" vertical="center"/>
    </xf>
    <xf numFmtId="3" fontId="47" fillId="60" borderId="63" xfId="0" applyNumberFormat="1" applyFont="1" applyFill="1" applyBorder="1" applyAlignment="1">
      <alignment horizontal="right" vertical="center"/>
    </xf>
    <xf numFmtId="0" fontId="47" fillId="60" borderId="24" xfId="0" applyFont="1" applyFill="1" applyBorder="1" applyAlignment="1">
      <alignment horizontal="center" vertical="center"/>
    </xf>
    <xf numFmtId="0" fontId="47" fillId="60" borderId="24" xfId="95" applyFont="1" applyFill="1" applyBorder="1" applyAlignment="1">
      <alignment horizontal="center" vertical="center"/>
      <protection/>
    </xf>
    <xf numFmtId="3" fontId="47" fillId="60" borderId="24" xfId="95" applyNumberFormat="1" applyFont="1" applyFill="1" applyBorder="1" applyAlignment="1" quotePrefix="1">
      <alignment vertical="center"/>
      <protection/>
    </xf>
    <xf numFmtId="3" fontId="47" fillId="60" borderId="39" xfId="95" applyNumberFormat="1" applyFont="1" applyFill="1" applyBorder="1" applyAlignment="1" quotePrefix="1">
      <alignment vertical="center"/>
      <protection/>
    </xf>
    <xf numFmtId="3" fontId="48" fillId="45" borderId="68" xfId="0" applyNumberFormat="1" applyFont="1" applyFill="1" applyBorder="1" applyAlignment="1">
      <alignment horizontal="right" vertical="center"/>
    </xf>
    <xf numFmtId="3" fontId="48" fillId="45" borderId="120" xfId="0" applyNumberFormat="1" applyFont="1" applyFill="1" applyBorder="1" applyAlignment="1">
      <alignment horizontal="right" vertical="center"/>
    </xf>
    <xf numFmtId="0" fontId="47" fillId="56" borderId="24" xfId="0" applyFont="1" applyFill="1" applyBorder="1" applyAlignment="1" applyProtection="1">
      <alignment horizontal="center" vertical="center"/>
      <protection locked="0"/>
    </xf>
    <xf numFmtId="0" fontId="48" fillId="45" borderId="127" xfId="0" applyFont="1" applyFill="1" applyBorder="1" applyAlignment="1" applyProtection="1">
      <alignment horizontal="center" vertical="center"/>
      <protection locked="0"/>
    </xf>
    <xf numFmtId="3" fontId="54" fillId="0" borderId="24" xfId="95" applyNumberFormat="1" applyFont="1" applyFill="1" applyBorder="1" applyAlignment="1">
      <alignment vertical="center"/>
      <protection/>
    </xf>
    <xf numFmtId="49" fontId="48" fillId="0" borderId="88" xfId="95" applyNumberFormat="1" applyFont="1" applyFill="1" applyBorder="1" applyAlignment="1">
      <alignment vertical="center" wrapText="1"/>
      <protection/>
    </xf>
    <xf numFmtId="3" fontId="48" fillId="0" borderId="123" xfId="95" applyNumberFormat="1" applyFont="1" applyFill="1" applyBorder="1" applyAlignment="1" quotePrefix="1">
      <alignment vertical="center"/>
      <protection/>
    </xf>
    <xf numFmtId="3" fontId="48" fillId="0" borderId="128" xfId="95" applyNumberFormat="1" applyFont="1" applyFill="1" applyBorder="1" applyAlignment="1" quotePrefix="1">
      <alignment vertical="center"/>
      <protection/>
    </xf>
    <xf numFmtId="3" fontId="48" fillId="0" borderId="124" xfId="95" applyNumberFormat="1" applyFont="1" applyFill="1" applyBorder="1" applyAlignment="1" quotePrefix="1">
      <alignment vertical="center"/>
      <protection/>
    </xf>
    <xf numFmtId="3" fontId="48" fillId="0" borderId="129" xfId="95" applyNumberFormat="1" applyFont="1" applyFill="1" applyBorder="1" applyAlignment="1">
      <alignment vertical="center"/>
      <protection/>
    </xf>
    <xf numFmtId="3" fontId="0" fillId="45" borderId="0" xfId="0" applyNumberFormat="1" applyFont="1" applyFill="1" applyAlignment="1">
      <alignment/>
    </xf>
    <xf numFmtId="0" fontId="48" fillId="45" borderId="76" xfId="0" applyFont="1" applyFill="1" applyBorder="1" applyAlignment="1" applyProtection="1">
      <alignment horizontal="center" vertical="center"/>
      <protection locked="0"/>
    </xf>
    <xf numFmtId="3" fontId="53" fillId="0" borderId="49" xfId="0" applyNumberFormat="1" applyFont="1" applyFill="1" applyBorder="1" applyAlignment="1">
      <alignment horizontal="right" vertical="center"/>
    </xf>
    <xf numFmtId="3" fontId="48" fillId="45" borderId="55" xfId="0" applyNumberFormat="1" applyFont="1" applyFill="1" applyBorder="1" applyAlignment="1">
      <alignment horizontal="right" vertical="center"/>
    </xf>
    <xf numFmtId="3" fontId="48" fillId="0" borderId="34" xfId="95" applyNumberFormat="1" applyFont="1" applyFill="1" applyBorder="1" applyAlignment="1" quotePrefix="1">
      <alignment vertical="center"/>
      <protection/>
    </xf>
    <xf numFmtId="0" fontId="49" fillId="61" borderId="38" xfId="105" applyFont="1" applyFill="1" applyBorder="1" applyAlignment="1" applyProtection="1">
      <alignment horizontal="center" vertical="center"/>
      <protection hidden="1"/>
    </xf>
    <xf numFmtId="0" fontId="36" fillId="61" borderId="39" xfId="105" applyFont="1" applyFill="1" applyBorder="1" applyAlignment="1" applyProtection="1">
      <alignment vertical="center"/>
      <protection hidden="1"/>
    </xf>
    <xf numFmtId="3" fontId="36" fillId="61" borderId="38" xfId="68" applyNumberFormat="1" applyFont="1" applyFill="1" applyBorder="1" applyAlignment="1" applyProtection="1">
      <alignment horizontal="right" vertical="center" wrapText="1"/>
      <protection hidden="1"/>
    </xf>
    <xf numFmtId="3" fontId="36" fillId="61" borderId="24" xfId="68" applyNumberFormat="1" applyFont="1" applyFill="1" applyBorder="1" applyAlignment="1" applyProtection="1">
      <alignment horizontal="right" vertical="center" wrapText="1"/>
      <protection hidden="1"/>
    </xf>
    <xf numFmtId="3" fontId="36" fillId="61" borderId="24" xfId="68" applyNumberFormat="1" applyFont="1" applyFill="1" applyBorder="1" applyAlignment="1" applyProtection="1">
      <alignment horizontal="right" vertical="center"/>
      <protection hidden="1"/>
    </xf>
    <xf numFmtId="0" fontId="49" fillId="61" borderId="38" xfId="95" applyFont="1" applyFill="1" applyBorder="1" applyAlignment="1" applyProtection="1">
      <alignment horizontal="center" vertical="center"/>
      <protection hidden="1"/>
    </xf>
    <xf numFmtId="0" fontId="49" fillId="61" borderId="39" xfId="95" applyFont="1" applyFill="1" applyBorder="1" applyAlignment="1" applyProtection="1">
      <alignment vertical="center"/>
      <protection hidden="1"/>
    </xf>
    <xf numFmtId="3" fontId="49" fillId="61" borderId="24" xfId="105" applyNumberFormat="1" applyFont="1" applyFill="1" applyBorder="1" applyAlignment="1" applyProtection="1">
      <alignment horizontal="right" vertical="center"/>
      <protection hidden="1"/>
    </xf>
    <xf numFmtId="0" fontId="49" fillId="61" borderId="39" xfId="95" applyFont="1" applyFill="1" applyBorder="1" applyAlignment="1" applyProtection="1">
      <alignment vertical="center"/>
      <protection/>
    </xf>
    <xf numFmtId="3" fontId="49" fillId="61" borderId="24" xfId="68" applyNumberFormat="1" applyFont="1" applyFill="1" applyBorder="1" applyAlignment="1" applyProtection="1">
      <alignment horizontal="right" vertical="center" wrapText="1"/>
      <protection/>
    </xf>
    <xf numFmtId="3" fontId="47" fillId="54" borderId="25" xfId="105" applyNumberFormat="1" applyFont="1" applyFill="1" applyBorder="1" applyAlignment="1" applyProtection="1">
      <alignment horizontal="right" vertical="center"/>
      <protection hidden="1"/>
    </xf>
    <xf numFmtId="3" fontId="47" fillId="0" borderId="128" xfId="105" applyNumberFormat="1" applyFont="1" applyBorder="1" applyAlignment="1" applyProtection="1">
      <alignment horizontal="right" vertical="center"/>
      <protection hidden="1"/>
    </xf>
    <xf numFmtId="3" fontId="48" fillId="0" borderId="123" xfId="105" applyNumberFormat="1" applyFont="1" applyFill="1" applyBorder="1" applyAlignment="1" applyProtection="1">
      <alignment horizontal="right" vertical="center"/>
      <protection hidden="1"/>
    </xf>
    <xf numFmtId="3" fontId="48" fillId="0" borderId="123" xfId="105" applyNumberFormat="1" applyFont="1" applyBorder="1" applyAlignment="1" applyProtection="1">
      <alignment horizontal="right" vertical="center"/>
      <protection hidden="1"/>
    </xf>
    <xf numFmtId="3" fontId="47" fillId="0" borderId="123" xfId="95" applyNumberFormat="1" applyFont="1" applyFill="1" applyBorder="1" applyAlignment="1" applyProtection="1">
      <alignment horizontal="right" vertical="center"/>
      <protection hidden="1"/>
    </xf>
    <xf numFmtId="3" fontId="43" fillId="0" borderId="123" xfId="105" applyNumberFormat="1" applyFont="1" applyBorder="1" applyAlignment="1" applyProtection="1">
      <alignment horizontal="right" vertical="center"/>
      <protection hidden="1"/>
    </xf>
    <xf numFmtId="3" fontId="49" fillId="61" borderId="25" xfId="68" applyNumberFormat="1" applyFont="1" applyFill="1" applyBorder="1" applyAlignment="1" applyProtection="1">
      <alignment horizontal="right" vertical="center" wrapText="1"/>
      <protection/>
    </xf>
    <xf numFmtId="3" fontId="43" fillId="0" borderId="123" xfId="105" applyNumberFormat="1" applyFont="1" applyFill="1" applyBorder="1" applyAlignment="1" applyProtection="1">
      <alignment horizontal="right" vertical="center"/>
      <protection hidden="1"/>
    </xf>
    <xf numFmtId="3" fontId="49" fillId="61" borderId="25" xfId="105" applyNumberFormat="1" applyFont="1" applyFill="1" applyBorder="1" applyAlignment="1" applyProtection="1">
      <alignment horizontal="right" vertical="center"/>
      <protection hidden="1"/>
    </xf>
    <xf numFmtId="3" fontId="47" fillId="0" borderId="128" xfId="95" applyNumberFormat="1" applyFont="1" applyBorder="1" applyAlignment="1">
      <alignment horizontal="right" vertical="center"/>
      <protection/>
    </xf>
    <xf numFmtId="3" fontId="47" fillId="0" borderId="123" xfId="95" applyNumberFormat="1" applyFont="1" applyBorder="1" applyAlignment="1">
      <alignment horizontal="right" vertical="center"/>
      <protection/>
    </xf>
    <xf numFmtId="3" fontId="36" fillId="61" borderId="25" xfId="68" applyNumberFormat="1" applyFont="1" applyFill="1" applyBorder="1" applyAlignment="1" applyProtection="1">
      <alignment horizontal="right" vertical="center"/>
      <protection hidden="1"/>
    </xf>
    <xf numFmtId="3" fontId="36" fillId="53" borderId="25" xfId="105" applyNumberFormat="1" applyFont="1" applyFill="1" applyBorder="1" applyAlignment="1" applyProtection="1">
      <alignment horizontal="right" vertical="center"/>
      <protection hidden="1"/>
    </xf>
    <xf numFmtId="3" fontId="47" fillId="0" borderId="55" xfId="95" applyNumberFormat="1" applyFont="1" applyBorder="1" applyAlignment="1">
      <alignment horizontal="right" vertical="center"/>
      <protection/>
    </xf>
    <xf numFmtId="3" fontId="47" fillId="0" borderId="55" xfId="105" applyNumberFormat="1" applyFont="1" applyFill="1" applyBorder="1" applyAlignment="1" applyProtection="1">
      <alignment horizontal="right" vertical="center"/>
      <protection hidden="1"/>
    </xf>
    <xf numFmtId="3" fontId="47" fillId="0" borderId="55" xfId="95" applyNumberFormat="1" applyFont="1" applyFill="1" applyBorder="1" applyAlignment="1" applyProtection="1">
      <alignment horizontal="right" vertical="center"/>
      <protection hidden="1"/>
    </xf>
    <xf numFmtId="3" fontId="49" fillId="61" borderId="39" xfId="68" applyNumberFormat="1" applyFont="1" applyFill="1" applyBorder="1" applyAlignment="1" applyProtection="1">
      <alignment horizontal="right" vertical="center" wrapText="1"/>
      <protection/>
    </xf>
    <xf numFmtId="3" fontId="47" fillId="28" borderId="39" xfId="105" applyNumberFormat="1" applyFont="1" applyFill="1" applyBorder="1" applyAlignment="1" applyProtection="1">
      <alignment horizontal="right" vertical="center"/>
      <protection hidden="1"/>
    </xf>
    <xf numFmtId="3" fontId="47" fillId="0" borderId="68" xfId="95" applyNumberFormat="1" applyFont="1" applyBorder="1" applyAlignment="1">
      <alignment horizontal="right" vertical="center"/>
      <protection/>
    </xf>
    <xf numFmtId="3" fontId="49" fillId="61" borderId="39" xfId="105" applyNumberFormat="1" applyFont="1" applyFill="1" applyBorder="1" applyAlignment="1" applyProtection="1">
      <alignment horizontal="right" vertical="center"/>
      <protection hidden="1"/>
    </xf>
    <xf numFmtId="3" fontId="47" fillId="59" borderId="39" xfId="63" applyNumberFormat="1" applyFont="1" applyFill="1" applyBorder="1" applyAlignment="1" applyProtection="1">
      <alignment horizontal="right" vertical="center"/>
      <protection/>
    </xf>
    <xf numFmtId="3" fontId="47" fillId="54" borderId="24" xfId="105" applyNumberFormat="1" applyFont="1" applyFill="1" applyBorder="1" applyAlignment="1" applyProtection="1">
      <alignment horizontal="right" vertical="center"/>
      <protection hidden="1"/>
    </xf>
    <xf numFmtId="3" fontId="48" fillId="0" borderId="34" xfId="105" applyNumberFormat="1" applyFont="1" applyFill="1" applyBorder="1" applyAlignment="1" applyProtection="1">
      <alignment horizontal="right" vertical="center"/>
      <protection hidden="1"/>
    </xf>
    <xf numFmtId="3" fontId="48" fillId="0" borderId="49" xfId="105" applyNumberFormat="1" applyFont="1" applyBorder="1" applyAlignment="1" applyProtection="1">
      <alignment horizontal="right" vertical="center"/>
      <protection hidden="1"/>
    </xf>
    <xf numFmtId="3" fontId="47" fillId="0" borderId="38" xfId="95" applyNumberFormat="1" applyFont="1" applyBorder="1" applyAlignment="1">
      <alignment horizontal="right" vertical="center"/>
      <protection/>
    </xf>
    <xf numFmtId="3" fontId="8" fillId="0" borderId="123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8" fillId="49" borderId="124" xfId="0" applyNumberFormat="1" applyFont="1" applyFill="1" applyBorder="1" applyAlignment="1">
      <alignment vertical="center"/>
    </xf>
    <xf numFmtId="3" fontId="8" fillId="0" borderId="75" xfId="0" applyNumberFormat="1" applyFont="1" applyBorder="1" applyAlignment="1">
      <alignment vertical="center"/>
    </xf>
    <xf numFmtId="3" fontId="13" fillId="0" borderId="128" xfId="0" applyNumberFormat="1" applyFont="1" applyBorder="1" applyAlignment="1">
      <alignment vertical="center"/>
    </xf>
    <xf numFmtId="3" fontId="48" fillId="0" borderId="34" xfId="68" applyNumberFormat="1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9" fillId="50" borderId="81" xfId="0" applyFont="1" applyFill="1" applyBorder="1" applyAlignment="1">
      <alignment horizontal="center" vertical="center"/>
    </xf>
    <xf numFmtId="0" fontId="19" fillId="50" borderId="28" xfId="0" applyFont="1" applyFill="1" applyBorder="1" applyAlignment="1">
      <alignment horizontal="center" vertical="center"/>
    </xf>
    <xf numFmtId="0" fontId="19" fillId="5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3" fontId="8" fillId="0" borderId="36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0" borderId="110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130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50" borderId="39" xfId="0" applyFont="1" applyFill="1" applyBorder="1" applyAlignment="1">
      <alignment horizontal="center" vertical="center"/>
    </xf>
    <xf numFmtId="0" fontId="15" fillId="50" borderId="46" xfId="0" applyFont="1" applyFill="1" applyBorder="1" applyAlignment="1">
      <alignment horizontal="center" vertical="center"/>
    </xf>
    <xf numFmtId="0" fontId="16" fillId="49" borderId="43" xfId="0" applyFont="1" applyFill="1" applyBorder="1" applyAlignment="1">
      <alignment vertical="center"/>
    </xf>
    <xf numFmtId="0" fontId="16" fillId="49" borderId="131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5" fillId="0" borderId="53" xfId="0" applyFont="1" applyBorder="1" applyAlignment="1">
      <alignment vertical="center"/>
    </xf>
    <xf numFmtId="3" fontId="8" fillId="49" borderId="83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23" xfId="0" applyNumberFormat="1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3" fontId="13" fillId="0" borderId="12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82" xfId="0" applyNumberFormat="1" applyFont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3" fontId="8" fillId="0" borderId="106" xfId="0" applyNumberFormat="1" applyFont="1" applyBorder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0" fontId="8" fillId="0" borderId="11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45" borderId="105" xfId="0" applyFont="1" applyFill="1" applyBorder="1" applyAlignment="1">
      <alignment vertical="center"/>
    </xf>
    <xf numFmtId="3" fontId="13" fillId="0" borderId="132" xfId="0" applyNumberFormat="1" applyFont="1" applyFill="1" applyBorder="1" applyAlignment="1">
      <alignment vertical="center"/>
    </xf>
    <xf numFmtId="3" fontId="8" fillId="49" borderId="88" xfId="0" applyNumberFormat="1" applyFont="1" applyFill="1" applyBorder="1" applyAlignment="1">
      <alignment vertical="center"/>
    </xf>
    <xf numFmtId="0" fontId="16" fillId="49" borderId="121" xfId="0" applyFont="1" applyFill="1" applyBorder="1" applyAlignment="1">
      <alignment vertical="center"/>
    </xf>
    <xf numFmtId="4" fontId="8" fillId="0" borderId="130" xfId="0" applyNumberFormat="1" applyFont="1" applyBorder="1" applyAlignment="1">
      <alignment vertical="center"/>
    </xf>
    <xf numFmtId="4" fontId="8" fillId="0" borderId="113" xfId="0" applyNumberFormat="1" applyFont="1" applyBorder="1" applyAlignment="1">
      <alignment vertical="center"/>
    </xf>
    <xf numFmtId="4" fontId="8" fillId="0" borderId="110" xfId="0" applyNumberFormat="1" applyFont="1" applyFill="1" applyBorder="1" applyAlignment="1">
      <alignment vertical="center"/>
    </xf>
    <xf numFmtId="0" fontId="18" fillId="0" borderId="114" xfId="0" applyFont="1" applyBorder="1" applyAlignment="1">
      <alignment horizontal="right" vertical="center"/>
    </xf>
    <xf numFmtId="0" fontId="8" fillId="0" borderId="114" xfId="0" applyFont="1" applyFill="1" applyBorder="1" applyAlignment="1">
      <alignment vertical="center"/>
    </xf>
    <xf numFmtId="0" fontId="18" fillId="0" borderId="11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49" borderId="41" xfId="0" applyFont="1" applyFill="1" applyBorder="1" applyAlignment="1">
      <alignment vertical="center"/>
    </xf>
    <xf numFmtId="3" fontId="13" fillId="0" borderId="133" xfId="0" applyNumberFormat="1" applyFont="1" applyBorder="1" applyAlignment="1">
      <alignment vertical="center"/>
    </xf>
    <xf numFmtId="4" fontId="8" fillId="0" borderId="10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0" fillId="49" borderId="111" xfId="0" applyFont="1" applyFill="1" applyBorder="1" applyAlignment="1">
      <alignment vertical="center"/>
    </xf>
    <xf numFmtId="0" fontId="16" fillId="49" borderId="51" xfId="0" applyFont="1" applyFill="1" applyBorder="1" applyAlignment="1">
      <alignment vertical="center"/>
    </xf>
    <xf numFmtId="3" fontId="13" fillId="58" borderId="66" xfId="0" applyNumberFormat="1" applyFont="1" applyFill="1" applyBorder="1" applyAlignment="1">
      <alignment horizontal="right" vertical="center"/>
    </xf>
    <xf numFmtId="3" fontId="13" fillId="58" borderId="65" xfId="0" applyNumberFormat="1" applyFont="1" applyFill="1" applyBorder="1" applyAlignment="1">
      <alignment horizontal="right" vertical="center"/>
    </xf>
    <xf numFmtId="0" fontId="131" fillId="0" borderId="0" xfId="0" applyFont="1" applyBorder="1" applyAlignment="1">
      <alignment vertical="center"/>
    </xf>
    <xf numFmtId="0" fontId="132" fillId="0" borderId="0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134" fillId="0" borderId="0" xfId="0" applyFont="1" applyBorder="1" applyAlignment="1">
      <alignment vertical="center"/>
    </xf>
    <xf numFmtId="0" fontId="135" fillId="0" borderId="0" xfId="0" applyFont="1" applyBorder="1" applyAlignment="1">
      <alignment horizontal="right" vertical="center"/>
    </xf>
    <xf numFmtId="0" fontId="136" fillId="0" borderId="0" xfId="0" applyFont="1" applyBorder="1" applyAlignment="1">
      <alignment horizontal="center" vertical="center" wrapText="1"/>
    </xf>
    <xf numFmtId="3" fontId="137" fillId="0" borderId="0" xfId="0" applyNumberFormat="1" applyFont="1" applyBorder="1" applyAlignment="1">
      <alignment vertical="center"/>
    </xf>
    <xf numFmtId="3" fontId="131" fillId="0" borderId="0" xfId="0" applyNumberFormat="1" applyFont="1" applyBorder="1" applyAlignment="1">
      <alignment vertical="center"/>
    </xf>
    <xf numFmtId="3" fontId="13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43" fillId="0" borderId="36" xfId="68" applyNumberFormat="1" applyFont="1" applyBorder="1" applyAlignment="1" applyProtection="1">
      <alignment horizontal="right" vertical="center"/>
      <protection hidden="1"/>
    </xf>
    <xf numFmtId="3" fontId="48" fillId="0" borderId="53" xfId="68" applyNumberFormat="1" applyFont="1" applyBorder="1" applyAlignment="1" applyProtection="1">
      <alignment horizontal="right" vertical="center"/>
      <protection hidden="1"/>
    </xf>
    <xf numFmtId="3" fontId="48" fillId="0" borderId="55" xfId="95" applyNumberFormat="1" applyFont="1" applyBorder="1" applyAlignment="1">
      <alignment horizontal="right" vertical="center"/>
      <protection/>
    </xf>
    <xf numFmtId="3" fontId="48" fillId="0" borderId="68" xfId="95" applyNumberFormat="1" applyFont="1" applyBorder="1" applyAlignment="1">
      <alignment horizontal="right" vertical="center"/>
      <protection/>
    </xf>
    <xf numFmtId="3" fontId="47" fillId="0" borderId="48" xfId="105" applyNumberFormat="1" applyFont="1" applyBorder="1" applyAlignment="1" applyProtection="1">
      <alignment horizontal="right" vertical="center"/>
      <protection hidden="1"/>
    </xf>
    <xf numFmtId="3" fontId="48" fillId="0" borderId="126" xfId="105" applyNumberFormat="1" applyFont="1" applyBorder="1" applyAlignment="1" applyProtection="1">
      <alignment horizontal="right" vertical="center"/>
      <protection hidden="1"/>
    </xf>
    <xf numFmtId="3" fontId="43" fillId="0" borderId="48" xfId="105" applyNumberFormat="1" applyFont="1" applyFill="1" applyBorder="1" applyAlignment="1" applyProtection="1">
      <alignment horizontal="right" vertical="center"/>
      <protection hidden="1"/>
    </xf>
    <xf numFmtId="3" fontId="43" fillId="0" borderId="126" xfId="105" applyNumberFormat="1" applyFont="1" applyFill="1" applyBorder="1" applyAlignment="1" applyProtection="1">
      <alignment horizontal="right" vertical="center"/>
      <protection hidden="1"/>
    </xf>
    <xf numFmtId="3" fontId="36" fillId="54" borderId="38" xfId="63" applyNumberFormat="1" applyFont="1" applyFill="1" applyBorder="1" applyAlignment="1" applyProtection="1">
      <alignment horizontal="right" vertical="center"/>
      <protection/>
    </xf>
    <xf numFmtId="3" fontId="36" fillId="54" borderId="39" xfId="63" applyNumberFormat="1" applyFont="1" applyFill="1" applyBorder="1" applyAlignment="1" applyProtection="1">
      <alignment horizontal="right" vertical="center"/>
      <protection/>
    </xf>
    <xf numFmtId="3" fontId="36" fillId="53" borderId="24" xfId="105" applyNumberFormat="1" applyFont="1" applyFill="1" applyBorder="1" applyAlignment="1" applyProtection="1">
      <alignment horizontal="right" vertical="center"/>
      <protection hidden="1"/>
    </xf>
    <xf numFmtId="3" fontId="17" fillId="0" borderId="27" xfId="103" applyNumberFormat="1" applyFont="1" applyFill="1" applyBorder="1" applyAlignment="1">
      <alignment horizontal="right" vertical="center"/>
    </xf>
    <xf numFmtId="3" fontId="17" fillId="0" borderId="30" xfId="103" applyNumberFormat="1" applyFont="1" applyFill="1" applyBorder="1" applyAlignment="1">
      <alignment horizontal="right" vertical="center"/>
    </xf>
    <xf numFmtId="3" fontId="14" fillId="54" borderId="24" xfId="104" applyNumberFormat="1" applyFont="1" applyFill="1" applyBorder="1" applyAlignment="1">
      <alignment vertical="center"/>
      <protection/>
    </xf>
    <xf numFmtId="3" fontId="17" fillId="0" borderId="74" xfId="104" applyNumberFormat="1" applyFont="1" applyFill="1" applyBorder="1" applyAlignment="1">
      <alignment horizontal="right" vertical="center"/>
      <protection/>
    </xf>
    <xf numFmtId="0" fontId="34" fillId="0" borderId="49" xfId="0" applyFont="1" applyFill="1" applyBorder="1" applyAlignment="1">
      <alignment horizontal="center" vertical="center"/>
    </xf>
    <xf numFmtId="3" fontId="42" fillId="45" borderId="68" xfId="0" applyNumberFormat="1" applyFont="1" applyFill="1" applyBorder="1" applyAlignment="1">
      <alignment horizontal="right" vertical="center"/>
    </xf>
    <xf numFmtId="0" fontId="21" fillId="45" borderId="38" xfId="0" applyFont="1" applyFill="1" applyBorder="1" applyAlignment="1">
      <alignment horizontal="center" vertical="center"/>
    </xf>
    <xf numFmtId="0" fontId="19" fillId="50" borderId="38" xfId="0" applyFont="1" applyFill="1" applyBorder="1" applyAlignment="1" applyProtection="1">
      <alignment horizontal="center" vertical="center"/>
      <protection locked="0"/>
    </xf>
    <xf numFmtId="0" fontId="42" fillId="0" borderId="49" xfId="0" applyFont="1" applyFill="1" applyBorder="1" applyAlignment="1">
      <alignment horizontal="center" vertical="center"/>
    </xf>
    <xf numFmtId="0" fontId="13" fillId="45" borderId="0" xfId="0" applyFont="1" applyFill="1" applyAlignment="1">
      <alignment horizontal="centerContinuous" vertical="center" wrapText="1"/>
    </xf>
    <xf numFmtId="0" fontId="13" fillId="45" borderId="0" xfId="0" applyFont="1" applyFill="1" applyAlignment="1">
      <alignment horizontal="centerContinuous" vertical="center" wrapText="1"/>
    </xf>
    <xf numFmtId="0" fontId="18" fillId="45" borderId="0" xfId="0" applyFont="1" applyFill="1" applyBorder="1" applyAlignment="1" applyProtection="1">
      <alignment horizontal="centerContinuous" vertical="center"/>
      <protection locked="0"/>
    </xf>
    <xf numFmtId="0" fontId="2" fillId="45" borderId="0" xfId="0" applyFont="1" applyFill="1" applyAlignment="1">
      <alignment horizontal="centerContinuous" vertical="center" wrapText="1"/>
    </xf>
    <xf numFmtId="0" fontId="0" fillId="45" borderId="0" xfId="0" applyFill="1" applyAlignment="1">
      <alignment horizontal="centerContinuous" vertical="center"/>
    </xf>
    <xf numFmtId="0" fontId="18" fillId="45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7" fillId="50" borderId="134" xfId="0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2" fillId="54" borderId="24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34" fillId="0" borderId="34" xfId="102" applyNumberFormat="1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2" fillId="57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57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5" fillId="17" borderId="81" xfId="105" applyFont="1" applyFill="1" applyBorder="1" applyAlignment="1" applyProtection="1">
      <alignment horizontal="center" vertical="center" wrapText="1"/>
      <protection hidden="1"/>
    </xf>
    <xf numFmtId="0" fontId="55" fillId="17" borderId="39" xfId="105" applyFont="1" applyFill="1" applyBorder="1" applyAlignment="1" applyProtection="1">
      <alignment horizontal="center" vertical="center" wrapText="1"/>
      <protection hidden="1"/>
    </xf>
    <xf numFmtId="3" fontId="55" fillId="17" borderId="38" xfId="105" applyNumberFormat="1" applyFont="1" applyFill="1" applyBorder="1" applyAlignment="1" applyProtection="1">
      <alignment horizontal="center" vertical="center" wrapText="1"/>
      <protection hidden="1"/>
    </xf>
    <xf numFmtId="3" fontId="55" fillId="17" borderId="24" xfId="105" applyNumberFormat="1" applyFont="1" applyFill="1" applyBorder="1" applyAlignment="1" applyProtection="1">
      <alignment horizontal="center" vertical="center" wrapText="1"/>
      <protection hidden="1"/>
    </xf>
    <xf numFmtId="3" fontId="56" fillId="17" borderId="39" xfId="0" applyNumberFormat="1" applyFont="1" applyFill="1" applyBorder="1" applyAlignment="1">
      <alignment horizontal="center" vertical="center" wrapText="1"/>
    </xf>
    <xf numFmtId="3" fontId="55" fillId="17" borderId="25" xfId="10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47" fillId="54" borderId="24" xfId="105" applyFont="1" applyFill="1" applyBorder="1" applyAlignment="1" applyProtection="1">
      <alignment horizontal="center" vertical="center"/>
      <protection hidden="1"/>
    </xf>
    <xf numFmtId="0" fontId="49" fillId="61" borderId="24" xfId="105" applyFont="1" applyFill="1" applyBorder="1" applyAlignment="1" applyProtection="1">
      <alignment horizontal="center" vertical="center"/>
      <protection hidden="1"/>
    </xf>
    <xf numFmtId="0" fontId="34" fillId="0" borderId="49" xfId="0" applyFont="1" applyFill="1" applyBorder="1" applyAlignment="1">
      <alignment vertical="center"/>
    </xf>
    <xf numFmtId="3" fontId="47" fillId="0" borderId="25" xfId="105" applyNumberFormat="1" applyFont="1" applyFill="1" applyBorder="1" applyAlignment="1" applyProtection="1">
      <alignment horizontal="center" vertical="center" wrapText="1"/>
      <protection hidden="1"/>
    </xf>
    <xf numFmtId="3" fontId="14" fillId="45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48" fillId="0" borderId="115" xfId="105" applyFont="1" applyBorder="1" applyAlignment="1" applyProtection="1">
      <alignment vertical="center"/>
      <protection hidden="1"/>
    </xf>
    <xf numFmtId="3" fontId="48" fillId="0" borderId="116" xfId="105" applyNumberFormat="1" applyFont="1" applyBorder="1" applyAlignment="1" applyProtection="1">
      <alignment horizontal="right" vertical="center"/>
      <protection hidden="1"/>
    </xf>
    <xf numFmtId="0" fontId="48" fillId="0" borderId="67" xfId="95" applyFont="1" applyBorder="1" applyAlignment="1">
      <alignment vertical="center"/>
      <protection/>
    </xf>
    <xf numFmtId="3" fontId="48" fillId="0" borderId="119" xfId="105" applyNumberFormat="1" applyFont="1" applyBorder="1" applyAlignment="1" applyProtection="1">
      <alignment horizontal="right" vertical="center"/>
      <protection hidden="1"/>
    </xf>
    <xf numFmtId="3" fontId="48" fillId="0" borderId="53" xfId="105" applyNumberFormat="1" applyFont="1" applyBorder="1" applyAlignment="1" applyProtection="1">
      <alignment horizontal="right" vertical="center"/>
      <protection hidden="1"/>
    </xf>
    <xf numFmtId="3" fontId="47" fillId="0" borderId="63" xfId="105" applyNumberFormat="1" applyFont="1" applyBorder="1" applyAlignment="1" applyProtection="1">
      <alignment horizontal="right" vertical="center"/>
      <protection hidden="1"/>
    </xf>
    <xf numFmtId="3" fontId="47" fillId="0" borderId="68" xfId="105" applyNumberFormat="1" applyFont="1" applyBorder="1" applyAlignment="1" applyProtection="1">
      <alignment horizontal="right" vertical="center"/>
      <protection hidden="1"/>
    </xf>
    <xf numFmtId="3" fontId="53" fillId="54" borderId="38" xfId="63" applyNumberFormat="1" applyFont="1" applyFill="1" applyBorder="1" applyAlignment="1" applyProtection="1">
      <alignment horizontal="right" vertical="center"/>
      <protection/>
    </xf>
    <xf numFmtId="3" fontId="47" fillId="0" borderId="24" xfId="95" applyNumberFormat="1" applyFont="1" applyBorder="1" applyAlignment="1">
      <alignment horizontal="right" vertical="center"/>
      <protection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34" fillId="0" borderId="55" xfId="0" applyNumberFormat="1" applyFont="1" applyFill="1" applyBorder="1" applyAlignment="1">
      <alignment horizontal="right" vertical="center"/>
    </xf>
    <xf numFmtId="3" fontId="43" fillId="0" borderId="37" xfId="95" applyNumberFormat="1" applyFont="1" applyBorder="1" applyAlignment="1">
      <alignment horizontal="right" vertical="center"/>
      <protection/>
    </xf>
    <xf numFmtId="3" fontId="34" fillId="0" borderId="0" xfId="0" applyNumberFormat="1" applyFont="1" applyAlignment="1">
      <alignment vertical="center"/>
    </xf>
    <xf numFmtId="3" fontId="48" fillId="0" borderId="126" xfId="95" applyNumberFormat="1" applyFont="1" applyFill="1" applyBorder="1" applyAlignment="1">
      <alignment vertical="center"/>
      <protection/>
    </xf>
    <xf numFmtId="3" fontId="18" fillId="0" borderId="35" xfId="101" applyNumberFormat="1" applyFont="1" applyFill="1" applyBorder="1" applyAlignment="1">
      <alignment horizontal="right" vertical="center"/>
    </xf>
    <xf numFmtId="3" fontId="18" fillId="0" borderId="35" xfId="101" applyNumberFormat="1" applyFont="1" applyFill="1" applyBorder="1" applyAlignment="1">
      <alignment horizontal="right" vertical="center"/>
    </xf>
    <xf numFmtId="3" fontId="18" fillId="0" borderId="49" xfId="101" applyNumberFormat="1" applyFont="1" applyFill="1" applyBorder="1" applyAlignment="1">
      <alignment horizontal="right" vertical="center"/>
    </xf>
    <xf numFmtId="3" fontId="34" fillId="0" borderId="35" xfId="102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47" fillId="0" borderId="50" xfId="105" applyFont="1" applyBorder="1" applyAlignment="1" applyProtection="1">
      <alignment horizontal="center" vertical="center"/>
      <protection hidden="1"/>
    </xf>
    <xf numFmtId="0" fontId="48" fillId="0" borderId="35" xfId="105" applyFont="1" applyBorder="1" applyAlignment="1" applyProtection="1">
      <alignment horizontal="left" vertical="center"/>
      <protection hidden="1"/>
    </xf>
    <xf numFmtId="3" fontId="43" fillId="0" borderId="35" xfId="68" applyNumberFormat="1" applyFont="1" applyBorder="1" applyAlignment="1" applyProtection="1">
      <alignment horizontal="right" vertical="center"/>
      <protection hidden="1"/>
    </xf>
    <xf numFmtId="0" fontId="47" fillId="0" borderId="24" xfId="95" applyFont="1" applyBorder="1" applyAlignment="1">
      <alignment vertical="center"/>
      <protection/>
    </xf>
    <xf numFmtId="4" fontId="15" fillId="0" borderId="0" xfId="104" applyNumberFormat="1" applyFont="1" applyFill="1" applyBorder="1" applyAlignment="1">
      <alignment horizontal="center" vertical="center"/>
      <protection/>
    </xf>
    <xf numFmtId="0" fontId="7" fillId="0" borderId="0" xfId="104" applyFont="1" applyFill="1" applyAlignment="1">
      <alignment horizontal="center" vertical="center"/>
      <protection/>
    </xf>
    <xf numFmtId="0" fontId="47" fillId="0" borderId="52" xfId="95" applyFont="1" applyFill="1" applyBorder="1" applyAlignment="1" applyProtection="1">
      <alignment horizontal="center" vertical="center"/>
      <protection hidden="1"/>
    </xf>
    <xf numFmtId="3" fontId="47" fillId="0" borderId="124" xfId="95" applyNumberFormat="1" applyFont="1" applyBorder="1" applyAlignment="1">
      <alignment horizontal="right" vertical="center"/>
      <protection/>
    </xf>
    <xf numFmtId="3" fontId="47" fillId="0" borderId="67" xfId="95" applyNumberFormat="1" applyFont="1" applyBorder="1" applyAlignment="1">
      <alignment horizontal="right" vertical="center"/>
      <protection/>
    </xf>
    <xf numFmtId="0" fontId="47" fillId="54" borderId="115" xfId="95" applyFont="1" applyFill="1" applyBorder="1" applyAlignment="1" applyProtection="1">
      <alignment horizontal="center" vertical="center"/>
      <protection hidden="1"/>
    </xf>
    <xf numFmtId="0" fontId="47" fillId="54" borderId="135" xfId="95" applyFont="1" applyFill="1" applyBorder="1" applyAlignment="1">
      <alignment vertical="center"/>
      <protection/>
    </xf>
    <xf numFmtId="3" fontId="47" fillId="54" borderId="0" xfId="95" applyNumberFormat="1" applyFont="1" applyFill="1" applyBorder="1" applyAlignment="1">
      <alignment horizontal="right" vertical="center"/>
      <protection/>
    </xf>
    <xf numFmtId="3" fontId="47" fillId="54" borderId="49" xfId="95" applyNumberFormat="1" applyFont="1" applyFill="1" applyBorder="1" applyAlignment="1">
      <alignment horizontal="right" vertical="center"/>
      <protection/>
    </xf>
    <xf numFmtId="3" fontId="47" fillId="54" borderId="68" xfId="95" applyNumberFormat="1" applyFont="1" applyFill="1" applyBorder="1" applyAlignment="1">
      <alignment horizontal="right" vertical="center"/>
      <protection/>
    </xf>
    <xf numFmtId="0" fontId="49" fillId="61" borderId="24" xfId="95" applyFont="1" applyFill="1" applyBorder="1" applyAlignment="1" applyProtection="1">
      <alignment horizontal="center" vertical="center"/>
      <protection/>
    </xf>
    <xf numFmtId="0" fontId="49" fillId="61" borderId="24" xfId="95" applyFont="1" applyFill="1" applyBorder="1" applyAlignment="1" applyProtection="1">
      <alignment horizontal="center" vertical="center"/>
      <protection hidden="1"/>
    </xf>
    <xf numFmtId="0" fontId="48" fillId="0" borderId="30" xfId="105" applyFont="1" applyBorder="1" applyAlignment="1" applyProtection="1">
      <alignment horizontal="left" vertical="center"/>
      <protection hidden="1"/>
    </xf>
    <xf numFmtId="0" fontId="36" fillId="61" borderId="24" xfId="105" applyFont="1" applyFill="1" applyBorder="1" applyAlignment="1" applyProtection="1">
      <alignment vertical="center"/>
      <protection hidden="1"/>
    </xf>
    <xf numFmtId="0" fontId="43" fillId="0" borderId="87" xfId="105" applyFont="1" applyBorder="1" applyAlignment="1" applyProtection="1">
      <alignment horizontal="left" vertical="center"/>
      <protection hidden="1"/>
    </xf>
    <xf numFmtId="0" fontId="43" fillId="0" borderId="123" xfId="105" applyFont="1" applyBorder="1" applyAlignment="1" applyProtection="1">
      <alignment horizontal="left" vertical="center"/>
      <protection hidden="1"/>
    </xf>
    <xf numFmtId="3" fontId="12" fillId="53" borderId="40" xfId="102" applyNumberFormat="1" applyFont="1" applyFill="1" applyBorder="1" applyAlignment="1">
      <alignment vertical="center"/>
    </xf>
    <xf numFmtId="3" fontId="12" fillId="57" borderId="136" xfId="0" applyNumberFormat="1" applyFont="1" applyFill="1" applyBorder="1" applyAlignment="1">
      <alignment vertical="center"/>
    </xf>
    <xf numFmtId="3" fontId="12" fillId="53" borderId="43" xfId="102" applyNumberFormat="1" applyFont="1" applyFill="1" applyBorder="1" applyAlignment="1">
      <alignment vertical="center"/>
    </xf>
    <xf numFmtId="3" fontId="42" fillId="59" borderId="39" xfId="0" applyNumberFormat="1" applyFont="1" applyFill="1" applyBorder="1" applyAlignment="1">
      <alignment horizontal="right" vertical="center"/>
    </xf>
    <xf numFmtId="0" fontId="42" fillId="62" borderId="24" xfId="0" applyFont="1" applyFill="1" applyBorder="1" applyAlignment="1">
      <alignment horizontal="center" vertical="center"/>
    </xf>
    <xf numFmtId="3" fontId="34" fillId="45" borderId="34" xfId="0" applyNumberFormat="1" applyFont="1" applyFill="1" applyBorder="1" applyAlignment="1">
      <alignment horizontal="right" vertical="center"/>
    </xf>
    <xf numFmtId="3" fontId="42" fillId="62" borderId="24" xfId="109" applyNumberFormat="1" applyFont="1" applyFill="1" applyBorder="1" applyAlignment="1">
      <alignment vertical="center"/>
      <protection/>
    </xf>
    <xf numFmtId="3" fontId="34" fillId="0" borderId="48" xfId="0" applyNumberFormat="1" applyFont="1" applyFill="1" applyBorder="1" applyAlignment="1">
      <alignment horizontal="right" vertical="center"/>
    </xf>
    <xf numFmtId="3" fontId="42" fillId="0" borderId="48" xfId="0" applyNumberFormat="1" applyFont="1" applyFill="1" applyBorder="1" applyAlignment="1">
      <alignment horizontal="right" vertical="center"/>
    </xf>
    <xf numFmtId="0" fontId="47" fillId="0" borderId="55" xfId="95" applyFont="1" applyFill="1" applyBorder="1" applyAlignment="1">
      <alignment vertical="center"/>
      <protection/>
    </xf>
    <xf numFmtId="0" fontId="47" fillId="0" borderId="67" xfId="95" applyFont="1" applyFill="1" applyBorder="1" applyAlignment="1">
      <alignment vertical="center"/>
      <protection/>
    </xf>
    <xf numFmtId="0" fontId="47" fillId="0" borderId="63" xfId="95" applyFont="1" applyFill="1" applyBorder="1" applyAlignment="1">
      <alignment vertical="center"/>
      <protection/>
    </xf>
    <xf numFmtId="0" fontId="48" fillId="0" borderId="55" xfId="95" applyFont="1" applyFill="1" applyBorder="1" applyAlignment="1">
      <alignment vertical="center"/>
      <protection/>
    </xf>
    <xf numFmtId="0" fontId="48" fillId="0" borderId="67" xfId="95" applyFont="1" applyFill="1" applyBorder="1" applyAlignment="1">
      <alignment vertical="center"/>
      <protection/>
    </xf>
    <xf numFmtId="0" fontId="47" fillId="0" borderId="43" xfId="95" applyFont="1" applyFill="1" applyBorder="1" applyAlignment="1">
      <alignment vertical="center"/>
      <protection/>
    </xf>
    <xf numFmtId="0" fontId="47" fillId="0" borderId="111" xfId="105" applyFont="1" applyFill="1" applyBorder="1" applyAlignment="1" applyProtection="1">
      <alignment horizontal="left" vertical="center"/>
      <protection hidden="1"/>
    </xf>
    <xf numFmtId="3" fontId="8" fillId="0" borderId="3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49" borderId="119" xfId="0" applyNumberFormat="1" applyFont="1" applyFill="1" applyBorder="1" applyAlignment="1">
      <alignment vertical="center"/>
    </xf>
    <xf numFmtId="3" fontId="13" fillId="0" borderId="119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57" borderId="98" xfId="0" applyNumberFormat="1" applyFont="1" applyFill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57" borderId="94" xfId="0" applyNumberFormat="1" applyFont="1" applyFill="1" applyBorder="1" applyAlignment="1">
      <alignment vertical="center"/>
    </xf>
    <xf numFmtId="3" fontId="13" fillId="49" borderId="67" xfId="0" applyNumberFormat="1" applyFont="1" applyFill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57" borderId="38" xfId="0" applyNumberFormat="1" applyFont="1" applyFill="1" applyBorder="1" applyAlignment="1">
      <alignment vertical="center"/>
    </xf>
    <xf numFmtId="3" fontId="13" fillId="0" borderId="109" xfId="0" applyNumberFormat="1" applyFont="1" applyBorder="1" applyAlignment="1">
      <alignment vertical="center"/>
    </xf>
    <xf numFmtId="3" fontId="13" fillId="57" borderId="28" xfId="0" applyNumberFormat="1" applyFont="1" applyFill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49" borderId="50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49" borderId="120" xfId="0" applyNumberFormat="1" applyFont="1" applyFill="1" applyBorder="1" applyAlignment="1">
      <alignment vertical="center"/>
    </xf>
    <xf numFmtId="0" fontId="8" fillId="49" borderId="76" xfId="0" applyFont="1" applyFill="1" applyBorder="1" applyAlignment="1">
      <alignment vertical="center"/>
    </xf>
    <xf numFmtId="0" fontId="8" fillId="49" borderId="52" xfId="0" applyFont="1" applyFill="1" applyBorder="1" applyAlignment="1">
      <alignment vertical="center"/>
    </xf>
    <xf numFmtId="0" fontId="8" fillId="49" borderId="107" xfId="0" applyFont="1" applyFill="1" applyBorder="1" applyAlignment="1">
      <alignment vertical="center"/>
    </xf>
    <xf numFmtId="0" fontId="8" fillId="49" borderId="108" xfId="0" applyFont="1" applyFill="1" applyBorder="1" applyAlignment="1">
      <alignment vertical="center"/>
    </xf>
    <xf numFmtId="0" fontId="8" fillId="49" borderId="109" xfId="0" applyFont="1" applyFill="1" applyBorder="1" applyAlignment="1">
      <alignment vertical="center"/>
    </xf>
    <xf numFmtId="0" fontId="8" fillId="49" borderId="4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13" fillId="0" borderId="57" xfId="0" applyNumberFormat="1" applyFont="1" applyFill="1" applyBorder="1" applyAlignment="1">
      <alignment vertical="center"/>
    </xf>
    <xf numFmtId="3" fontId="8" fillId="49" borderId="67" xfId="0" applyNumberFormat="1" applyFont="1" applyFill="1" applyBorder="1" applyAlignment="1">
      <alignment vertical="center"/>
    </xf>
    <xf numFmtId="3" fontId="13" fillId="50" borderId="122" xfId="0" applyNumberFormat="1" applyFont="1" applyFill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50" borderId="98" xfId="0" applyNumberFormat="1" applyFont="1" applyFill="1" applyBorder="1" applyAlignment="1">
      <alignment vertical="center"/>
    </xf>
    <xf numFmtId="3" fontId="13" fillId="50" borderId="94" xfId="0" applyNumberFormat="1" applyFont="1" applyFill="1" applyBorder="1" applyAlignment="1">
      <alignment vertical="center"/>
    </xf>
    <xf numFmtId="0" fontId="8" fillId="49" borderId="42" xfId="0" applyFont="1" applyFill="1" applyBorder="1" applyAlignment="1">
      <alignment vertical="center"/>
    </xf>
    <xf numFmtId="0" fontId="8" fillId="49" borderId="28" xfId="0" applyFont="1" applyFill="1" applyBorder="1" applyAlignment="1">
      <alignment vertical="center"/>
    </xf>
    <xf numFmtId="0" fontId="8" fillId="49" borderId="43" xfId="0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83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13" fillId="0" borderId="8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13" fillId="50" borderId="39" xfId="0" applyNumberFormat="1" applyFont="1" applyFill="1" applyBorder="1" applyAlignment="1">
      <alignment vertical="center"/>
    </xf>
    <xf numFmtId="3" fontId="13" fillId="0" borderId="6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19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13" fillId="50" borderId="38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50" borderId="28" xfId="0" applyNumberFormat="1" applyFont="1" applyFill="1" applyBorder="1" applyAlignment="1">
      <alignment vertical="center"/>
    </xf>
    <xf numFmtId="3" fontId="13" fillId="0" borderId="133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6" fillId="49" borderId="28" xfId="0" applyFont="1" applyFill="1" applyBorder="1" applyAlignment="1">
      <alignment vertical="center"/>
    </xf>
    <xf numFmtId="3" fontId="13" fillId="0" borderId="89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3" fontId="8" fillId="0" borderId="124" xfId="0" applyNumberFormat="1" applyFont="1" applyFill="1" applyBorder="1" applyAlignment="1">
      <alignment vertical="center"/>
    </xf>
    <xf numFmtId="3" fontId="13" fillId="0" borderId="98" xfId="0" applyNumberFormat="1" applyFont="1" applyBorder="1" applyAlignment="1">
      <alignment vertical="center"/>
    </xf>
    <xf numFmtId="4" fontId="8" fillId="0" borderId="104" xfId="0" applyNumberFormat="1" applyFont="1" applyBorder="1" applyAlignment="1">
      <alignment vertical="center"/>
    </xf>
    <xf numFmtId="4" fontId="8" fillId="0" borderId="97" xfId="0" applyNumberFormat="1" applyFont="1" applyBorder="1" applyAlignment="1">
      <alignment vertical="center"/>
    </xf>
    <xf numFmtId="3" fontId="13" fillId="50" borderId="120" xfId="0" applyNumberFormat="1" applyFont="1" applyFill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49" borderId="0" xfId="0" applyNumberFormat="1" applyFont="1" applyFill="1" applyBorder="1" applyAlignment="1">
      <alignment vertical="center"/>
    </xf>
    <xf numFmtId="3" fontId="8" fillId="0" borderId="120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98" xfId="0" applyNumberFormat="1" applyFont="1" applyBorder="1" applyAlignment="1">
      <alignment vertical="center"/>
    </xf>
    <xf numFmtId="3" fontId="13" fillId="0" borderId="124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13" fillId="0" borderId="98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48" fillId="0" borderId="24" xfId="95" applyNumberFormat="1" applyFont="1" applyFill="1" applyBorder="1" applyAlignment="1">
      <alignment vertical="center"/>
      <protection/>
    </xf>
    <xf numFmtId="0" fontId="20" fillId="0" borderId="0" xfId="0" applyFont="1" applyFill="1" applyAlignment="1">
      <alignment horizontal="right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17" fillId="0" borderId="55" xfId="0" applyNumberFormat="1" applyFont="1" applyBorder="1" applyAlignment="1">
      <alignment vertical="center"/>
    </xf>
    <xf numFmtId="3" fontId="13" fillId="58" borderId="47" xfId="0" applyNumberFormat="1" applyFont="1" applyFill="1" applyBorder="1" applyAlignment="1">
      <alignment horizontal="right" vertical="center"/>
    </xf>
    <xf numFmtId="3" fontId="14" fillId="54" borderId="122" xfId="104" applyNumberFormat="1" applyFont="1" applyFill="1" applyBorder="1" applyAlignment="1">
      <alignment vertical="center"/>
      <protection/>
    </xf>
    <xf numFmtId="0" fontId="19" fillId="50" borderId="38" xfId="104" applyFont="1" applyFill="1" applyBorder="1" applyAlignment="1">
      <alignment horizontal="center" vertical="center"/>
      <protection/>
    </xf>
    <xf numFmtId="0" fontId="19" fillId="50" borderId="28" xfId="104" applyFont="1" applyFill="1" applyBorder="1" applyAlignment="1">
      <alignment horizontal="center" vertical="center"/>
      <protection/>
    </xf>
    <xf numFmtId="3" fontId="47" fillId="0" borderId="24" xfId="95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8" fillId="0" borderId="123" xfId="105" applyFont="1" applyBorder="1" applyAlignment="1" applyProtection="1">
      <alignment horizontal="left" vertical="center"/>
      <protection hidden="1"/>
    </xf>
    <xf numFmtId="0" fontId="42" fillId="0" borderId="40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vertical="center" wrapText="1"/>
    </xf>
    <xf numFmtId="0" fontId="12" fillId="57" borderId="137" xfId="0" applyFont="1" applyFill="1" applyBorder="1" applyAlignment="1">
      <alignment horizontal="center" vertical="center"/>
    </xf>
    <xf numFmtId="3" fontId="42" fillId="57" borderId="136" xfId="0" applyNumberFormat="1" applyFont="1" applyFill="1" applyBorder="1" applyAlignment="1">
      <alignment horizontal="right" vertical="center"/>
    </xf>
    <xf numFmtId="3" fontId="17" fillId="50" borderId="44" xfId="0" applyNumberFormat="1" applyFont="1" applyFill="1" applyBorder="1" applyAlignment="1">
      <alignment horizontal="right" vertical="center"/>
    </xf>
    <xf numFmtId="3" fontId="17" fillId="50" borderId="22" xfId="0" applyNumberFormat="1" applyFont="1" applyFill="1" applyBorder="1" applyAlignment="1">
      <alignment vertical="center"/>
    </xf>
    <xf numFmtId="0" fontId="17" fillId="50" borderId="63" xfId="0" applyFont="1" applyFill="1" applyBorder="1" applyAlignment="1">
      <alignment vertical="center"/>
    </xf>
    <xf numFmtId="3" fontId="14" fillId="57" borderId="38" xfId="0" applyNumberFormat="1" applyFont="1" applyFill="1" applyBorder="1" applyAlignment="1">
      <alignment vertical="center"/>
    </xf>
    <xf numFmtId="3" fontId="48" fillId="0" borderId="36" xfId="68" applyNumberFormat="1" applyFont="1" applyBorder="1" applyAlignment="1" applyProtection="1">
      <alignment horizontal="right" vertical="center"/>
      <protection hidden="1"/>
    </xf>
    <xf numFmtId="3" fontId="48" fillId="0" borderId="126" xfId="68" applyNumberFormat="1" applyFont="1" applyBorder="1" applyAlignment="1" applyProtection="1">
      <alignment horizontal="right" vertical="center"/>
      <protection hidden="1"/>
    </xf>
    <xf numFmtId="0" fontId="2" fillId="57" borderId="1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vertical="center"/>
    </xf>
    <xf numFmtId="3" fontId="131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42" fillId="63" borderId="50" xfId="0" applyFont="1" applyFill="1" applyBorder="1" applyAlignment="1">
      <alignment horizontal="center" vertical="center"/>
    </xf>
    <xf numFmtId="3" fontId="42" fillId="63" borderId="49" xfId="0" applyNumberFormat="1" applyFont="1" applyFill="1" applyBorder="1" applyAlignment="1">
      <alignment horizontal="right" vertical="center"/>
    </xf>
    <xf numFmtId="0" fontId="42" fillId="0" borderId="38" xfId="0" applyFont="1" applyFill="1" applyBorder="1" applyAlignment="1">
      <alignment horizontal="center" vertical="center"/>
    </xf>
    <xf numFmtId="3" fontId="42" fillId="0" borderId="24" xfId="0" applyNumberFormat="1" applyFont="1" applyFill="1" applyBorder="1" applyAlignment="1">
      <alignment horizontal="right" vertical="center"/>
    </xf>
    <xf numFmtId="3" fontId="34" fillId="0" borderId="24" xfId="0" applyNumberFormat="1" applyFont="1" applyFill="1" applyBorder="1" applyAlignment="1">
      <alignment horizontal="right" vertical="center"/>
    </xf>
    <xf numFmtId="0" fontId="48" fillId="0" borderId="26" xfId="105" applyFont="1" applyBorder="1" applyAlignment="1" applyProtection="1">
      <alignment horizontal="center" vertical="top"/>
      <protection hidden="1"/>
    </xf>
    <xf numFmtId="0" fontId="12" fillId="0" borderId="50" xfId="104" applyFont="1" applyFill="1" applyBorder="1" applyAlignment="1">
      <alignment vertical="center"/>
      <protection/>
    </xf>
    <xf numFmtId="3" fontId="17" fillId="0" borderId="26" xfId="103" applyNumberFormat="1" applyFont="1" applyFill="1" applyBorder="1" applyAlignment="1">
      <alignment horizontal="right" vertical="center"/>
    </xf>
    <xf numFmtId="0" fontId="18" fillId="0" borderId="128" xfId="104" applyFont="1" applyFill="1" applyBorder="1" applyAlignment="1">
      <alignment vertical="center"/>
      <protection/>
    </xf>
    <xf numFmtId="0" fontId="19" fillId="50" borderId="25" xfId="0" applyFont="1" applyFill="1" applyBorder="1" applyAlignment="1">
      <alignment horizontal="center" vertical="center"/>
    </xf>
    <xf numFmtId="0" fontId="16" fillId="49" borderId="124" xfId="0" applyFont="1" applyFill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83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13" fillId="0" borderId="120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18" fillId="0" borderId="53" xfId="101" applyNumberFormat="1" applyFont="1" applyFill="1" applyBorder="1" applyAlignment="1">
      <alignment horizontal="right" vertical="center"/>
    </xf>
    <xf numFmtId="0" fontId="42" fillId="0" borderId="41" xfId="0" applyFont="1" applyFill="1" applyBorder="1" applyAlignment="1">
      <alignment vertical="center"/>
    </xf>
    <xf numFmtId="3" fontId="42" fillId="0" borderId="53" xfId="0" applyNumberFormat="1" applyFont="1" applyFill="1" applyBorder="1" applyAlignment="1">
      <alignment horizontal="right" vertical="center"/>
    </xf>
    <xf numFmtId="0" fontId="2" fillId="64" borderId="24" xfId="0" applyFont="1" applyFill="1" applyBorder="1" applyAlignment="1">
      <alignment horizontal="center" vertical="center"/>
    </xf>
    <xf numFmtId="3" fontId="18" fillId="0" borderId="48" xfId="101" applyNumberFormat="1" applyFont="1" applyFill="1" applyBorder="1" applyAlignment="1">
      <alignment horizontal="right" vertical="center"/>
    </xf>
    <xf numFmtId="3" fontId="18" fillId="0" borderId="23" xfId="101" applyNumberFormat="1" applyFont="1" applyFill="1" applyBorder="1" applyAlignment="1">
      <alignment horizontal="right" vertical="center"/>
    </xf>
    <xf numFmtId="3" fontId="18" fillId="0" borderId="48" xfId="101" applyNumberFormat="1" applyFont="1" applyFill="1" applyBorder="1" applyAlignment="1">
      <alignment horizontal="right" vertical="center"/>
    </xf>
    <xf numFmtId="3" fontId="18" fillId="45" borderId="35" xfId="101" applyNumberFormat="1" applyFont="1" applyFill="1" applyBorder="1" applyAlignment="1">
      <alignment horizontal="right" vertical="center"/>
    </xf>
    <xf numFmtId="3" fontId="34" fillId="0" borderId="23" xfId="102" applyNumberFormat="1" applyFont="1" applyFill="1" applyBorder="1" applyAlignment="1">
      <alignment vertical="center"/>
    </xf>
    <xf numFmtId="3" fontId="34" fillId="0" borderId="35" xfId="0" applyNumberFormat="1" applyFont="1" applyFill="1" applyBorder="1" applyAlignment="1">
      <alignment vertical="center"/>
    </xf>
    <xf numFmtId="3" fontId="42" fillId="0" borderId="23" xfId="0" applyNumberFormat="1" applyFont="1" applyFill="1" applyBorder="1" applyAlignment="1">
      <alignment horizontal="right" vertical="center"/>
    </xf>
    <xf numFmtId="3" fontId="18" fillId="0" borderId="35" xfId="0" applyNumberFormat="1" applyFont="1" applyFill="1" applyBorder="1" applyAlignment="1">
      <alignment horizontal="right" vertical="center"/>
    </xf>
    <xf numFmtId="0" fontId="22" fillId="0" borderId="0" xfId="104" applyFont="1" applyFill="1" applyBorder="1" applyAlignment="1">
      <alignment horizontal="center" vertical="center"/>
      <protection/>
    </xf>
    <xf numFmtId="0" fontId="17" fillId="0" borderId="50" xfId="104" applyFont="1" applyFill="1" applyBorder="1" applyAlignment="1">
      <alignment horizontal="left" vertical="center"/>
      <protection/>
    </xf>
    <xf numFmtId="0" fontId="17" fillId="0" borderId="119" xfId="104" applyFont="1" applyFill="1" applyBorder="1" applyAlignment="1">
      <alignment horizontal="left" vertical="center"/>
      <protection/>
    </xf>
    <xf numFmtId="3" fontId="14" fillId="57" borderId="68" xfId="104" applyNumberFormat="1" applyFont="1" applyFill="1" applyBorder="1" applyAlignment="1">
      <alignment horizontal="right" vertical="center"/>
      <protection/>
    </xf>
    <xf numFmtId="3" fontId="14" fillId="57" borderId="55" xfId="104" applyNumberFormat="1" applyFont="1" applyFill="1" applyBorder="1" applyAlignment="1">
      <alignment horizontal="right" vertical="center"/>
      <protection/>
    </xf>
    <xf numFmtId="3" fontId="14" fillId="53" borderId="108" xfId="104" applyNumberFormat="1" applyFont="1" applyFill="1" applyBorder="1" applyAlignment="1">
      <alignment vertical="center"/>
      <protection/>
    </xf>
    <xf numFmtId="3" fontId="14" fillId="53" borderId="131" xfId="104" applyNumberFormat="1" applyFont="1" applyFill="1" applyBorder="1" applyAlignment="1">
      <alignment vertical="center"/>
      <protection/>
    </xf>
    <xf numFmtId="3" fontId="14" fillId="53" borderId="115" xfId="104" applyNumberFormat="1" applyFont="1" applyFill="1" applyBorder="1" applyAlignment="1">
      <alignment horizontal="right" vertical="center"/>
      <protection/>
    </xf>
    <xf numFmtId="3" fontId="14" fillId="53" borderId="122" xfId="104" applyNumberFormat="1" applyFont="1" applyFill="1" applyBorder="1" applyAlignment="1">
      <alignment horizontal="right" vertical="center"/>
      <protection/>
    </xf>
    <xf numFmtId="3" fontId="14" fillId="53" borderId="114" xfId="104" applyNumberFormat="1" applyFont="1" applyFill="1" applyBorder="1" applyAlignment="1">
      <alignment horizontal="right" vertical="center"/>
      <protection/>
    </xf>
    <xf numFmtId="3" fontId="17" fillId="0" borderId="33" xfId="104" applyNumberFormat="1" applyFont="1" applyFill="1" applyBorder="1" applyAlignment="1">
      <alignment horizontal="right" vertical="center"/>
      <protection/>
    </xf>
    <xf numFmtId="3" fontId="17" fillId="0" borderId="22" xfId="104" applyNumberFormat="1" applyFont="1" applyFill="1" applyBorder="1" applyAlignment="1">
      <alignment horizontal="right" vertical="center"/>
      <protection/>
    </xf>
    <xf numFmtId="3" fontId="17" fillId="0" borderId="19" xfId="104" applyNumberFormat="1" applyFont="1" applyFill="1" applyBorder="1" applyAlignment="1">
      <alignment horizontal="right" vertical="center"/>
      <protection/>
    </xf>
    <xf numFmtId="3" fontId="17" fillId="0" borderId="20" xfId="104" applyNumberFormat="1" applyFont="1" applyFill="1" applyBorder="1" applyAlignment="1">
      <alignment horizontal="right" vertical="center"/>
      <protection/>
    </xf>
    <xf numFmtId="0" fontId="17" fillId="0" borderId="87" xfId="103" applyFont="1" applyFill="1" applyBorder="1" applyAlignment="1">
      <alignment vertical="center"/>
    </xf>
    <xf numFmtId="3" fontId="14" fillId="53" borderId="75" xfId="104" applyNumberFormat="1" applyFont="1" applyFill="1" applyBorder="1" applyAlignment="1">
      <alignment horizontal="right" vertical="center"/>
      <protection/>
    </xf>
    <xf numFmtId="3" fontId="14" fillId="0" borderId="123" xfId="104" applyNumberFormat="1" applyFont="1" applyFill="1" applyBorder="1" applyAlignment="1">
      <alignment horizontal="right" vertical="center"/>
      <protection/>
    </xf>
    <xf numFmtId="3" fontId="17" fillId="53" borderId="48" xfId="104" applyNumberFormat="1" applyFont="1" applyFill="1" applyBorder="1" applyAlignment="1">
      <alignment horizontal="right" vertical="center"/>
      <protection/>
    </xf>
    <xf numFmtId="3" fontId="13" fillId="0" borderId="29" xfId="0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13" fillId="0" borderId="83" xfId="0" applyNumberFormat="1" applyFont="1" applyFill="1" applyBorder="1" applyAlignment="1">
      <alignment vertical="center"/>
    </xf>
    <xf numFmtId="3" fontId="18" fillId="0" borderId="34" xfId="101" applyNumberFormat="1" applyFont="1" applyFill="1" applyBorder="1" applyAlignment="1">
      <alignment horizontal="right" vertical="center"/>
    </xf>
    <xf numFmtId="3" fontId="42" fillId="54" borderId="23" xfId="0" applyNumberFormat="1" applyFont="1" applyFill="1" applyBorder="1" applyAlignment="1">
      <alignment horizontal="right" vertical="center"/>
    </xf>
    <xf numFmtId="0" fontId="42" fillId="59" borderId="38" xfId="0" applyFont="1" applyFill="1" applyBorder="1" applyAlignment="1">
      <alignment horizontal="center" vertical="center"/>
    </xf>
    <xf numFmtId="3" fontId="42" fillId="59" borderId="24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0" fontId="42" fillId="53" borderId="23" xfId="0" applyFont="1" applyFill="1" applyBorder="1" applyAlignment="1">
      <alignment horizontal="center" vertical="center"/>
    </xf>
    <xf numFmtId="3" fontId="48" fillId="0" borderId="67" xfId="68" applyNumberFormat="1" applyFont="1" applyBorder="1" applyAlignment="1" applyProtection="1">
      <alignment horizontal="right" vertical="center"/>
      <protection hidden="1"/>
    </xf>
    <xf numFmtId="3" fontId="43" fillId="0" borderId="55" xfId="105" applyNumberFormat="1" applyFont="1" applyBorder="1" applyAlignment="1" applyProtection="1">
      <alignment horizontal="right" vertical="center"/>
      <protection hidden="1"/>
    </xf>
    <xf numFmtId="3" fontId="48" fillId="0" borderId="55" xfId="105" applyNumberFormat="1" applyFont="1" applyBorder="1" applyAlignment="1" applyProtection="1">
      <alignment horizontal="right" vertical="center"/>
      <protection hidden="1"/>
    </xf>
    <xf numFmtId="3" fontId="47" fillId="0" borderId="63" xfId="68" applyNumberFormat="1" applyFont="1" applyBorder="1" applyAlignment="1" applyProtection="1">
      <alignment horizontal="right" vertical="center"/>
      <protection hidden="1"/>
    </xf>
    <xf numFmtId="0" fontId="48" fillId="0" borderId="88" xfId="105" applyFont="1" applyBorder="1" applyAlignment="1" applyProtection="1">
      <alignment horizontal="left" vertical="center"/>
      <protection hidden="1"/>
    </xf>
    <xf numFmtId="3" fontId="48" fillId="0" borderId="117" xfId="105" applyNumberFormat="1" applyFont="1" applyBorder="1" applyAlignment="1" applyProtection="1">
      <alignment horizontal="right" vertical="center"/>
      <protection hidden="1"/>
    </xf>
    <xf numFmtId="0" fontId="48" fillId="0" borderId="126" xfId="105" applyFont="1" applyBorder="1" applyAlignment="1" applyProtection="1">
      <alignment horizontal="left" vertical="center"/>
      <protection hidden="1"/>
    </xf>
    <xf numFmtId="0" fontId="47" fillId="0" borderId="48" xfId="105" applyFont="1" applyBorder="1" applyAlignment="1" applyProtection="1">
      <alignment horizontal="left" vertical="center"/>
      <protection hidden="1"/>
    </xf>
    <xf numFmtId="0" fontId="2" fillId="0" borderId="49" xfId="0" applyFont="1" applyFill="1" applyBorder="1" applyAlignment="1">
      <alignment horizontal="center" vertical="center"/>
    </xf>
    <xf numFmtId="3" fontId="43" fillId="0" borderId="35" xfId="105" applyNumberFormat="1" applyFont="1" applyFill="1" applyBorder="1" applyAlignment="1" applyProtection="1">
      <alignment horizontal="right" vertical="center"/>
      <protection hidden="1"/>
    </xf>
    <xf numFmtId="3" fontId="13" fillId="16" borderId="47" xfId="0" applyNumberFormat="1" applyFont="1" applyFill="1" applyBorder="1" applyAlignment="1">
      <alignment vertical="center"/>
    </xf>
    <xf numFmtId="3" fontId="13" fillId="57" borderId="25" xfId="0" applyNumberFormat="1" applyFont="1" applyFill="1" applyBorder="1" applyAlignment="1">
      <alignment vertical="center"/>
    </xf>
    <xf numFmtId="3" fontId="13" fillId="57" borderId="120" xfId="0" applyNumberFormat="1" applyFont="1" applyFill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8" fillId="49" borderId="62" xfId="0" applyNumberFormat="1" applyFont="1" applyFill="1" applyBorder="1" applyAlignment="1">
      <alignment vertical="center"/>
    </xf>
    <xf numFmtId="3" fontId="8" fillId="49" borderId="138" xfId="0" applyNumberFormat="1" applyFont="1" applyFill="1" applyBorder="1" applyAlignment="1">
      <alignment vertical="center"/>
    </xf>
    <xf numFmtId="3" fontId="13" fillId="49" borderId="139" xfId="0" applyNumberFormat="1" applyFont="1" applyFill="1" applyBorder="1" applyAlignment="1">
      <alignment vertical="center"/>
    </xf>
    <xf numFmtId="3" fontId="13" fillId="0" borderId="112" xfId="0" applyNumberFormat="1" applyFont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0" fontId="19" fillId="50" borderId="46" xfId="0" applyFont="1" applyFill="1" applyBorder="1" applyAlignment="1">
      <alignment horizontal="center"/>
    </xf>
    <xf numFmtId="0" fontId="16" fillId="49" borderId="127" xfId="0" applyFont="1" applyFill="1" applyBorder="1" applyAlignment="1">
      <alignment/>
    </xf>
    <xf numFmtId="3" fontId="8" fillId="0" borderId="31" xfId="0" applyNumberFormat="1" applyFont="1" applyBorder="1" applyAlignment="1">
      <alignment vertical="center"/>
    </xf>
    <xf numFmtId="3" fontId="13" fillId="16" borderId="140" xfId="0" applyNumberFormat="1" applyFont="1" applyFill="1" applyBorder="1" applyAlignment="1">
      <alignment vertical="center"/>
    </xf>
    <xf numFmtId="3" fontId="8" fillId="49" borderId="114" xfId="0" applyNumberFormat="1" applyFont="1" applyFill="1" applyBorder="1" applyAlignment="1">
      <alignment vertical="center"/>
    </xf>
    <xf numFmtId="3" fontId="13" fillId="0" borderId="118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9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49" borderId="124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123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0" borderId="75" xfId="0" applyNumberFormat="1" applyFont="1" applyBorder="1" applyAlignment="1">
      <alignment vertical="center"/>
    </xf>
    <xf numFmtId="3" fontId="13" fillId="57" borderId="114" xfId="0" applyNumberFormat="1" applyFont="1" applyFill="1" applyBorder="1" applyAlignment="1">
      <alignment vertical="center"/>
    </xf>
    <xf numFmtId="3" fontId="13" fillId="0" borderId="128" xfId="0" applyNumberFormat="1" applyFont="1" applyBorder="1" applyAlignment="1">
      <alignment vertical="center"/>
    </xf>
    <xf numFmtId="3" fontId="13" fillId="0" borderId="141" xfId="0" applyNumberFormat="1" applyFont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3" fontId="8" fillId="49" borderId="76" xfId="0" applyNumberFormat="1" applyFont="1" applyFill="1" applyBorder="1" applyAlignment="1">
      <alignment vertical="center"/>
    </xf>
    <xf numFmtId="3" fontId="8" fillId="0" borderId="108" xfId="0" applyNumberFormat="1" applyFont="1" applyBorder="1" applyAlignment="1">
      <alignment vertical="center"/>
    </xf>
    <xf numFmtId="0" fontId="14" fillId="53" borderId="33" xfId="0" applyFont="1" applyFill="1" applyBorder="1" applyAlignment="1">
      <alignment horizontal="centerContinuous" vertical="center" wrapText="1"/>
    </xf>
    <xf numFmtId="0" fontId="8" fillId="53" borderId="22" xfId="0" applyFont="1" applyFill="1" applyBorder="1" applyAlignment="1">
      <alignment horizontal="centerContinuous" vertical="center" wrapText="1"/>
    </xf>
    <xf numFmtId="0" fontId="8" fillId="53" borderId="32" xfId="0" applyFont="1" applyFill="1" applyBorder="1" applyAlignment="1">
      <alignment horizontal="centerContinuous" vertical="center" wrapText="1"/>
    </xf>
    <xf numFmtId="3" fontId="42" fillId="0" borderId="55" xfId="102" applyNumberFormat="1" applyFont="1" applyFill="1" applyBorder="1" applyAlignment="1">
      <alignment horizontal="right" vertical="center"/>
    </xf>
    <xf numFmtId="3" fontId="42" fillId="54" borderId="39" xfId="0" applyNumberFormat="1" applyFont="1" applyFill="1" applyBorder="1" applyAlignment="1">
      <alignment horizontal="right" vertical="center"/>
    </xf>
    <xf numFmtId="3" fontId="34" fillId="0" borderId="67" xfId="0" applyNumberFormat="1" applyFont="1" applyFill="1" applyBorder="1" applyAlignment="1">
      <alignment horizontal="right" vertical="center"/>
    </xf>
    <xf numFmtId="3" fontId="34" fillId="0" borderId="63" xfId="0" applyNumberFormat="1" applyFont="1" applyFill="1" applyBorder="1" applyAlignment="1">
      <alignment horizontal="right" vertical="center"/>
    </xf>
    <xf numFmtId="3" fontId="34" fillId="0" borderId="83" xfId="0" applyNumberFormat="1" applyFont="1" applyFill="1" applyBorder="1" applyAlignment="1">
      <alignment horizontal="right" vertical="center"/>
    </xf>
    <xf numFmtId="3" fontId="34" fillId="0" borderId="68" xfId="0" applyNumberFormat="1" applyFont="1" applyFill="1" applyBorder="1" applyAlignment="1">
      <alignment horizontal="right" vertical="center"/>
    </xf>
    <xf numFmtId="3" fontId="42" fillId="54" borderId="25" xfId="0" applyNumberFormat="1" applyFont="1" applyFill="1" applyBorder="1" applyAlignment="1">
      <alignment horizontal="right" vertical="center"/>
    </xf>
    <xf numFmtId="3" fontId="42" fillId="53" borderId="39" xfId="102" applyNumberFormat="1" applyFont="1" applyFill="1" applyBorder="1" applyAlignment="1">
      <alignment vertical="center"/>
    </xf>
    <xf numFmtId="3" fontId="42" fillId="0" borderId="128" xfId="102" applyNumberFormat="1" applyFont="1" applyFill="1" applyBorder="1" applyAlignment="1">
      <alignment horizontal="right" vertical="center"/>
    </xf>
    <xf numFmtId="3" fontId="42" fillId="0" borderId="68" xfId="102" applyNumberFormat="1" applyFont="1" applyFill="1" applyBorder="1" applyAlignment="1">
      <alignment horizontal="right" vertical="center"/>
    </xf>
    <xf numFmtId="3" fontId="42" fillId="0" borderId="120" xfId="102" applyNumberFormat="1" applyFont="1" applyFill="1" applyBorder="1" applyAlignment="1">
      <alignment horizontal="right" vertical="center"/>
    </xf>
    <xf numFmtId="3" fontId="42" fillId="54" borderId="139" xfId="0" applyNumberFormat="1" applyFont="1" applyFill="1" applyBorder="1" applyAlignment="1">
      <alignment horizontal="right" vertical="center"/>
    </xf>
    <xf numFmtId="3" fontId="34" fillId="0" borderId="35" xfId="101" applyNumberFormat="1" applyFont="1" applyFill="1" applyBorder="1" applyAlignment="1">
      <alignment horizontal="right" vertical="center"/>
    </xf>
    <xf numFmtId="3" fontId="18" fillId="0" borderId="49" xfId="101" applyNumberFormat="1" applyFont="1" applyFill="1" applyBorder="1" applyAlignment="1">
      <alignment horizontal="right" vertical="center"/>
    </xf>
    <xf numFmtId="0" fontId="19" fillId="50" borderId="38" xfId="0" applyFont="1" applyFill="1" applyBorder="1" applyAlignment="1">
      <alignment horizontal="center" vertical="center" wrapText="1"/>
    </xf>
    <xf numFmtId="3" fontId="19" fillId="50" borderId="28" xfId="0" applyNumberFormat="1" applyFont="1" applyFill="1" applyBorder="1" applyAlignment="1">
      <alignment horizontal="center"/>
    </xf>
    <xf numFmtId="0" fontId="19" fillId="50" borderId="39" xfId="0" applyFont="1" applyFill="1" applyBorder="1" applyAlignment="1">
      <alignment horizontal="center"/>
    </xf>
    <xf numFmtId="0" fontId="19" fillId="50" borderId="25" xfId="104" applyFont="1" applyFill="1" applyBorder="1" applyAlignment="1">
      <alignment horizontal="center" vertical="center"/>
      <protection/>
    </xf>
    <xf numFmtId="3" fontId="17" fillId="53" borderId="75" xfId="103" applyNumberFormat="1" applyFont="1" applyFill="1" applyBorder="1" applyAlignment="1">
      <alignment horizontal="right" vertical="center"/>
    </xf>
    <xf numFmtId="3" fontId="14" fillId="53" borderId="42" xfId="104" applyNumberFormat="1" applyFont="1" applyFill="1" applyBorder="1" applyAlignment="1">
      <alignment vertical="center"/>
      <protection/>
    </xf>
    <xf numFmtId="3" fontId="17" fillId="0" borderId="142" xfId="104" applyNumberFormat="1" applyFont="1" applyFill="1" applyBorder="1" applyAlignment="1">
      <alignment horizontal="right" vertical="center"/>
      <protection/>
    </xf>
    <xf numFmtId="3" fontId="17" fillId="0" borderId="125" xfId="104" applyNumberFormat="1" applyFont="1" applyFill="1" applyBorder="1" applyAlignment="1">
      <alignment horizontal="right" vertical="center"/>
      <protection/>
    </xf>
    <xf numFmtId="3" fontId="14" fillId="54" borderId="114" xfId="104" applyNumberFormat="1" applyFont="1" applyFill="1" applyBorder="1" applyAlignment="1">
      <alignment vertical="center"/>
      <protection/>
    </xf>
    <xf numFmtId="0" fontId="19" fillId="50" borderId="29" xfId="104" applyFont="1" applyFill="1" applyBorder="1" applyAlignment="1">
      <alignment horizontal="center" vertical="center"/>
      <protection/>
    </xf>
    <xf numFmtId="3" fontId="17" fillId="0" borderId="21" xfId="104" applyNumberFormat="1" applyFont="1" applyFill="1" applyBorder="1" applyAlignment="1">
      <alignment horizontal="right" vertical="center"/>
      <protection/>
    </xf>
    <xf numFmtId="3" fontId="17" fillId="0" borderId="21" xfId="104" applyNumberFormat="1" applyFont="1" applyFill="1" applyBorder="1" applyAlignment="1">
      <alignment horizontal="right" vertical="center"/>
      <protection/>
    </xf>
    <xf numFmtId="3" fontId="17" fillId="0" borderId="77" xfId="104" applyNumberFormat="1" applyFont="1" applyFill="1" applyBorder="1" applyAlignment="1">
      <alignment horizontal="right" vertical="center"/>
      <protection/>
    </xf>
    <xf numFmtId="3" fontId="17" fillId="0" borderId="77" xfId="104" applyNumberFormat="1" applyFont="1" applyFill="1" applyBorder="1" applyAlignment="1">
      <alignment horizontal="right" vertical="center"/>
      <protection/>
    </xf>
    <xf numFmtId="3" fontId="17" fillId="53" borderId="32" xfId="103" applyNumberFormat="1" applyFont="1" applyFill="1" applyBorder="1" applyAlignment="1">
      <alignment horizontal="right" vertical="center"/>
    </xf>
    <xf numFmtId="3" fontId="14" fillId="53" borderId="135" xfId="104" applyNumberFormat="1" applyFont="1" applyFill="1" applyBorder="1" applyAlignment="1">
      <alignment horizontal="right" vertical="center"/>
      <protection/>
    </xf>
    <xf numFmtId="3" fontId="14" fillId="54" borderId="135" xfId="104" applyNumberFormat="1" applyFont="1" applyFill="1" applyBorder="1" applyAlignment="1">
      <alignment vertical="center"/>
      <protection/>
    </xf>
    <xf numFmtId="3" fontId="14" fillId="53" borderId="29" xfId="104" applyNumberFormat="1" applyFont="1" applyFill="1" applyBorder="1" applyAlignment="1">
      <alignment vertical="center"/>
      <protection/>
    </xf>
    <xf numFmtId="3" fontId="12" fillId="64" borderId="24" xfId="101" applyNumberFormat="1" applyFont="1" applyFill="1" applyBorder="1" applyAlignment="1">
      <alignment horizontal="right" vertical="center"/>
    </xf>
    <xf numFmtId="3" fontId="12" fillId="64" borderId="39" xfId="101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8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34" fillId="0" borderId="49" xfId="102" applyNumberFormat="1" applyFont="1" applyBorder="1" applyAlignment="1">
      <alignment vertical="center"/>
    </xf>
    <xf numFmtId="3" fontId="34" fillId="45" borderId="49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34" fillId="0" borderId="48" xfId="102" applyNumberFormat="1" applyFont="1" applyFill="1" applyBorder="1" applyAlignment="1">
      <alignment vertical="center"/>
    </xf>
    <xf numFmtId="3" fontId="34" fillId="0" borderId="49" xfId="102" applyNumberFormat="1" applyFont="1" applyFill="1" applyBorder="1" applyAlignment="1">
      <alignment vertical="center"/>
    </xf>
    <xf numFmtId="0" fontId="139" fillId="65" borderId="87" xfId="0" applyFont="1" applyFill="1" applyBorder="1" applyAlignment="1">
      <alignment vertical="top" wrapText="1"/>
    </xf>
    <xf numFmtId="3" fontId="34" fillId="0" borderId="34" xfId="68" applyNumberFormat="1" applyFont="1" applyFill="1" applyBorder="1" applyAlignment="1">
      <alignment horizontal="right" vertical="center"/>
    </xf>
    <xf numFmtId="3" fontId="34" fillId="0" borderId="49" xfId="0" applyNumberFormat="1" applyFont="1" applyFill="1" applyBorder="1" applyAlignment="1">
      <alignment horizontal="right" vertical="center"/>
    </xf>
    <xf numFmtId="3" fontId="34" fillId="0" borderId="48" xfId="102" applyNumberFormat="1" applyFont="1" applyBorder="1" applyAlignment="1">
      <alignment vertical="center"/>
    </xf>
    <xf numFmtId="3" fontId="139" fillId="0" borderId="34" xfId="0" applyNumberFormat="1" applyFont="1" applyBorder="1" applyAlignment="1">
      <alignment horizontal="right" vertical="center"/>
    </xf>
    <xf numFmtId="3" fontId="34" fillId="0" borderId="23" xfId="102" applyNumberFormat="1" applyFont="1" applyBorder="1" applyAlignment="1">
      <alignment vertical="center"/>
    </xf>
    <xf numFmtId="0" fontId="12" fillId="0" borderId="49" xfId="0" applyFont="1" applyFill="1" applyBorder="1" applyAlignment="1">
      <alignment horizontal="center" vertical="center"/>
    </xf>
    <xf numFmtId="3" fontId="34" fillId="45" borderId="83" xfId="0" applyNumberFormat="1" applyFont="1" applyFill="1" applyBorder="1" applyAlignment="1">
      <alignment horizontal="right" vertical="center"/>
    </xf>
    <xf numFmtId="3" fontId="34" fillId="45" borderId="55" xfId="0" applyNumberFormat="1" applyFont="1" applyFill="1" applyBorder="1" applyAlignment="1">
      <alignment horizontal="right" vertical="center"/>
    </xf>
    <xf numFmtId="3" fontId="42" fillId="0" borderId="0" xfId="102" applyNumberFormat="1" applyFont="1" applyFill="1" applyBorder="1" applyAlignment="1">
      <alignment horizontal="right" vertical="center"/>
    </xf>
    <xf numFmtId="3" fontId="42" fillId="0" borderId="83" xfId="102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3" fontId="34" fillId="0" borderId="49" xfId="101" applyNumberFormat="1" applyFont="1" applyFill="1" applyBorder="1" applyAlignment="1">
      <alignment horizontal="right" vertical="center"/>
    </xf>
    <xf numFmtId="3" fontId="48" fillId="0" borderId="55" xfId="105" applyNumberFormat="1" applyFont="1" applyFill="1" applyBorder="1" applyAlignment="1" applyProtection="1">
      <alignment horizontal="right" vertical="center"/>
      <protection hidden="1"/>
    </xf>
    <xf numFmtId="3" fontId="48" fillId="0" borderId="36" xfId="105" applyNumberFormat="1" applyFont="1" applyFill="1" applyBorder="1" applyAlignment="1" applyProtection="1">
      <alignment horizontal="right" vertical="center"/>
      <protection hidden="1"/>
    </xf>
    <xf numFmtId="3" fontId="48" fillId="0" borderId="0" xfId="105" applyNumberFormat="1" applyFont="1" applyFill="1" applyBorder="1" applyAlignment="1" applyProtection="1">
      <alignment horizontal="right" vertical="center"/>
      <protection hidden="1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48" fillId="0" borderId="34" xfId="95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3" fontId="48" fillId="0" borderId="124" xfId="105" applyNumberFormat="1" applyFont="1" applyFill="1" applyBorder="1" applyAlignment="1" applyProtection="1">
      <alignment horizontal="right" vertical="center"/>
      <protection hidden="1"/>
    </xf>
    <xf numFmtId="0" fontId="17" fillId="0" borderId="34" xfId="104" applyFont="1" applyFill="1" applyBorder="1" applyAlignment="1">
      <alignment vertical="center" wrapText="1"/>
      <protection/>
    </xf>
    <xf numFmtId="0" fontId="44" fillId="62" borderId="38" xfId="108" applyNumberFormat="1" applyFont="1" applyFill="1" applyBorder="1" applyAlignment="1">
      <alignment horizontal="right" vertical="center" wrapText="1"/>
      <protection/>
    </xf>
    <xf numFmtId="0" fontId="42" fillId="54" borderId="38" xfId="0" applyFont="1" applyFill="1" applyBorder="1" applyAlignment="1">
      <alignment horizontal="right" vertical="center"/>
    </xf>
    <xf numFmtId="0" fontId="42" fillId="53" borderId="25" xfId="102" applyFont="1" applyFill="1" applyBorder="1" applyAlignment="1">
      <alignment vertical="center"/>
    </xf>
    <xf numFmtId="0" fontId="42" fillId="53" borderId="38" xfId="102" applyFont="1" applyFill="1" applyBorder="1" applyAlignment="1">
      <alignment vertical="center"/>
    </xf>
    <xf numFmtId="0" fontId="139" fillId="0" borderId="37" xfId="0" applyFont="1" applyFill="1" applyBorder="1" applyAlignment="1">
      <alignment horizontal="left" vertical="top" wrapText="1"/>
    </xf>
    <xf numFmtId="0" fontId="139" fillId="0" borderId="123" xfId="0" applyFont="1" applyFill="1" applyBorder="1" applyAlignment="1">
      <alignment wrapText="1"/>
    </xf>
    <xf numFmtId="0" fontId="34" fillId="0" borderId="37" xfId="0" applyFont="1" applyBorder="1" applyAlignment="1">
      <alignment vertical="center"/>
    </xf>
    <xf numFmtId="0" fontId="42" fillId="53" borderId="38" xfId="101" applyNumberFormat="1" applyFont="1" applyFill="1" applyBorder="1" applyAlignment="1" applyProtection="1">
      <alignment horizontal="left" vertical="center" wrapText="1"/>
      <protection locked="0"/>
    </xf>
    <xf numFmtId="0" fontId="42" fillId="57" borderId="79" xfId="0" applyFont="1" applyFill="1" applyBorder="1" applyAlignment="1" applyProtection="1">
      <alignment horizontal="right" vertical="center"/>
      <protection locked="0"/>
    </xf>
    <xf numFmtId="0" fontId="34" fillId="0" borderId="37" xfId="102" applyFont="1" applyBorder="1" applyAlignment="1">
      <alignment vertical="center"/>
    </xf>
    <xf numFmtId="0" fontId="42" fillId="57" borderId="137" xfId="0" applyFont="1" applyFill="1" applyBorder="1" applyAlignment="1">
      <alignment horizontal="right" vertical="center"/>
    </xf>
    <xf numFmtId="0" fontId="42" fillId="9" borderId="79" xfId="0" applyFont="1" applyFill="1" applyBorder="1" applyAlignment="1" applyProtection="1">
      <alignment horizontal="right" vertical="center"/>
      <protection locked="0"/>
    </xf>
    <xf numFmtId="0" fontId="42" fillId="9" borderId="78" xfId="0" applyFont="1" applyFill="1" applyBorder="1" applyAlignment="1" applyProtection="1">
      <alignment horizontal="right" vertical="center"/>
      <protection locked="0"/>
    </xf>
    <xf numFmtId="0" fontId="42" fillId="54" borderId="47" xfId="0" applyFont="1" applyFill="1" applyBorder="1" applyAlignment="1">
      <alignment horizontal="right" vertical="center"/>
    </xf>
    <xf numFmtId="0" fontId="19" fillId="50" borderId="39" xfId="0" applyFont="1" applyFill="1" applyBorder="1" applyAlignment="1">
      <alignment horizontal="center" vertical="center"/>
    </xf>
    <xf numFmtId="3" fontId="42" fillId="45" borderId="63" xfId="0" applyNumberFormat="1" applyFont="1" applyFill="1" applyBorder="1" applyAlignment="1">
      <alignment horizontal="right" vertical="center"/>
    </xf>
    <xf numFmtId="3" fontId="42" fillId="45" borderId="83" xfId="0" applyNumberFormat="1" applyFont="1" applyFill="1" applyBorder="1" applyAlignment="1">
      <alignment horizontal="right" vertical="center"/>
    </xf>
    <xf numFmtId="3" fontId="42" fillId="0" borderId="39" xfId="0" applyNumberFormat="1" applyFont="1" applyFill="1" applyBorder="1" applyAlignment="1">
      <alignment horizontal="right" vertical="center"/>
    </xf>
    <xf numFmtId="3" fontId="42" fillId="63" borderId="83" xfId="0" applyNumberFormat="1" applyFont="1" applyFill="1" applyBorder="1" applyAlignment="1">
      <alignment horizontal="right" vertical="center"/>
    </xf>
    <xf numFmtId="3" fontId="12" fillId="9" borderId="71" xfId="0" applyNumberFormat="1" applyFont="1" applyFill="1" applyBorder="1" applyAlignment="1">
      <alignment horizontal="right" vertical="center"/>
    </xf>
    <xf numFmtId="3" fontId="12" fillId="54" borderId="66" xfId="0" applyNumberFormat="1" applyFont="1" applyFill="1" applyBorder="1" applyAlignment="1">
      <alignment vertical="center"/>
    </xf>
    <xf numFmtId="3" fontId="34" fillId="45" borderId="63" xfId="0" applyNumberFormat="1" applyFont="1" applyFill="1" applyBorder="1" applyAlignment="1">
      <alignment horizontal="right" vertical="center"/>
    </xf>
    <xf numFmtId="3" fontId="34" fillId="0" borderId="53" xfId="102" applyNumberFormat="1" applyFont="1" applyBorder="1" applyAlignment="1">
      <alignment vertical="center"/>
    </xf>
    <xf numFmtId="3" fontId="140" fillId="0" borderId="36" xfId="104" applyNumberFormat="1" applyFont="1" applyFill="1" applyBorder="1" applyAlignment="1">
      <alignment horizontal="right" vertical="center"/>
      <protection/>
    </xf>
    <xf numFmtId="3" fontId="140" fillId="0" borderId="37" xfId="104" applyNumberFormat="1" applyFont="1" applyFill="1" applyBorder="1" applyAlignment="1">
      <alignment horizontal="right" vertical="center"/>
      <protection/>
    </xf>
    <xf numFmtId="3" fontId="13" fillId="0" borderId="46" xfId="0" applyNumberFormat="1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center" vertical="center"/>
    </xf>
    <xf numFmtId="0" fontId="18" fillId="0" borderId="118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right" vertical="center"/>
    </xf>
    <xf numFmtId="0" fontId="18" fillId="0" borderId="30" xfId="0" applyFont="1" applyFill="1" applyBorder="1" applyAlignment="1" applyProtection="1">
      <alignment horizontal="left" vertical="center"/>
      <protection locked="0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34" xfId="0" applyNumberFormat="1" applyFont="1" applyFill="1" applyBorder="1" applyAlignment="1">
      <alignment horizontal="right" vertical="center"/>
    </xf>
    <xf numFmtId="0" fontId="18" fillId="0" borderId="90" xfId="0" applyFont="1" applyFill="1" applyBorder="1" applyAlignment="1" applyProtection="1">
      <alignment horizontal="left" vertical="center"/>
      <protection locked="0"/>
    </xf>
    <xf numFmtId="3" fontId="18" fillId="0" borderId="49" xfId="0" applyNumberFormat="1" applyFont="1" applyFill="1" applyBorder="1" applyAlignment="1">
      <alignment horizontal="right" vertical="center"/>
    </xf>
    <xf numFmtId="49" fontId="34" fillId="0" borderId="34" xfId="0" applyNumberFormat="1" applyFont="1" applyFill="1" applyBorder="1" applyAlignment="1">
      <alignment vertical="center" wrapText="1"/>
    </xf>
    <xf numFmtId="49" fontId="34" fillId="0" borderId="34" xfId="0" applyNumberFormat="1" applyFont="1" applyBorder="1" applyAlignment="1">
      <alignment vertical="center" wrapText="1"/>
    </xf>
    <xf numFmtId="0" fontId="34" fillId="0" borderId="50" xfId="0" applyFont="1" applyFill="1" applyBorder="1" applyAlignment="1">
      <alignment vertical="center"/>
    </xf>
    <xf numFmtId="49" fontId="34" fillId="0" borderId="34" xfId="102" applyNumberFormat="1" applyFont="1" applyFill="1" applyBorder="1" applyAlignment="1">
      <alignment vertical="center" wrapText="1"/>
    </xf>
    <xf numFmtId="49" fontId="34" fillId="0" borderId="34" xfId="108" applyNumberFormat="1" applyFont="1" applyFill="1" applyBorder="1" applyAlignment="1">
      <alignment vertical="center" wrapText="1"/>
      <protection/>
    </xf>
    <xf numFmtId="0" fontId="34" fillId="0" borderId="34" xfId="96" applyFont="1" applyFill="1" applyBorder="1" applyAlignment="1">
      <alignment vertical="center" wrapText="1"/>
      <protection/>
    </xf>
    <xf numFmtId="49" fontId="18" fillId="0" borderId="35" xfId="0" applyNumberFormat="1" applyFont="1" applyBorder="1" applyAlignment="1">
      <alignment vertical="center"/>
    </xf>
    <xf numFmtId="0" fontId="18" fillId="65" borderId="34" xfId="0" applyFont="1" applyFill="1" applyBorder="1" applyAlignment="1">
      <alignment vertical="center"/>
    </xf>
    <xf numFmtId="49" fontId="34" fillId="0" borderId="24" xfId="0" applyNumberFormat="1" applyFont="1" applyBorder="1" applyAlignment="1">
      <alignment vertical="center" wrapText="1"/>
    </xf>
    <xf numFmtId="0" fontId="34" fillId="0" borderId="87" xfId="0" applyFont="1" applyFill="1" applyBorder="1" applyAlignment="1">
      <alignment horizontal="left" vertical="center" wrapText="1"/>
    </xf>
    <xf numFmtId="3" fontId="34" fillId="0" borderId="35" xfId="101" applyNumberFormat="1" applyFont="1" applyFill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7" fillId="0" borderId="119" xfId="95" applyNumberFormat="1" applyFont="1" applyFill="1" applyBorder="1" applyAlignment="1">
      <alignment horizontal="right" vertical="center"/>
      <protection/>
    </xf>
    <xf numFmtId="2" fontId="8" fillId="0" borderId="58" xfId="0" applyNumberFormat="1" applyFont="1" applyFill="1" applyBorder="1" applyAlignment="1">
      <alignment vertical="center"/>
    </xf>
    <xf numFmtId="3" fontId="17" fillId="0" borderId="68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88" xfId="105" applyFont="1" applyBorder="1" applyAlignment="1" applyProtection="1">
      <alignment horizontal="left" vertical="center"/>
      <protection hidden="1"/>
    </xf>
    <xf numFmtId="0" fontId="47" fillId="0" borderId="51" xfId="105" applyFont="1" applyBorder="1" applyAlignment="1" applyProtection="1">
      <alignment horizontal="left" vertical="center"/>
      <protection hidden="1"/>
    </xf>
    <xf numFmtId="0" fontId="38" fillId="0" borderId="0" xfId="104" applyFont="1" applyAlignment="1">
      <alignment horizontal="right"/>
      <protection/>
    </xf>
    <xf numFmtId="0" fontId="34" fillId="0" borderId="0" xfId="107" applyFont="1">
      <alignment/>
      <protection/>
    </xf>
    <xf numFmtId="0" fontId="42" fillId="66" borderId="41" xfId="107" applyFont="1" applyFill="1" applyBorder="1" applyAlignment="1">
      <alignment horizontal="center" vertical="center" wrapText="1"/>
      <protection/>
    </xf>
    <xf numFmtId="0" fontId="42" fillId="0" borderId="28" xfId="107" applyFont="1" applyBorder="1" applyAlignment="1">
      <alignment horizontal="center" vertical="center" wrapText="1"/>
      <protection/>
    </xf>
    <xf numFmtId="0" fontId="42" fillId="0" borderId="120" xfId="107" applyFont="1" applyBorder="1" applyAlignment="1">
      <alignment horizontal="center" vertical="center" wrapText="1"/>
      <protection/>
    </xf>
    <xf numFmtId="0" fontId="42" fillId="66" borderId="81" xfId="107" applyFont="1" applyFill="1" applyBorder="1" applyAlignment="1">
      <alignment horizontal="center" vertical="center" wrapText="1"/>
      <protection/>
    </xf>
    <xf numFmtId="0" fontId="42" fillId="66" borderId="25" xfId="107" applyFont="1" applyFill="1" applyBorder="1" applyAlignment="1">
      <alignment horizontal="center" vertical="center" wrapText="1"/>
      <protection/>
    </xf>
    <xf numFmtId="0" fontId="38" fillId="50" borderId="24" xfId="107" applyFont="1" applyFill="1" applyBorder="1" applyAlignment="1">
      <alignment horizontal="center" vertical="center"/>
      <protection/>
    </xf>
    <xf numFmtId="0" fontId="38" fillId="50" borderId="46" xfId="107" applyFont="1" applyFill="1" applyBorder="1" applyAlignment="1">
      <alignment horizontal="center" vertical="center"/>
      <protection/>
    </xf>
    <xf numFmtId="0" fontId="38" fillId="50" borderId="25" xfId="107" applyFont="1" applyFill="1" applyBorder="1" applyAlignment="1">
      <alignment horizontal="center" vertical="center"/>
      <protection/>
    </xf>
    <xf numFmtId="0" fontId="38" fillId="50" borderId="38" xfId="107" applyFont="1" applyFill="1" applyBorder="1" applyAlignment="1">
      <alignment horizontal="center" vertical="center"/>
      <protection/>
    </xf>
    <xf numFmtId="0" fontId="38" fillId="50" borderId="28" xfId="107" applyFont="1" applyFill="1" applyBorder="1" applyAlignment="1">
      <alignment horizontal="center" vertical="center"/>
      <protection/>
    </xf>
    <xf numFmtId="0" fontId="38" fillId="50" borderId="39" xfId="107" applyFont="1" applyFill="1" applyBorder="1" applyAlignment="1">
      <alignment horizontal="center" vertical="center"/>
      <protection/>
    </xf>
    <xf numFmtId="0" fontId="38" fillId="50" borderId="81" xfId="107" applyFont="1" applyFill="1" applyBorder="1" applyAlignment="1">
      <alignment horizontal="center" vertical="center"/>
      <protection/>
    </xf>
    <xf numFmtId="0" fontId="43" fillId="0" borderId="37" xfId="107" applyFont="1" applyBorder="1" applyAlignment="1">
      <alignment horizontal="center" vertical="center"/>
      <protection/>
    </xf>
    <xf numFmtId="0" fontId="43" fillId="0" borderId="22" xfId="107" applyFont="1" applyBorder="1" applyAlignment="1">
      <alignment horizontal="left" vertical="center" wrapText="1"/>
      <protection/>
    </xf>
    <xf numFmtId="0" fontId="43" fillId="0" borderId="86" xfId="107" applyFont="1" applyBorder="1" applyAlignment="1">
      <alignment horizontal="left" vertical="center" wrapText="1"/>
      <protection/>
    </xf>
    <xf numFmtId="3" fontId="43" fillId="66" borderId="37" xfId="107" applyNumberFormat="1" applyFont="1" applyFill="1" applyBorder="1" applyAlignment="1">
      <alignment vertical="center"/>
      <protection/>
    </xf>
    <xf numFmtId="3" fontId="43" fillId="0" borderId="22" xfId="107" applyNumberFormat="1" applyFont="1" applyBorder="1" applyAlignment="1">
      <alignment vertical="center"/>
      <protection/>
    </xf>
    <xf numFmtId="3" fontId="43" fillId="0" borderId="87" xfId="0" applyNumberFormat="1" applyFont="1" applyFill="1" applyBorder="1" applyAlignment="1">
      <alignment vertical="center" wrapText="1"/>
    </xf>
    <xf numFmtId="3" fontId="43" fillId="66" borderId="74" xfId="107" applyNumberFormat="1" applyFont="1" applyFill="1" applyBorder="1" applyAlignment="1">
      <alignment vertical="center"/>
      <protection/>
    </xf>
    <xf numFmtId="3" fontId="43" fillId="0" borderId="31" xfId="107" applyNumberFormat="1" applyFont="1" applyBorder="1" applyAlignment="1">
      <alignment vertical="center"/>
      <protection/>
    </xf>
    <xf numFmtId="3" fontId="43" fillId="0" borderId="68" xfId="107" applyNumberFormat="1" applyFont="1" applyFill="1" applyBorder="1" applyAlignment="1">
      <alignment vertical="center"/>
      <protection/>
    </xf>
    <xf numFmtId="3" fontId="43" fillId="66" borderId="128" xfId="107" applyNumberFormat="1" applyFont="1" applyFill="1" applyBorder="1" applyAlignment="1">
      <alignment vertical="center"/>
      <protection/>
    </xf>
    <xf numFmtId="3" fontId="43" fillId="0" borderId="73" xfId="107" applyNumberFormat="1" applyFont="1" applyBorder="1" applyAlignment="1">
      <alignment vertical="center"/>
      <protection/>
    </xf>
    <xf numFmtId="0" fontId="43" fillId="0" borderId="27" xfId="107" applyFont="1" applyBorder="1" applyAlignment="1">
      <alignment horizontal="center" vertical="center"/>
      <protection/>
    </xf>
    <xf numFmtId="0" fontId="43" fillId="0" borderId="31" xfId="107" applyFont="1" applyBorder="1" applyAlignment="1">
      <alignment horizontal="left" vertical="center" wrapText="1"/>
      <protection/>
    </xf>
    <xf numFmtId="0" fontId="43" fillId="0" borderId="86" xfId="107" applyFont="1" applyBorder="1" applyAlignment="1">
      <alignment vertical="center" wrapText="1"/>
      <protection/>
    </xf>
    <xf numFmtId="3" fontId="43" fillId="66" borderId="27" xfId="107" applyNumberFormat="1" applyFont="1" applyFill="1" applyBorder="1" applyAlignment="1">
      <alignment vertical="center"/>
      <protection/>
    </xf>
    <xf numFmtId="3" fontId="43" fillId="0" borderId="26" xfId="0" applyNumberFormat="1" applyFont="1" applyFill="1" applyBorder="1" applyAlignment="1">
      <alignment vertical="center" wrapText="1"/>
    </xf>
    <xf numFmtId="3" fontId="43" fillId="0" borderId="30" xfId="107" applyNumberFormat="1" applyFont="1" applyBorder="1" applyAlignment="1">
      <alignment vertical="center"/>
      <protection/>
    </xf>
    <xf numFmtId="3" fontId="43" fillId="0" borderId="26" xfId="107" applyNumberFormat="1" applyFont="1" applyBorder="1" applyAlignment="1">
      <alignment vertical="center"/>
      <protection/>
    </xf>
    <xf numFmtId="3" fontId="43" fillId="0" borderId="55" xfId="107" applyNumberFormat="1" applyFont="1" applyFill="1" applyBorder="1" applyAlignment="1">
      <alignment vertical="center"/>
      <protection/>
    </xf>
    <xf numFmtId="0" fontId="43" fillId="0" borderId="52" xfId="107" applyFont="1" applyBorder="1" applyAlignment="1">
      <alignment vertical="center" wrapText="1"/>
      <protection/>
    </xf>
    <xf numFmtId="0" fontId="43" fillId="0" borderId="88" xfId="107" applyFont="1" applyBorder="1" applyAlignment="1">
      <alignment vertical="center" wrapText="1"/>
      <protection/>
    </xf>
    <xf numFmtId="3" fontId="43" fillId="66" borderId="36" xfId="107" applyNumberFormat="1" applyFont="1" applyFill="1" applyBorder="1" applyAlignment="1">
      <alignment vertical="center"/>
      <protection/>
    </xf>
    <xf numFmtId="3" fontId="43" fillId="0" borderId="84" xfId="107" applyNumberFormat="1" applyFont="1" applyBorder="1" applyAlignment="1">
      <alignment vertical="center"/>
      <protection/>
    </xf>
    <xf numFmtId="3" fontId="43" fillId="0" borderId="67" xfId="107" applyNumberFormat="1" applyFont="1" applyBorder="1" applyAlignment="1">
      <alignment vertical="center"/>
      <protection/>
    </xf>
    <xf numFmtId="3" fontId="43" fillId="0" borderId="51" xfId="107" applyNumberFormat="1" applyFont="1" applyBorder="1" applyAlignment="1">
      <alignment vertical="center"/>
      <protection/>
    </xf>
    <xf numFmtId="3" fontId="43" fillId="0" borderId="67" xfId="107" applyNumberFormat="1" applyFont="1" applyFill="1" applyBorder="1" applyAlignment="1">
      <alignment vertical="center"/>
      <protection/>
    </xf>
    <xf numFmtId="3" fontId="43" fillId="0" borderId="52" xfId="107" applyNumberFormat="1" applyFont="1" applyBorder="1" applyAlignment="1">
      <alignment vertical="center"/>
      <protection/>
    </xf>
    <xf numFmtId="3" fontId="34" fillId="0" borderId="0" xfId="107" applyNumberFormat="1" applyFont="1">
      <alignment/>
      <protection/>
    </xf>
    <xf numFmtId="0" fontId="47" fillId="53" borderId="38" xfId="107" applyFont="1" applyFill="1" applyBorder="1" applyAlignment="1">
      <alignment horizontal="center" vertical="center"/>
      <protection/>
    </xf>
    <xf numFmtId="0" fontId="47" fillId="53" borderId="28" xfId="107" applyFont="1" applyFill="1" applyBorder="1" applyAlignment="1">
      <alignment vertical="center"/>
      <protection/>
    </xf>
    <xf numFmtId="0" fontId="47" fillId="53" borderId="89" xfId="107" applyFont="1" applyFill="1" applyBorder="1" applyAlignment="1">
      <alignment vertical="center"/>
      <protection/>
    </xf>
    <xf numFmtId="3" fontId="47" fillId="53" borderId="38" xfId="107" applyNumberFormat="1" applyFont="1" applyFill="1" applyBorder="1" applyAlignment="1">
      <alignment vertical="center"/>
      <protection/>
    </xf>
    <xf numFmtId="3" fontId="47" fillId="53" borderId="24" xfId="107" applyNumberFormat="1" applyFont="1" applyFill="1" applyBorder="1" applyAlignment="1">
      <alignment vertical="center"/>
      <protection/>
    </xf>
    <xf numFmtId="0" fontId="43" fillId="0" borderId="73" xfId="107" applyFont="1" applyBorder="1" applyAlignment="1">
      <alignment horizontal="left" vertical="center" wrapText="1"/>
      <protection/>
    </xf>
    <xf numFmtId="3" fontId="43" fillId="0" borderId="68" xfId="0" applyNumberFormat="1" applyFont="1" applyFill="1" applyBorder="1" applyAlignment="1">
      <alignment vertical="center" wrapText="1"/>
    </xf>
    <xf numFmtId="0" fontId="43" fillId="0" borderId="26" xfId="107" applyFont="1" applyBorder="1" applyAlignment="1">
      <alignment horizontal="left" vertical="center" wrapText="1"/>
      <protection/>
    </xf>
    <xf numFmtId="0" fontId="43" fillId="0" borderId="87" xfId="107" applyFont="1" applyBorder="1" applyAlignment="1">
      <alignment horizontal="left" vertical="center" wrapText="1"/>
      <protection/>
    </xf>
    <xf numFmtId="3" fontId="43" fillId="0" borderId="55" xfId="107" applyNumberFormat="1" applyFont="1" applyBorder="1" applyAlignment="1">
      <alignment vertical="center"/>
      <protection/>
    </xf>
    <xf numFmtId="0" fontId="43" fillId="0" borderId="26" xfId="107" applyFont="1" applyBorder="1" applyAlignment="1">
      <alignment vertical="center" wrapText="1"/>
      <protection/>
    </xf>
    <xf numFmtId="0" fontId="43" fillId="0" borderId="87" xfId="107" applyFont="1" applyBorder="1" applyAlignment="1">
      <alignment vertical="center" wrapText="1"/>
      <protection/>
    </xf>
    <xf numFmtId="3" fontId="43" fillId="0" borderId="26" xfId="0" applyNumberFormat="1" applyFont="1" applyFill="1" applyBorder="1" applyAlignment="1">
      <alignment vertical="center"/>
    </xf>
    <xf numFmtId="3" fontId="43" fillId="0" borderId="55" xfId="0" applyNumberFormat="1" applyFont="1" applyFill="1" applyBorder="1" applyAlignment="1">
      <alignment vertical="center"/>
    </xf>
    <xf numFmtId="0" fontId="43" fillId="0" borderId="73" xfId="107" applyFont="1" applyBorder="1" applyAlignment="1">
      <alignment vertical="center" wrapText="1"/>
      <protection/>
    </xf>
    <xf numFmtId="3" fontId="43" fillId="0" borderId="73" xfId="0" applyNumberFormat="1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/>
    </xf>
    <xf numFmtId="0" fontId="47" fillId="53" borderId="24" xfId="107" applyFont="1" applyFill="1" applyBorder="1" applyAlignment="1">
      <alignment horizontal="center" vertical="center"/>
      <protection/>
    </xf>
    <xf numFmtId="0" fontId="47" fillId="53" borderId="25" xfId="107" applyFont="1" applyFill="1" applyBorder="1" applyAlignment="1">
      <alignment vertical="center"/>
      <protection/>
    </xf>
    <xf numFmtId="0" fontId="34" fillId="0" borderId="0" xfId="107">
      <alignment/>
      <protection/>
    </xf>
    <xf numFmtId="0" fontId="47" fillId="54" borderId="38" xfId="107" applyFont="1" applyFill="1" applyBorder="1" applyAlignment="1">
      <alignment horizontal="left" vertical="center"/>
      <protection/>
    </xf>
    <xf numFmtId="0" fontId="47" fillId="54" borderId="25" xfId="107" applyFont="1" applyFill="1" applyBorder="1" applyAlignment="1">
      <alignment horizontal="center" vertical="center"/>
      <protection/>
    </xf>
    <xf numFmtId="3" fontId="47" fillId="54" borderId="38" xfId="107" applyNumberFormat="1" applyFont="1" applyFill="1" applyBorder="1" applyAlignment="1">
      <alignment vertical="center"/>
      <protection/>
    </xf>
    <xf numFmtId="0" fontId="34" fillId="0" borderId="0" xfId="107" applyAlignment="1">
      <alignment horizontal="center" vertical="center"/>
      <protection/>
    </xf>
    <xf numFmtId="0" fontId="34" fillId="0" borderId="0" xfId="107" applyAlignment="1">
      <alignment vertical="center"/>
      <protection/>
    </xf>
    <xf numFmtId="3" fontId="141" fillId="0" borderId="31" xfId="107" applyNumberFormat="1" applyFont="1" applyBorder="1" applyAlignment="1">
      <alignment vertical="center"/>
      <protection/>
    </xf>
    <xf numFmtId="3" fontId="43" fillId="0" borderId="0" xfId="107" applyNumberFormat="1" applyFont="1" applyBorder="1" applyAlignment="1">
      <alignment vertical="center"/>
      <protection/>
    </xf>
    <xf numFmtId="3" fontId="43" fillId="0" borderId="90" xfId="107" applyNumberFormat="1" applyFont="1" applyBorder="1" applyAlignment="1">
      <alignment vertical="center"/>
      <protection/>
    </xf>
    <xf numFmtId="3" fontId="43" fillId="0" borderId="21" xfId="107" applyNumberFormat="1" applyFont="1" applyBorder="1" applyAlignment="1">
      <alignment vertical="center"/>
      <protection/>
    </xf>
    <xf numFmtId="3" fontId="142" fillId="0" borderId="26" xfId="0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3" fontId="17" fillId="0" borderId="36" xfId="104" applyNumberFormat="1" applyFont="1" applyFill="1" applyBorder="1" applyAlignment="1">
      <alignment horizontal="right" vertical="center"/>
      <protection/>
    </xf>
    <xf numFmtId="3" fontId="17" fillId="0" borderId="34" xfId="104" applyNumberFormat="1" applyFont="1" applyFill="1" applyBorder="1" applyAlignment="1">
      <alignment horizontal="right" vertical="center"/>
      <protection/>
    </xf>
    <xf numFmtId="3" fontId="17" fillId="0" borderId="35" xfId="104" applyNumberFormat="1" applyFont="1" applyFill="1" applyBorder="1" applyAlignment="1">
      <alignment horizontal="right" vertical="center"/>
      <protection/>
    </xf>
    <xf numFmtId="3" fontId="17" fillId="0" borderId="87" xfId="104" applyNumberFormat="1" applyFont="1" applyFill="1" applyBorder="1" applyAlignment="1">
      <alignment horizontal="right" vertical="center"/>
      <protection/>
    </xf>
    <xf numFmtId="3" fontId="17" fillId="0" borderId="123" xfId="104" applyNumberFormat="1" applyFont="1" applyFill="1" applyBorder="1" applyAlignment="1">
      <alignment horizontal="right" vertical="center"/>
      <protection/>
    </xf>
    <xf numFmtId="3" fontId="17" fillId="0" borderId="128" xfId="104" applyNumberFormat="1" applyFont="1" applyFill="1" applyBorder="1" applyAlignment="1">
      <alignment horizontal="right" vertical="center"/>
      <protection/>
    </xf>
    <xf numFmtId="3" fontId="17" fillId="0" borderId="53" xfId="104" applyNumberFormat="1" applyFont="1" applyFill="1" applyBorder="1" applyAlignment="1">
      <alignment horizontal="right" vertical="center"/>
      <protection/>
    </xf>
    <xf numFmtId="3" fontId="17" fillId="0" borderId="120" xfId="104" applyNumberFormat="1" applyFont="1" applyFill="1" applyBorder="1" applyAlignment="1">
      <alignment horizontal="right" vertical="center"/>
      <protection/>
    </xf>
    <xf numFmtId="3" fontId="17" fillId="0" borderId="55" xfId="104" applyNumberFormat="1" applyFont="1" applyFill="1" applyBorder="1" applyAlignment="1">
      <alignment horizontal="right" vertical="center"/>
      <protection/>
    </xf>
    <xf numFmtId="3" fontId="47" fillId="0" borderId="36" xfId="95" applyNumberFormat="1" applyFont="1" applyFill="1" applyBorder="1" applyAlignment="1">
      <alignment horizontal="right" vertical="center"/>
      <protection/>
    </xf>
    <xf numFmtId="3" fontId="47" fillId="54" borderId="24" xfId="95" applyNumberFormat="1" applyFont="1" applyFill="1" applyBorder="1" applyAlignment="1">
      <alignment horizontal="right" vertical="center"/>
      <protection/>
    </xf>
    <xf numFmtId="3" fontId="12" fillId="59" borderId="24" xfId="0" applyNumberFormat="1" applyFont="1" applyFill="1" applyBorder="1" applyAlignment="1">
      <alignment horizontal="right" vertical="center"/>
    </xf>
    <xf numFmtId="3" fontId="143" fillId="0" borderId="26" xfId="0" applyNumberFormat="1" applyFont="1" applyBorder="1" applyAlignment="1">
      <alignment vertical="center"/>
    </xf>
    <xf numFmtId="3" fontId="144" fillId="45" borderId="35" xfId="0" applyNumberFormat="1" applyFont="1" applyFill="1" applyBorder="1" applyAlignment="1">
      <alignment horizontal="right" vertical="center"/>
    </xf>
    <xf numFmtId="3" fontId="34" fillId="0" borderId="35" xfId="0" applyNumberFormat="1" applyFont="1" applyFill="1" applyBorder="1" applyAlignment="1">
      <alignment horizontal="right" vertical="center"/>
    </xf>
    <xf numFmtId="3" fontId="34" fillId="0" borderId="63" xfId="102" applyNumberFormat="1" applyFont="1" applyFill="1" applyBorder="1" applyAlignment="1">
      <alignment horizontal="right" vertical="center"/>
    </xf>
    <xf numFmtId="3" fontId="34" fillId="0" borderId="68" xfId="102" applyNumberFormat="1" applyFont="1" applyFill="1" applyBorder="1" applyAlignment="1">
      <alignment horizontal="right" vertical="center"/>
    </xf>
    <xf numFmtId="3" fontId="34" fillId="0" borderId="55" xfId="102" applyNumberFormat="1" applyFont="1" applyFill="1" applyBorder="1" applyAlignment="1">
      <alignment horizontal="right" vertical="center"/>
    </xf>
    <xf numFmtId="3" fontId="34" fillId="0" borderId="83" xfId="102" applyNumberFormat="1" applyFont="1" applyFill="1" applyBorder="1" applyAlignment="1">
      <alignment horizontal="right" vertical="center"/>
    </xf>
    <xf numFmtId="3" fontId="34" fillId="0" borderId="34" xfId="102" applyNumberFormat="1" applyFont="1" applyFill="1" applyBorder="1" applyAlignment="1">
      <alignment horizontal="right" vertical="center"/>
    </xf>
    <xf numFmtId="3" fontId="34" fillId="0" borderId="68" xfId="102" applyNumberFormat="1" applyFont="1" applyFill="1" applyBorder="1" applyAlignment="1">
      <alignment vertical="center"/>
    </xf>
    <xf numFmtId="3" fontId="34" fillId="0" borderId="34" xfId="0" applyNumberFormat="1" applyFont="1" applyFill="1" applyBorder="1" applyAlignment="1">
      <alignment horizontal="right" vertical="center"/>
    </xf>
    <xf numFmtId="3" fontId="34" fillId="0" borderId="49" xfId="0" applyNumberFormat="1" applyFont="1" applyFill="1" applyBorder="1" applyAlignment="1">
      <alignment horizontal="right" vertical="center"/>
    </xf>
    <xf numFmtId="3" fontId="17" fillId="0" borderId="37" xfId="0" applyNumberFormat="1" applyFont="1" applyFill="1" applyBorder="1" applyAlignment="1">
      <alignment horizontal="right" vertical="center"/>
    </xf>
    <xf numFmtId="3" fontId="17" fillId="0" borderId="73" xfId="0" applyNumberFormat="1" applyFont="1" applyBorder="1" applyAlignment="1">
      <alignment vertical="center"/>
    </xf>
    <xf numFmtId="0" fontId="43" fillId="0" borderId="0" xfId="107" applyFont="1" applyBorder="1" applyAlignment="1">
      <alignment vertical="center" wrapText="1"/>
      <protection/>
    </xf>
    <xf numFmtId="0" fontId="12" fillId="53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4" fillId="0" borderId="53" xfId="104" applyNumberFormat="1" applyFont="1" applyFill="1" applyBorder="1" applyAlignment="1">
      <alignment horizontal="right" vertical="center"/>
      <protection/>
    </xf>
    <xf numFmtId="0" fontId="0" fillId="0" borderId="0" xfId="104" applyFont="1" applyFill="1">
      <alignment/>
      <protection/>
    </xf>
    <xf numFmtId="3" fontId="0" fillId="0" borderId="0" xfId="104" applyNumberFormat="1" applyFont="1" applyFill="1" applyAlignment="1">
      <alignment horizontal="right"/>
      <protection/>
    </xf>
    <xf numFmtId="0" fontId="0" fillId="0" borderId="0" xfId="104" applyFont="1">
      <alignment/>
      <protection/>
    </xf>
    <xf numFmtId="0" fontId="23" fillId="0" borderId="38" xfId="0" applyFont="1" applyBorder="1" applyAlignment="1">
      <alignment horizontal="center" vertical="center" wrapText="1"/>
    </xf>
    <xf numFmtId="3" fontId="17" fillId="0" borderId="3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83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3" fontId="17" fillId="0" borderId="36" xfId="0" applyNumberFormat="1" applyFont="1" applyBorder="1" applyAlignment="1">
      <alignment vertical="center"/>
    </xf>
    <xf numFmtId="3" fontId="14" fillId="57" borderId="39" xfId="0" applyNumberFormat="1" applyFont="1" applyFill="1" applyBorder="1" applyAlignment="1">
      <alignment vertical="center"/>
    </xf>
    <xf numFmtId="3" fontId="14" fillId="57" borderId="28" xfId="0" applyNumberFormat="1" applyFont="1" applyFill="1" applyBorder="1" applyAlignment="1">
      <alignment vertical="center"/>
    </xf>
    <xf numFmtId="3" fontId="14" fillId="57" borderId="28" xfId="0" applyNumberFormat="1" applyFont="1" applyFill="1" applyBorder="1" applyAlignment="1">
      <alignment vertical="center"/>
    </xf>
    <xf numFmtId="0" fontId="23" fillId="0" borderId="28" xfId="0" applyFont="1" applyBorder="1" applyAlignment="1">
      <alignment horizontal="center" vertical="center" wrapText="1"/>
    </xf>
    <xf numFmtId="0" fontId="24" fillId="45" borderId="50" xfId="0" applyFont="1" applyFill="1" applyBorder="1" applyAlignment="1">
      <alignment/>
    </xf>
    <xf numFmtId="0" fontId="12" fillId="51" borderId="50" xfId="0" applyFont="1" applyFill="1" applyBorder="1" applyAlignment="1">
      <alignment horizontal="center" vertical="center"/>
    </xf>
    <xf numFmtId="0" fontId="12" fillId="51" borderId="90" xfId="0" applyFont="1" applyFill="1" applyBorder="1" applyAlignment="1" applyProtection="1">
      <alignment horizontal="left" vertical="center"/>
      <protection locked="0"/>
    </xf>
    <xf numFmtId="3" fontId="12" fillId="0" borderId="49" xfId="0" applyNumberFormat="1" applyFont="1" applyFill="1" applyBorder="1" applyAlignment="1">
      <alignment horizontal="right" vertical="center"/>
    </xf>
    <xf numFmtId="3" fontId="12" fillId="51" borderId="49" xfId="0" applyNumberFormat="1" applyFont="1" applyFill="1" applyBorder="1" applyAlignment="1">
      <alignment horizontal="right" vertical="center"/>
    </xf>
    <xf numFmtId="3" fontId="48" fillId="0" borderId="34" xfId="0" applyNumberFormat="1" applyFont="1" applyFill="1" applyBorder="1" applyAlignment="1">
      <alignment horizontal="right" vertical="center"/>
    </xf>
    <xf numFmtId="3" fontId="139" fillId="0" borderId="87" xfId="0" applyNumberFormat="1" applyFont="1" applyFill="1" applyBorder="1" applyAlignment="1">
      <alignment vertical="center" wrapText="1"/>
    </xf>
    <xf numFmtId="0" fontId="139" fillId="0" borderId="123" xfId="0" applyFont="1" applyFill="1" applyBorder="1" applyAlignment="1">
      <alignment horizontal="left" vertical="center" wrapText="1"/>
    </xf>
    <xf numFmtId="3" fontId="139" fillId="65" borderId="87" xfId="0" applyNumberFormat="1" applyFont="1" applyFill="1" applyBorder="1" applyAlignment="1">
      <alignment vertical="center" wrapText="1"/>
    </xf>
    <xf numFmtId="3" fontId="34" fillId="0" borderId="49" xfId="68" applyNumberFormat="1" applyFont="1" applyFill="1" applyBorder="1" applyAlignment="1">
      <alignment horizontal="right" vertical="center"/>
    </xf>
    <xf numFmtId="0" fontId="139" fillId="65" borderId="37" xfId="0" applyFont="1" applyFill="1" applyBorder="1" applyAlignment="1">
      <alignment vertical="top" wrapText="1"/>
    </xf>
    <xf numFmtId="0" fontId="34" fillId="0" borderId="34" xfId="0" applyFont="1" applyFill="1" applyBorder="1" applyAlignment="1">
      <alignment vertical="center" wrapText="1"/>
    </xf>
    <xf numFmtId="3" fontId="34" fillId="45" borderId="68" xfId="0" applyNumberFormat="1" applyFont="1" applyFill="1" applyBorder="1" applyAlignment="1">
      <alignment horizontal="right" vertical="center"/>
    </xf>
    <xf numFmtId="3" fontId="139" fillId="65" borderId="34" xfId="0" applyNumberFormat="1" applyFont="1" applyFill="1" applyBorder="1" applyAlignment="1">
      <alignment vertical="center" wrapText="1"/>
    </xf>
    <xf numFmtId="3" fontId="139" fillId="65" borderId="48" xfId="0" applyNumberFormat="1" applyFont="1" applyFill="1" applyBorder="1" applyAlignment="1">
      <alignment vertical="center" wrapText="1"/>
    </xf>
    <xf numFmtId="3" fontId="139" fillId="65" borderId="34" xfId="0" applyNumberFormat="1" applyFont="1" applyFill="1" applyBorder="1" applyAlignment="1">
      <alignment wrapText="1"/>
    </xf>
    <xf numFmtId="49" fontId="139" fillId="0" borderId="34" xfId="0" applyNumberFormat="1" applyFont="1" applyFill="1" applyBorder="1" applyAlignment="1">
      <alignment horizontal="left" vertical="center" wrapText="1"/>
    </xf>
    <xf numFmtId="0" fontId="139" fillId="0" borderId="34" xfId="0" applyFont="1" applyFill="1" applyBorder="1" applyAlignment="1">
      <alignment wrapText="1"/>
    </xf>
    <xf numFmtId="0" fontId="139" fillId="0" borderId="126" xfId="0" applyFont="1" applyFill="1" applyBorder="1" applyAlignment="1">
      <alignment horizontal="left" vertical="top" wrapText="1"/>
    </xf>
    <xf numFmtId="0" fontId="139" fillId="0" borderId="48" xfId="0" applyFont="1" applyFill="1" applyBorder="1" applyAlignment="1">
      <alignment vertical="top" wrapText="1"/>
    </xf>
    <xf numFmtId="3" fontId="34" fillId="65" borderId="35" xfId="0" applyNumberFormat="1" applyFont="1" applyFill="1" applyBorder="1" applyAlignment="1">
      <alignment wrapText="1"/>
    </xf>
    <xf numFmtId="0" fontId="34" fillId="0" borderId="34" xfId="0" applyFont="1" applyFill="1" applyBorder="1" applyAlignment="1">
      <alignment horizontal="left" vertical="top" wrapText="1"/>
    </xf>
    <xf numFmtId="0" fontId="139" fillId="0" borderId="23" xfId="0" applyFont="1" applyFill="1" applyBorder="1" applyAlignment="1">
      <alignment horizontal="left" vertical="top" wrapText="1"/>
    </xf>
    <xf numFmtId="0" fontId="34" fillId="0" borderId="36" xfId="102" applyFont="1" applyBorder="1" applyAlignment="1">
      <alignment vertical="center"/>
    </xf>
    <xf numFmtId="3" fontId="34" fillId="45" borderId="34" xfId="0" applyNumberFormat="1" applyFont="1" applyFill="1" applyBorder="1" applyAlignment="1">
      <alignment horizontal="right" vertical="center"/>
    </xf>
    <xf numFmtId="0" fontId="34" fillId="0" borderId="50" xfId="102" applyFont="1" applyBorder="1" applyAlignment="1">
      <alignment vertical="center"/>
    </xf>
    <xf numFmtId="0" fontId="12" fillId="53" borderId="143" xfId="0" applyFont="1" applyFill="1" applyBorder="1" applyAlignment="1">
      <alignment horizontal="center" vertical="center"/>
    </xf>
    <xf numFmtId="0" fontId="42" fillId="53" borderId="143" xfId="102" applyFont="1" applyFill="1" applyBorder="1" applyAlignment="1">
      <alignment vertical="center"/>
    </xf>
    <xf numFmtId="3" fontId="12" fillId="59" borderId="144" xfId="0" applyNumberFormat="1" applyFont="1" applyFill="1" applyBorder="1" applyAlignment="1">
      <alignment horizontal="right" vertical="center"/>
    </xf>
    <xf numFmtId="3" fontId="12" fillId="53" borderId="144" xfId="102" applyNumberFormat="1" applyFont="1" applyFill="1" applyBorder="1" applyAlignment="1">
      <alignment vertical="center"/>
    </xf>
    <xf numFmtId="3" fontId="42" fillId="59" borderId="144" xfId="0" applyNumberFormat="1" applyFont="1" applyFill="1" applyBorder="1" applyAlignment="1">
      <alignment horizontal="right" vertical="center"/>
    </xf>
    <xf numFmtId="3" fontId="12" fillId="57" borderId="49" xfId="0" applyNumberFormat="1" applyFont="1" applyFill="1" applyBorder="1" applyAlignment="1">
      <alignment vertical="center"/>
    </xf>
    <xf numFmtId="3" fontId="34" fillId="45" borderId="49" xfId="0" applyNumberFormat="1" applyFont="1" applyFill="1" applyBorder="1" applyAlignment="1">
      <alignment horizontal="right" vertical="center"/>
    </xf>
    <xf numFmtId="49" fontId="34" fillId="0" borderId="36" xfId="0" applyNumberFormat="1" applyFont="1" applyBorder="1" applyAlignment="1">
      <alignment vertical="center" wrapText="1"/>
    </xf>
    <xf numFmtId="0" fontId="34" fillId="0" borderId="48" xfId="108" applyNumberFormat="1" applyFont="1" applyFill="1" applyBorder="1" applyAlignment="1">
      <alignment vertical="center" wrapText="1"/>
      <protection/>
    </xf>
    <xf numFmtId="49" fontId="34" fillId="0" borderId="35" xfId="0" applyNumberFormat="1" applyFont="1" applyBorder="1" applyAlignment="1">
      <alignment vertical="center" wrapText="1"/>
    </xf>
    <xf numFmtId="49" fontId="34" fillId="45" borderId="34" xfId="101" applyNumberFormat="1" applyFont="1" applyFill="1" applyBorder="1" applyAlignment="1" applyProtection="1">
      <alignment horizontal="left" vertical="center" wrapText="1"/>
      <protection locked="0"/>
    </xf>
    <xf numFmtId="49" fontId="34" fillId="45" borderId="36" xfId="101" applyNumberFormat="1" applyFont="1" applyFill="1" applyBorder="1" applyAlignment="1" applyProtection="1">
      <alignment horizontal="left" vertical="center" wrapText="1"/>
      <protection locked="0"/>
    </xf>
    <xf numFmtId="3" fontId="42" fillId="45" borderId="34" xfId="0" applyNumberFormat="1" applyFont="1" applyFill="1" applyBorder="1" applyAlignment="1">
      <alignment horizontal="right" vertical="center"/>
    </xf>
    <xf numFmtId="49" fontId="34" fillId="0" borderId="87" xfId="0" applyNumberFormat="1" applyFont="1" applyBorder="1" applyAlignment="1">
      <alignment vertical="center" wrapText="1"/>
    </xf>
    <xf numFmtId="0" fontId="18" fillId="65" borderId="36" xfId="0" applyFont="1" applyFill="1" applyBorder="1" applyAlignment="1">
      <alignment vertical="center"/>
    </xf>
    <xf numFmtId="49" fontId="73" fillId="65" borderId="34" xfId="0" applyNumberFormat="1" applyFont="1" applyFill="1" applyBorder="1" applyAlignment="1">
      <alignment vertical="center" wrapText="1"/>
    </xf>
    <xf numFmtId="3" fontId="18" fillId="67" borderId="34" xfId="101" applyNumberFormat="1" applyFont="1" applyFill="1" applyBorder="1" applyAlignment="1">
      <alignment horizontal="right" vertical="center"/>
    </xf>
    <xf numFmtId="3" fontId="42" fillId="67" borderId="68" xfId="0" applyNumberFormat="1" applyFont="1" applyFill="1" applyBorder="1" applyAlignment="1">
      <alignment horizontal="right" vertical="center"/>
    </xf>
    <xf numFmtId="3" fontId="34" fillId="67" borderId="48" xfId="0" applyNumberFormat="1" applyFont="1" applyFill="1" applyBorder="1" applyAlignment="1">
      <alignment horizontal="right" vertical="center"/>
    </xf>
    <xf numFmtId="3" fontId="42" fillId="67" borderId="48" xfId="0" applyNumberFormat="1" applyFont="1" applyFill="1" applyBorder="1" applyAlignment="1">
      <alignment horizontal="right" vertical="center"/>
    </xf>
    <xf numFmtId="3" fontId="34" fillId="67" borderId="34" xfId="0" applyNumberFormat="1" applyFont="1" applyFill="1" applyBorder="1" applyAlignment="1">
      <alignment horizontal="right" vertical="center"/>
    </xf>
    <xf numFmtId="0" fontId="34" fillId="0" borderId="35" xfId="0" applyFont="1" applyBorder="1" applyAlignment="1">
      <alignment vertical="center"/>
    </xf>
    <xf numFmtId="49" fontId="42" fillId="63" borderId="98" xfId="0" applyNumberFormat="1" applyFont="1" applyFill="1" applyBorder="1" applyAlignment="1">
      <alignment horizontal="right" vertical="center"/>
    </xf>
    <xf numFmtId="49" fontId="34" fillId="0" borderId="24" xfId="101" applyNumberFormat="1" applyFont="1" applyFill="1" applyBorder="1" applyAlignment="1" applyProtection="1">
      <alignment horizontal="left" vertical="center" wrapText="1"/>
      <protection locked="0"/>
    </xf>
    <xf numFmtId="49" fontId="34" fillId="0" borderId="123" xfId="0" applyNumberFormat="1" applyFont="1" applyFill="1" applyBorder="1" applyAlignment="1" applyProtection="1">
      <alignment horizontal="right" vertical="center"/>
      <protection locked="0"/>
    </xf>
    <xf numFmtId="49" fontId="34" fillId="0" borderId="34" xfId="0" applyNumberFormat="1" applyFont="1" applyFill="1" applyBorder="1" applyAlignment="1" applyProtection="1">
      <alignment horizontal="right" vertical="center"/>
      <protection locked="0"/>
    </xf>
    <xf numFmtId="49" fontId="34" fillId="0" borderId="145" xfId="0" applyNumberFormat="1" applyFont="1" applyFill="1" applyBorder="1" applyAlignment="1" applyProtection="1">
      <alignment horizontal="right" vertical="center"/>
      <protection locked="0"/>
    </xf>
    <xf numFmtId="0" fontId="2" fillId="0" borderId="136" xfId="0" applyFont="1" applyFill="1" applyBorder="1" applyAlignment="1">
      <alignment horizontal="center" vertical="center"/>
    </xf>
    <xf numFmtId="0" fontId="20" fillId="50" borderId="146" xfId="0" applyFont="1" applyFill="1" applyBorder="1" applyAlignment="1">
      <alignment horizontal="center" vertical="center"/>
    </xf>
    <xf numFmtId="3" fontId="20" fillId="50" borderId="147" xfId="0" applyNumberFormat="1" applyFont="1" applyFill="1" applyBorder="1" applyAlignment="1">
      <alignment horizontal="center" vertical="center"/>
    </xf>
    <xf numFmtId="0" fontId="20" fillId="50" borderId="147" xfId="0" applyFont="1" applyFill="1" applyBorder="1" applyAlignment="1">
      <alignment horizontal="center" vertical="center"/>
    </xf>
    <xf numFmtId="3" fontId="34" fillId="0" borderId="120" xfId="102" applyNumberFormat="1" applyFont="1" applyFill="1" applyBorder="1" applyAlignment="1">
      <alignment horizontal="right" vertical="center"/>
    </xf>
    <xf numFmtId="49" fontId="34" fillId="45" borderId="68" xfId="101" applyNumberFormat="1" applyFont="1" applyFill="1" applyBorder="1" applyAlignment="1" applyProtection="1">
      <alignment horizontal="left" vertical="center" wrapText="1"/>
      <protection locked="0"/>
    </xf>
    <xf numFmtId="49" fontId="34" fillId="0" borderId="34" xfId="96" applyNumberFormat="1" applyFont="1" applyFill="1" applyBorder="1" applyAlignment="1">
      <alignment vertical="center" wrapText="1"/>
      <protection/>
    </xf>
    <xf numFmtId="3" fontId="0" fillId="0" borderId="0" xfId="0" applyNumberFormat="1" applyFont="1" applyAlignment="1">
      <alignment vertical="center"/>
    </xf>
    <xf numFmtId="3" fontId="34" fillId="67" borderId="55" xfId="102" applyNumberFormat="1" applyFont="1" applyFill="1" applyBorder="1" applyAlignment="1">
      <alignment horizontal="right" vertical="center"/>
    </xf>
    <xf numFmtId="3" fontId="42" fillId="67" borderId="55" xfId="0" applyNumberFormat="1" applyFont="1" applyFill="1" applyBorder="1" applyAlignment="1">
      <alignment horizontal="right" vertical="center"/>
    </xf>
    <xf numFmtId="49" fontId="34" fillId="0" borderId="35" xfId="0" applyNumberFormat="1" applyFont="1" applyFill="1" applyBorder="1" applyAlignment="1">
      <alignment vertical="center"/>
    </xf>
    <xf numFmtId="3" fontId="34" fillId="0" borderId="118" xfId="102" applyNumberFormat="1" applyFont="1" applyFill="1" applyBorder="1" applyAlignment="1">
      <alignment vertical="center"/>
    </xf>
    <xf numFmtId="3" fontId="34" fillId="0" borderId="123" xfId="102" applyNumberFormat="1" applyFont="1" applyFill="1" applyBorder="1" applyAlignment="1">
      <alignment vertical="center"/>
    </xf>
    <xf numFmtId="3" fontId="34" fillId="67" borderId="34" xfId="102" applyNumberFormat="1" applyFont="1" applyFill="1" applyBorder="1" applyAlignment="1">
      <alignment vertical="center"/>
    </xf>
    <xf numFmtId="3" fontId="34" fillId="67" borderId="123" xfId="102" applyNumberFormat="1" applyFont="1" applyFill="1" applyBorder="1" applyAlignment="1">
      <alignment vertical="center"/>
    </xf>
    <xf numFmtId="3" fontId="42" fillId="67" borderId="35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42" xfId="0" applyNumberFormat="1" applyFont="1" applyFill="1" applyBorder="1" applyAlignment="1" applyProtection="1">
      <alignment horizontal="centerContinuous" vertical="center"/>
      <protection locked="0"/>
    </xf>
    <xf numFmtId="49" fontId="20" fillId="50" borderId="148" xfId="0" applyNumberFormat="1" applyFont="1" applyFill="1" applyBorder="1" applyAlignment="1" applyProtection="1">
      <alignment horizontal="center" vertical="center"/>
      <protection locked="0"/>
    </xf>
    <xf numFmtId="49" fontId="34" fillId="0" borderId="48" xfId="0" applyNumberFormat="1" applyFont="1" applyFill="1" applyBorder="1" applyAlignment="1">
      <alignment vertical="center" wrapText="1"/>
    </xf>
    <xf numFmtId="49" fontId="34" fillId="0" borderId="68" xfId="0" applyNumberFormat="1" applyFont="1" applyFill="1" applyBorder="1" applyAlignment="1">
      <alignment vertical="center" wrapText="1"/>
    </xf>
    <xf numFmtId="49" fontId="34" fillId="0" borderId="55" xfId="0" applyNumberFormat="1" applyFont="1" applyFill="1" applyBorder="1" applyAlignment="1">
      <alignment vertical="center" wrapText="1"/>
    </xf>
    <xf numFmtId="49" fontId="34" fillId="0" borderId="53" xfId="0" applyNumberFormat="1" applyFont="1" applyFill="1" applyBorder="1" applyAlignment="1">
      <alignment vertical="center" wrapText="1"/>
    </xf>
    <xf numFmtId="49" fontId="42" fillId="54" borderId="114" xfId="0" applyNumberFormat="1" applyFont="1" applyFill="1" applyBorder="1" applyAlignment="1">
      <alignment horizontal="right" vertical="center"/>
    </xf>
    <xf numFmtId="49" fontId="42" fillId="64" borderId="39" xfId="0" applyNumberFormat="1" applyFont="1" applyFill="1" applyBorder="1" applyAlignment="1">
      <alignment horizontal="right" vertical="center" wrapText="1"/>
    </xf>
    <xf numFmtId="49" fontId="34" fillId="0" borderId="68" xfId="0" applyNumberFormat="1" applyFont="1" applyBorder="1" applyAlignment="1">
      <alignment vertical="center"/>
    </xf>
    <xf numFmtId="49" fontId="34" fillId="0" borderId="34" xfId="0" applyNumberFormat="1" applyFont="1" applyFill="1" applyBorder="1" applyAlignment="1">
      <alignment vertical="center"/>
    </xf>
    <xf numFmtId="49" fontId="42" fillId="54" borderId="25" xfId="0" applyNumberFormat="1" applyFont="1" applyFill="1" applyBorder="1" applyAlignment="1">
      <alignment horizontal="right" vertical="center"/>
    </xf>
    <xf numFmtId="49" fontId="34" fillId="0" borderId="63" xfId="0" applyNumberFormat="1" applyFont="1" applyFill="1" applyBorder="1" applyAlignment="1">
      <alignment vertical="center"/>
    </xf>
    <xf numFmtId="49" fontId="34" fillId="0" borderId="120" xfId="0" applyNumberFormat="1" applyFont="1" applyFill="1" applyBorder="1" applyAlignment="1">
      <alignment vertical="center"/>
    </xf>
    <xf numFmtId="49" fontId="42" fillId="54" borderId="39" xfId="0" applyNumberFormat="1" applyFont="1" applyFill="1" applyBorder="1" applyAlignment="1" applyProtection="1">
      <alignment horizontal="right" vertical="center"/>
      <protection locked="0"/>
    </xf>
    <xf numFmtId="49" fontId="34" fillId="0" borderId="63" xfId="0" applyNumberFormat="1" applyFont="1" applyBorder="1" applyAlignment="1">
      <alignment vertical="center"/>
    </xf>
    <xf numFmtId="49" fontId="34" fillId="45" borderId="63" xfId="101" applyNumberFormat="1" applyFont="1" applyFill="1" applyBorder="1" applyAlignment="1" applyProtection="1">
      <alignment horizontal="left" vertical="center" wrapText="1"/>
      <protection locked="0"/>
    </xf>
    <xf numFmtId="49" fontId="34" fillId="0" borderId="55" xfId="0" applyNumberFormat="1" applyFont="1" applyFill="1" applyBorder="1" applyAlignment="1">
      <alignment vertical="center"/>
    </xf>
    <xf numFmtId="49" fontId="42" fillId="54" borderId="25" xfId="0" applyNumberFormat="1" applyFont="1" applyFill="1" applyBorder="1" applyAlignment="1" applyProtection="1">
      <alignment horizontal="right" vertical="center"/>
      <protection locked="0"/>
    </xf>
    <xf numFmtId="49" fontId="34" fillId="0" borderId="63" xfId="108" applyNumberFormat="1" applyFont="1" applyFill="1" applyBorder="1" applyAlignment="1">
      <alignment vertical="center" wrapText="1"/>
      <protection/>
    </xf>
    <xf numFmtId="49" fontId="34" fillId="65" borderId="34" xfId="109" applyNumberFormat="1" applyFont="1" applyFill="1" applyBorder="1" applyAlignment="1">
      <alignment vertical="center" wrapText="1"/>
      <protection/>
    </xf>
    <xf numFmtId="49" fontId="34" fillId="0" borderId="48" xfId="0" applyNumberFormat="1" applyFont="1" applyFill="1" applyBorder="1" applyAlignment="1" applyProtection="1">
      <alignment horizontal="left" vertical="center"/>
      <protection locked="0"/>
    </xf>
    <xf numFmtId="49" fontId="34" fillId="65" borderId="68" xfId="0" applyNumberFormat="1" applyFont="1" applyFill="1" applyBorder="1" applyAlignment="1">
      <alignment vertical="center"/>
    </xf>
    <xf numFmtId="49" fontId="139" fillId="0" borderId="123" xfId="0" applyNumberFormat="1" applyFont="1" applyFill="1" applyBorder="1" applyAlignment="1">
      <alignment horizontal="left" vertical="top" wrapText="1"/>
    </xf>
    <xf numFmtId="49" fontId="42" fillId="53" borderId="39" xfId="102" applyNumberFormat="1" applyFont="1" applyFill="1" applyBorder="1" applyAlignment="1">
      <alignment vertical="center"/>
    </xf>
    <xf numFmtId="49" fontId="139" fillId="65" borderId="68" xfId="0" applyNumberFormat="1" applyFont="1" applyFill="1" applyBorder="1" applyAlignment="1">
      <alignment horizontal="left" vertical="center" wrapText="1"/>
    </xf>
    <xf numFmtId="49" fontId="139" fillId="0" borderId="55" xfId="0" applyNumberFormat="1" applyFont="1" applyFill="1" applyBorder="1" applyAlignment="1">
      <alignment vertical="top" wrapText="1"/>
    </xf>
    <xf numFmtId="49" fontId="139" fillId="0" borderId="123" xfId="0" applyNumberFormat="1" applyFont="1" applyFill="1" applyBorder="1" applyAlignment="1">
      <alignment vertical="top" wrapText="1"/>
    </xf>
    <xf numFmtId="49" fontId="139" fillId="0" borderId="117" xfId="0" applyNumberFormat="1" applyFont="1" applyFill="1" applyBorder="1" applyAlignment="1">
      <alignment horizontal="left" vertical="top" wrapText="1"/>
    </xf>
    <xf numFmtId="49" fontId="42" fillId="53" borderId="120" xfId="102" applyNumberFormat="1" applyFont="1" applyFill="1" applyBorder="1" applyAlignment="1">
      <alignment vertical="center"/>
    </xf>
    <xf numFmtId="49" fontId="139" fillId="0" borderId="30" xfId="0" applyNumberFormat="1" applyFont="1" applyFill="1" applyBorder="1" applyAlignment="1">
      <alignment wrapText="1"/>
    </xf>
    <xf numFmtId="49" fontId="34" fillId="0" borderId="37" xfId="0" applyNumberFormat="1" applyFont="1" applyBorder="1" applyAlignment="1">
      <alignment vertical="center"/>
    </xf>
    <xf numFmtId="49" fontId="18" fillId="65" borderId="36" xfId="0" applyNumberFormat="1" applyFont="1" applyFill="1" applyBorder="1" applyAlignment="1">
      <alignment vertical="center"/>
    </xf>
    <xf numFmtId="49" fontId="34" fillId="0" borderId="35" xfId="0" applyNumberFormat="1" applyFont="1" applyBorder="1" applyAlignment="1">
      <alignment vertical="center"/>
    </xf>
    <xf numFmtId="49" fontId="34" fillId="0" borderId="36" xfId="0" applyNumberFormat="1" applyFont="1" applyBorder="1" applyAlignment="1">
      <alignment vertical="center"/>
    </xf>
    <xf numFmtId="49" fontId="42" fillId="53" borderId="25" xfId="0" applyNumberFormat="1" applyFont="1" applyFill="1" applyBorder="1" applyAlignment="1" applyProtection="1">
      <alignment horizontal="left" vertical="center"/>
      <protection locked="0"/>
    </xf>
    <xf numFmtId="49" fontId="42" fillId="57" borderId="25" xfId="0" applyNumberFormat="1" applyFont="1" applyFill="1" applyBorder="1" applyAlignment="1" applyProtection="1">
      <alignment horizontal="right" vertical="center"/>
      <protection locked="0"/>
    </xf>
    <xf numFmtId="49" fontId="34" fillId="0" borderId="128" xfId="0" applyNumberFormat="1" applyFont="1" applyFill="1" applyBorder="1" applyAlignment="1" applyProtection="1">
      <alignment horizontal="right" vertical="center"/>
      <protection locked="0"/>
    </xf>
    <xf numFmtId="49" fontId="34" fillId="0" borderId="128" xfId="0" applyNumberFormat="1" applyFont="1" applyBorder="1" applyAlignment="1">
      <alignment horizontal="right" vertical="center" wrapText="1"/>
    </xf>
    <xf numFmtId="49" fontId="42" fillId="57" borderId="145" xfId="0" applyNumberFormat="1" applyFont="1" applyFill="1" applyBorder="1" applyAlignment="1" applyProtection="1">
      <alignment horizontal="right" vertical="center"/>
      <protection locked="0"/>
    </xf>
    <xf numFmtId="49" fontId="42" fillId="57" borderId="149" xfId="0" applyNumberFormat="1" applyFont="1" applyFill="1" applyBorder="1" applyAlignment="1" applyProtection="1">
      <alignment horizontal="right" vertical="center"/>
      <protection locked="0"/>
    </xf>
    <xf numFmtId="49" fontId="42" fillId="54" borderId="15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0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 vertical="center"/>
    </xf>
    <xf numFmtId="49" fontId="73" fillId="0" borderId="34" xfId="0" applyNumberFormat="1" applyFont="1" applyFill="1" applyBorder="1" applyAlignment="1">
      <alignment vertical="center" wrapText="1"/>
    </xf>
    <xf numFmtId="49" fontId="73" fillId="0" borderId="53" xfId="0" applyNumberFormat="1" applyFont="1" applyFill="1" applyBorder="1" applyAlignment="1">
      <alignment vertical="center" wrapText="1"/>
    </xf>
    <xf numFmtId="3" fontId="34" fillId="67" borderId="35" xfId="101" applyNumberFormat="1" applyFont="1" applyFill="1" applyBorder="1" applyAlignment="1">
      <alignment vertical="center"/>
    </xf>
    <xf numFmtId="3" fontId="34" fillId="67" borderId="68" xfId="0" applyNumberFormat="1" applyFont="1" applyFill="1" applyBorder="1" applyAlignment="1">
      <alignment horizontal="right" vertical="center"/>
    </xf>
    <xf numFmtId="0" fontId="43" fillId="0" borderId="128" xfId="104" applyFont="1" applyFill="1" applyBorder="1" applyAlignment="1">
      <alignment vertical="center"/>
      <protection/>
    </xf>
    <xf numFmtId="0" fontId="14" fillId="0" borderId="35" xfId="104" applyFont="1" applyFill="1" applyBorder="1" applyAlignment="1">
      <alignment horizontal="center" vertical="center"/>
      <protection/>
    </xf>
    <xf numFmtId="0" fontId="14" fillId="0" borderId="34" xfId="104" applyFont="1" applyFill="1" applyBorder="1" applyAlignment="1">
      <alignment horizontal="center" vertical="center"/>
      <protection/>
    </xf>
    <xf numFmtId="0" fontId="12" fillId="0" borderId="119" xfId="104" applyFont="1" applyFill="1" applyBorder="1" applyAlignment="1">
      <alignment vertical="center"/>
      <protection/>
    </xf>
    <xf numFmtId="0" fontId="14" fillId="53" borderId="48" xfId="103" applyFont="1" applyFill="1" applyBorder="1" applyAlignment="1">
      <alignment vertical="center"/>
    </xf>
    <xf numFmtId="0" fontId="17" fillId="0" borderId="35" xfId="103" applyFont="1" applyFill="1" applyBorder="1" applyAlignment="1">
      <alignment vertical="center"/>
    </xf>
    <xf numFmtId="0" fontId="17" fillId="0" borderId="34" xfId="103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49" fontId="34" fillId="65" borderId="34" xfId="0" applyNumberFormat="1" applyFont="1" applyFill="1" applyBorder="1" applyAlignment="1">
      <alignment vertical="center" wrapText="1"/>
    </xf>
    <xf numFmtId="3" fontId="34" fillId="0" borderId="0" xfId="102" applyNumberFormat="1" applyFont="1" applyFill="1" applyBorder="1" applyAlignment="1">
      <alignment vertical="center"/>
    </xf>
    <xf numFmtId="3" fontId="42" fillId="67" borderId="34" xfId="0" applyNumberFormat="1" applyFont="1" applyFill="1" applyBorder="1" applyAlignment="1">
      <alignment horizontal="right" vertical="center"/>
    </xf>
    <xf numFmtId="49" fontId="73" fillId="65" borderId="35" xfId="0" applyNumberFormat="1" applyFont="1" applyFill="1" applyBorder="1" applyAlignment="1">
      <alignment vertical="center" wrapText="1"/>
    </xf>
    <xf numFmtId="49" fontId="73" fillId="65" borderId="37" xfId="0" applyNumberFormat="1" applyFont="1" applyFill="1" applyBorder="1" applyAlignment="1">
      <alignment vertical="center" wrapText="1"/>
    </xf>
    <xf numFmtId="49" fontId="73" fillId="65" borderId="36" xfId="0" applyNumberFormat="1" applyFont="1" applyFill="1" applyBorder="1" applyAlignment="1">
      <alignment vertical="center" wrapText="1"/>
    </xf>
    <xf numFmtId="0" fontId="18" fillId="65" borderId="34" xfId="0" applyFont="1" applyFill="1" applyBorder="1" applyAlignment="1">
      <alignment vertical="center" wrapText="1"/>
    </xf>
    <xf numFmtId="3" fontId="18" fillId="67" borderId="35" xfId="101" applyNumberFormat="1" applyFont="1" applyFill="1" applyBorder="1" applyAlignment="1">
      <alignment horizontal="right" vertical="center"/>
    </xf>
    <xf numFmtId="3" fontId="34" fillId="67" borderId="35" xfId="0" applyNumberFormat="1" applyFont="1" applyFill="1" applyBorder="1" applyAlignment="1">
      <alignment horizontal="right" vertical="center"/>
    </xf>
    <xf numFmtId="3" fontId="145" fillId="0" borderId="0" xfId="0" applyNumberFormat="1" applyFont="1" applyAlignment="1">
      <alignment horizontal="center" vertical="center"/>
    </xf>
    <xf numFmtId="3" fontId="145" fillId="0" borderId="0" xfId="0" applyNumberFormat="1" applyFont="1" applyAlignment="1">
      <alignment horizontal="right" vertical="center"/>
    </xf>
    <xf numFmtId="3" fontId="146" fillId="0" borderId="0" xfId="0" applyNumberFormat="1" applyFont="1" applyAlignment="1">
      <alignment horizontal="right" vertical="center"/>
    </xf>
    <xf numFmtId="3" fontId="145" fillId="0" borderId="0" xfId="0" applyNumberFormat="1" applyFont="1" applyFill="1" applyAlignment="1">
      <alignment horizontal="right" vertical="center"/>
    </xf>
    <xf numFmtId="3" fontId="145" fillId="0" borderId="0" xfId="0" applyNumberFormat="1" applyFont="1" applyAlignment="1" applyProtection="1">
      <alignment horizontal="right" vertical="center"/>
      <protection locked="0"/>
    </xf>
    <xf numFmtId="3" fontId="145" fillId="0" borderId="0" xfId="0" applyNumberFormat="1" applyFont="1" applyFill="1" applyAlignment="1" applyProtection="1">
      <alignment horizontal="right" vertical="center"/>
      <protection locked="0"/>
    </xf>
    <xf numFmtId="3" fontId="147" fillId="0" borderId="0" xfId="0" applyNumberFormat="1" applyFont="1" applyAlignment="1">
      <alignment horizontal="right" vertical="center"/>
    </xf>
    <xf numFmtId="3" fontId="148" fillId="0" borderId="0" xfId="0" applyNumberFormat="1" applyFont="1" applyAlignment="1">
      <alignment horizontal="right" vertical="center"/>
    </xf>
    <xf numFmtId="3" fontId="146" fillId="0" borderId="0" xfId="0" applyNumberFormat="1" applyFont="1" applyFill="1" applyAlignment="1">
      <alignment horizontal="right" vertical="center"/>
    </xf>
    <xf numFmtId="0" fontId="34" fillId="0" borderId="37" xfId="102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8" fillId="45" borderId="34" xfId="0" applyNumberFormat="1" applyFont="1" applyFill="1" applyBorder="1" applyAlignment="1">
      <alignment horizontal="right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0" fontId="0" fillId="0" borderId="128" xfId="0" applyBorder="1" applyAlignment="1">
      <alignment/>
    </xf>
    <xf numFmtId="3" fontId="48" fillId="0" borderId="53" xfId="0" applyNumberFormat="1" applyFont="1" applyFill="1" applyBorder="1" applyAlignment="1">
      <alignment horizontal="right" vertical="center"/>
    </xf>
    <xf numFmtId="3" fontId="34" fillId="0" borderId="136" xfId="0" applyNumberFormat="1" applyFont="1" applyFill="1" applyBorder="1" applyAlignment="1">
      <alignment horizontal="right" vertical="center"/>
    </xf>
    <xf numFmtId="3" fontId="42" fillId="0" borderId="151" xfId="0" applyNumberFormat="1" applyFont="1" applyFill="1" applyBorder="1" applyAlignment="1">
      <alignment horizontal="right" vertical="center"/>
    </xf>
    <xf numFmtId="3" fontId="17" fillId="0" borderId="152" xfId="104" applyNumberFormat="1" applyFont="1" applyFill="1" applyBorder="1" applyAlignment="1">
      <alignment horizontal="right" vertical="center"/>
      <protection/>
    </xf>
    <xf numFmtId="3" fontId="14" fillId="57" borderId="81" xfId="0" applyNumberFormat="1" applyFont="1" applyFill="1" applyBorder="1" applyAlignment="1">
      <alignment vertical="center"/>
    </xf>
    <xf numFmtId="3" fontId="14" fillId="57" borderId="29" xfId="0" applyNumberFormat="1" applyFont="1" applyFill="1" applyBorder="1" applyAlignment="1">
      <alignment vertical="center"/>
    </xf>
    <xf numFmtId="49" fontId="34" fillId="45" borderId="50" xfId="101" applyNumberFormat="1" applyFont="1" applyFill="1" applyBorder="1" applyAlignment="1" applyProtection="1">
      <alignment horizontal="left" vertical="center" wrapText="1"/>
      <protection locked="0"/>
    </xf>
    <xf numFmtId="3" fontId="34" fillId="0" borderId="23" xfId="0" applyNumberFormat="1" applyFont="1" applyFill="1" applyBorder="1" applyAlignment="1">
      <alignment horizontal="right" vertical="center"/>
    </xf>
    <xf numFmtId="3" fontId="42" fillId="45" borderId="126" xfId="0" applyNumberFormat="1" applyFont="1" applyFill="1" applyBorder="1" applyAlignment="1">
      <alignment horizontal="right" vertical="center"/>
    </xf>
    <xf numFmtId="3" fontId="17" fillId="0" borderId="50" xfId="0" applyNumberFormat="1" applyFont="1" applyBorder="1" applyAlignment="1">
      <alignment vertical="center"/>
    </xf>
    <xf numFmtId="3" fontId="17" fillId="0" borderId="84" xfId="0" applyNumberFormat="1" applyFont="1" applyBorder="1" applyAlignment="1">
      <alignment vertical="center"/>
    </xf>
    <xf numFmtId="0" fontId="12" fillId="0" borderId="126" xfId="104" applyFont="1" applyFill="1" applyBorder="1" applyAlignment="1">
      <alignment horizontal="center" vertical="center"/>
      <protection/>
    </xf>
    <xf numFmtId="0" fontId="74" fillId="0" borderId="87" xfId="107" applyFont="1" applyBorder="1" applyAlignment="1">
      <alignment vertical="center" wrapText="1"/>
      <protection/>
    </xf>
    <xf numFmtId="3" fontId="47" fillId="53" borderId="25" xfId="107" applyNumberFormat="1" applyFont="1" applyFill="1" applyBorder="1" applyAlignment="1">
      <alignment vertical="center"/>
      <protection/>
    </xf>
    <xf numFmtId="3" fontId="47" fillId="54" borderId="25" xfId="107" applyNumberFormat="1" applyFont="1" applyFill="1" applyBorder="1" applyAlignment="1">
      <alignment vertical="center"/>
      <protection/>
    </xf>
    <xf numFmtId="3" fontId="47" fillId="53" borderId="28" xfId="107" applyNumberFormat="1" applyFont="1" applyFill="1" applyBorder="1" applyAlignment="1">
      <alignment vertical="center"/>
      <protection/>
    </xf>
    <xf numFmtId="3" fontId="47" fillId="54" borderId="28" xfId="107" applyNumberFormat="1" applyFont="1" applyFill="1" applyBorder="1" applyAlignment="1">
      <alignment vertical="center"/>
      <protection/>
    </xf>
    <xf numFmtId="3" fontId="47" fillId="53" borderId="39" xfId="107" applyNumberFormat="1" applyFont="1" applyFill="1" applyBorder="1" applyAlignment="1">
      <alignment vertical="center"/>
      <protection/>
    </xf>
    <xf numFmtId="3" fontId="47" fillId="54" borderId="39" xfId="107" applyNumberFormat="1" applyFont="1" applyFill="1" applyBorder="1" applyAlignment="1">
      <alignment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7" fillId="0" borderId="114" xfId="0" applyFont="1" applyBorder="1" applyAlignment="1">
      <alignment/>
    </xf>
    <xf numFmtId="3" fontId="17" fillId="0" borderId="91" xfId="0" applyNumberFormat="1" applyFont="1" applyFill="1" applyBorder="1" applyAlignment="1">
      <alignment horizontal="right" vertical="center"/>
    </xf>
    <xf numFmtId="3" fontId="17" fillId="0" borderId="122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0" fontId="17" fillId="0" borderId="83" xfId="0" applyFont="1" applyBorder="1" applyAlignment="1">
      <alignment/>
    </xf>
    <xf numFmtId="3" fontId="12" fillId="45" borderId="49" xfId="0" applyNumberFormat="1" applyFont="1" applyFill="1" applyBorder="1" applyAlignment="1">
      <alignment horizontal="right" vertical="center"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2" fillId="45" borderId="30" xfId="0" applyFont="1" applyFill="1" applyBorder="1" applyAlignment="1" applyProtection="1">
      <alignment horizontal="left" vertical="center" wrapText="1"/>
      <protection locked="0"/>
    </xf>
    <xf numFmtId="0" fontId="12" fillId="45" borderId="90" xfId="0" applyFont="1" applyFill="1" applyBorder="1" applyAlignment="1" applyProtection="1">
      <alignment horizontal="left" vertical="center"/>
      <protection locked="0"/>
    </xf>
    <xf numFmtId="3" fontId="34" fillId="67" borderId="34" xfId="0" applyNumberFormat="1" applyFont="1" applyFill="1" applyBorder="1" applyAlignment="1">
      <alignment horizontal="right" vertical="center"/>
    </xf>
    <xf numFmtId="49" fontId="34" fillId="0" borderId="114" xfId="0" applyNumberFormat="1" applyFont="1" applyBorder="1" applyAlignment="1">
      <alignment vertical="center" wrapText="1"/>
    </xf>
    <xf numFmtId="49" fontId="34" fillId="65" borderId="35" xfId="0" applyNumberFormat="1" applyFont="1" applyFill="1" applyBorder="1" applyAlignment="1">
      <alignment vertical="center"/>
    </xf>
    <xf numFmtId="49" fontId="34" fillId="65" borderId="34" xfId="0" applyNumberFormat="1" applyFont="1" applyFill="1" applyBorder="1" applyAlignment="1">
      <alignment vertical="center"/>
    </xf>
    <xf numFmtId="49" fontId="73" fillId="65" borderId="34" xfId="0" applyNumberFormat="1" applyFont="1" applyFill="1" applyBorder="1" applyAlignment="1">
      <alignment vertical="center"/>
    </xf>
    <xf numFmtId="49" fontId="34" fillId="0" borderId="35" xfId="96" applyNumberFormat="1" applyFont="1" applyFill="1" applyBorder="1" applyAlignment="1">
      <alignment vertical="center" wrapText="1"/>
      <protection/>
    </xf>
    <xf numFmtId="49" fontId="34" fillId="0" borderId="83" xfId="96" applyNumberFormat="1" applyFont="1" applyFill="1" applyBorder="1" applyAlignment="1">
      <alignment vertical="center" wrapText="1"/>
      <protection/>
    </xf>
    <xf numFmtId="0" fontId="12" fillId="57" borderId="79" xfId="0" applyFont="1" applyFill="1" applyBorder="1" applyAlignment="1">
      <alignment horizontal="center" vertical="center"/>
    </xf>
    <xf numFmtId="0" fontId="42" fillId="57" borderId="79" xfId="0" applyFont="1" applyFill="1" applyBorder="1" applyAlignment="1">
      <alignment horizontal="right" vertical="center"/>
    </xf>
    <xf numFmtId="3" fontId="12" fillId="57" borderId="69" xfId="0" applyNumberFormat="1" applyFont="1" applyFill="1" applyBorder="1" applyAlignment="1">
      <alignment vertical="center"/>
    </xf>
    <xf numFmtId="3" fontId="42" fillId="0" borderId="126" xfId="0" applyNumberFormat="1" applyFont="1" applyFill="1" applyBorder="1" applyAlignment="1">
      <alignment horizontal="right" vertical="center"/>
    </xf>
    <xf numFmtId="49" fontId="34" fillId="65" borderId="36" xfId="0" applyNumberFormat="1" applyFont="1" applyFill="1" applyBorder="1" applyAlignment="1">
      <alignment vertical="center"/>
    </xf>
    <xf numFmtId="49" fontId="139" fillId="0" borderId="83" xfId="0" applyNumberFormat="1" applyFont="1" applyFill="1" applyBorder="1" applyAlignment="1">
      <alignment vertical="top" wrapText="1"/>
    </xf>
    <xf numFmtId="49" fontId="11" fillId="65" borderId="36" xfId="0" applyNumberFormat="1" applyFont="1" applyFill="1" applyBorder="1" applyAlignment="1">
      <alignment vertical="center"/>
    </xf>
    <xf numFmtId="3" fontId="149" fillId="0" borderId="0" xfId="0" applyNumberFormat="1" applyFont="1" applyAlignment="1">
      <alignment vertical="center"/>
    </xf>
    <xf numFmtId="3" fontId="150" fillId="0" borderId="0" xfId="0" applyNumberFormat="1" applyFont="1" applyAlignment="1">
      <alignment vertical="center"/>
    </xf>
    <xf numFmtId="3" fontId="151" fillId="0" borderId="0" xfId="0" applyNumberFormat="1" applyFont="1" applyAlignment="1">
      <alignment vertical="center"/>
    </xf>
    <xf numFmtId="3" fontId="150" fillId="0" borderId="0" xfId="0" applyNumberFormat="1" applyFont="1" applyAlignment="1">
      <alignment horizontal="center" vertical="center" wrapText="1"/>
    </xf>
    <xf numFmtId="3" fontId="150" fillId="0" borderId="0" xfId="0" applyNumberFormat="1" applyFont="1" applyFill="1" applyAlignment="1">
      <alignment vertical="center"/>
    </xf>
    <xf numFmtId="3" fontId="152" fillId="0" borderId="0" xfId="0" applyNumberFormat="1" applyFont="1" applyAlignment="1">
      <alignment vertical="center"/>
    </xf>
    <xf numFmtId="3" fontId="149" fillId="0" borderId="0" xfId="0" applyNumberFormat="1" applyFont="1" applyFill="1" applyAlignment="1">
      <alignment vertical="center"/>
    </xf>
    <xf numFmtId="0" fontId="24" fillId="45" borderId="44" xfId="0" applyFont="1" applyFill="1" applyBorder="1" applyAlignment="1">
      <alignment/>
    </xf>
    <xf numFmtId="3" fontId="12" fillId="45" borderId="48" xfId="0" applyNumberFormat="1" applyFont="1" applyFill="1" applyBorder="1" applyAlignment="1">
      <alignment horizontal="right" vertical="center"/>
    </xf>
    <xf numFmtId="0" fontId="12" fillId="45" borderId="63" xfId="0" applyFont="1" applyFill="1" applyBorder="1" applyAlignment="1" applyProtection="1">
      <alignment horizontal="left" vertical="center" wrapText="1"/>
      <protection locked="0"/>
    </xf>
    <xf numFmtId="0" fontId="12" fillId="0" borderId="31" xfId="0" applyFont="1" applyFill="1" applyBorder="1" applyAlignment="1" applyProtection="1">
      <alignment horizontal="left" vertical="center"/>
      <protection locked="0"/>
    </xf>
    <xf numFmtId="3" fontId="12" fillId="57" borderId="153" xfId="0" applyNumberFormat="1" applyFont="1" applyFill="1" applyBorder="1" applyAlignment="1">
      <alignment vertical="center"/>
    </xf>
    <xf numFmtId="3" fontId="14" fillId="0" borderId="128" xfId="104" applyNumberFormat="1" applyFont="1" applyFill="1" applyBorder="1" applyAlignment="1">
      <alignment horizontal="right" vertical="center"/>
      <protection/>
    </xf>
    <xf numFmtId="0" fontId="12" fillId="0" borderId="23" xfId="104" applyFont="1" applyFill="1" applyBorder="1" applyAlignment="1">
      <alignment vertical="center"/>
      <protection/>
    </xf>
    <xf numFmtId="0" fontId="17" fillId="0" borderId="126" xfId="103" applyFont="1" applyFill="1" applyBorder="1" applyAlignment="1">
      <alignment vertical="center"/>
    </xf>
    <xf numFmtId="3" fontId="17" fillId="0" borderId="152" xfId="103" applyNumberFormat="1" applyFont="1" applyFill="1" applyBorder="1" applyAlignment="1">
      <alignment horizontal="right" vertical="center"/>
    </xf>
    <xf numFmtId="3" fontId="17" fillId="0" borderId="127" xfId="103" applyNumberFormat="1" applyFont="1" applyFill="1" applyBorder="1" applyAlignment="1">
      <alignment horizontal="right" vertical="center"/>
    </xf>
    <xf numFmtId="3" fontId="17" fillId="0" borderId="129" xfId="104" applyNumberFormat="1" applyFont="1" applyFill="1" applyBorder="1" applyAlignment="1">
      <alignment horizontal="right" vertical="center"/>
      <protection/>
    </xf>
    <xf numFmtId="3" fontId="14" fillId="57" borderId="126" xfId="104" applyNumberFormat="1" applyFont="1" applyFill="1" applyBorder="1" applyAlignment="1">
      <alignment horizontal="right" vertical="center"/>
      <protection/>
    </xf>
    <xf numFmtId="3" fontId="17" fillId="0" borderId="116" xfId="104" applyNumberFormat="1" applyFont="1" applyFill="1" applyBorder="1" applyAlignment="1">
      <alignment horizontal="right" vertical="center"/>
      <protection/>
    </xf>
    <xf numFmtId="3" fontId="17" fillId="0" borderId="126" xfId="104" applyNumberFormat="1" applyFont="1" applyFill="1" applyBorder="1" applyAlignment="1">
      <alignment horizontal="right" vertical="center"/>
      <protection/>
    </xf>
    <xf numFmtId="3" fontId="14" fillId="0" borderId="129" xfId="104" applyNumberFormat="1" applyFont="1" applyFill="1" applyBorder="1" applyAlignment="1">
      <alignment horizontal="right" vertical="center"/>
      <protection/>
    </xf>
    <xf numFmtId="3" fontId="14" fillId="57" borderId="126" xfId="104" applyNumberFormat="1" applyFont="1" applyFill="1" applyBorder="1" applyAlignment="1">
      <alignment vertical="center"/>
      <protection/>
    </xf>
    <xf numFmtId="0" fontId="43" fillId="0" borderId="50" xfId="107" applyFont="1" applyBorder="1" applyAlignment="1">
      <alignment horizontal="center" vertical="center"/>
      <protection/>
    </xf>
    <xf numFmtId="0" fontId="47" fillId="0" borderId="87" xfId="105" applyFont="1" applyBorder="1" applyAlignment="1" applyProtection="1">
      <alignment horizontal="left" vertical="center"/>
      <protection hidden="1"/>
    </xf>
    <xf numFmtId="0" fontId="47" fillId="0" borderId="123" xfId="105" applyFont="1" applyBorder="1" applyAlignment="1" applyProtection="1">
      <alignment horizontal="left" vertical="center"/>
      <protection hidden="1"/>
    </xf>
    <xf numFmtId="0" fontId="47" fillId="0" borderId="55" xfId="105" applyFont="1" applyBorder="1" applyAlignment="1" applyProtection="1">
      <alignment horizontal="left" vertical="center"/>
      <protection hidden="1"/>
    </xf>
    <xf numFmtId="0" fontId="47" fillId="54" borderId="38" xfId="105" applyFont="1" applyFill="1" applyBorder="1" applyAlignment="1" applyProtection="1">
      <alignment horizontal="left" vertical="center"/>
      <protection hidden="1"/>
    </xf>
    <xf numFmtId="0" fontId="47" fillId="54" borderId="25" xfId="105" applyFont="1" applyFill="1" applyBorder="1" applyAlignment="1" applyProtection="1">
      <alignment horizontal="left" vertical="center"/>
      <protection hidden="1"/>
    </xf>
    <xf numFmtId="0" fontId="47" fillId="54" borderId="39" xfId="105" applyFont="1" applyFill="1" applyBorder="1" applyAlignment="1" applyProtection="1">
      <alignment horizontal="left" vertical="center"/>
      <protection hidden="1"/>
    </xf>
    <xf numFmtId="0" fontId="49" fillId="61" borderId="38" xfId="105" applyFont="1" applyFill="1" applyBorder="1" applyAlignment="1" applyProtection="1">
      <alignment horizontal="left" vertical="center"/>
      <protection hidden="1"/>
    </xf>
    <xf numFmtId="0" fontId="49" fillId="61" borderId="25" xfId="105" applyFont="1" applyFill="1" applyBorder="1" applyAlignment="1" applyProtection="1">
      <alignment horizontal="left" vertical="center"/>
      <protection hidden="1"/>
    </xf>
    <xf numFmtId="0" fontId="47" fillId="0" borderId="125" xfId="105" applyFont="1" applyBorder="1" applyAlignment="1" applyProtection="1">
      <alignment horizontal="left" vertical="center"/>
      <protection hidden="1"/>
    </xf>
    <xf numFmtId="0" fontId="47" fillId="0" borderId="129" xfId="105" applyFont="1" applyBorder="1" applyAlignment="1" applyProtection="1">
      <alignment horizontal="left" vertical="center"/>
      <protection hidden="1"/>
    </xf>
    <xf numFmtId="0" fontId="47" fillId="0" borderId="117" xfId="105" applyFont="1" applyBorder="1" applyAlignment="1" applyProtection="1">
      <alignment horizontal="left" vertical="center"/>
      <protection hidden="1"/>
    </xf>
    <xf numFmtId="0" fontId="49" fillId="61" borderId="39" xfId="105" applyFont="1" applyFill="1" applyBorder="1" applyAlignment="1" applyProtection="1">
      <alignment horizontal="left" vertical="center"/>
      <protection hidden="1"/>
    </xf>
    <xf numFmtId="0" fontId="47" fillId="0" borderId="142" xfId="105" applyFont="1" applyBorder="1" applyAlignment="1" applyProtection="1">
      <alignment horizontal="left" vertical="center"/>
      <protection hidden="1"/>
    </xf>
    <xf numFmtId="0" fontId="47" fillId="0" borderId="75" xfId="105" applyFont="1" applyBorder="1" applyAlignment="1" applyProtection="1">
      <alignment horizontal="left" vertical="center"/>
      <protection hidden="1"/>
    </xf>
    <xf numFmtId="0" fontId="47" fillId="0" borderId="63" xfId="105" applyFont="1" applyBorder="1" applyAlignment="1" applyProtection="1">
      <alignment horizontal="left" vertical="center"/>
      <protection hidden="1"/>
    </xf>
    <xf numFmtId="0" fontId="43" fillId="0" borderId="142" xfId="105" applyFont="1" applyBorder="1" applyAlignment="1" applyProtection="1">
      <alignment horizontal="left" vertical="center"/>
      <protection hidden="1"/>
    </xf>
    <xf numFmtId="0" fontId="43" fillId="0" borderId="75" xfId="105" applyFont="1" applyBorder="1" applyAlignment="1" applyProtection="1">
      <alignment horizontal="left" vertical="center"/>
      <protection hidden="1"/>
    </xf>
    <xf numFmtId="0" fontId="43" fillId="0" borderId="63" xfId="105" applyFont="1" applyBorder="1" applyAlignment="1" applyProtection="1">
      <alignment horizontal="left" vertical="center"/>
      <protection hidden="1"/>
    </xf>
    <xf numFmtId="0" fontId="48" fillId="0" borderId="87" xfId="105" applyFont="1" applyBorder="1" applyAlignment="1" applyProtection="1">
      <alignment horizontal="left" vertical="center"/>
      <protection hidden="1"/>
    </xf>
    <xf numFmtId="0" fontId="48" fillId="0" borderId="55" xfId="105" applyFont="1" applyBorder="1" applyAlignment="1" applyProtection="1">
      <alignment horizontal="left" vertical="center"/>
      <protection hidden="1"/>
    </xf>
    <xf numFmtId="0" fontId="43" fillId="0" borderId="87" xfId="105" applyFont="1" applyBorder="1" applyAlignment="1" applyProtection="1">
      <alignment horizontal="left" vertical="center"/>
      <protection hidden="1"/>
    </xf>
    <xf numFmtId="0" fontId="43" fillId="0" borderId="123" xfId="105" applyFont="1" applyBorder="1" applyAlignment="1" applyProtection="1">
      <alignment horizontal="left" vertical="center"/>
      <protection hidden="1"/>
    </xf>
    <xf numFmtId="0" fontId="43" fillId="0" borderId="55" xfId="105" applyFont="1" applyBorder="1" applyAlignment="1" applyProtection="1">
      <alignment horizontal="left" vertical="center"/>
      <protection hidden="1"/>
    </xf>
    <xf numFmtId="0" fontId="43" fillId="0" borderId="125" xfId="105" applyFont="1" applyBorder="1" applyAlignment="1" applyProtection="1">
      <alignment horizontal="left" vertical="center"/>
      <protection hidden="1"/>
    </xf>
    <xf numFmtId="0" fontId="43" fillId="0" borderId="129" xfId="105" applyFont="1" applyBorder="1" applyAlignment="1" applyProtection="1">
      <alignment horizontal="left" vertical="center"/>
      <protection hidden="1"/>
    </xf>
    <xf numFmtId="0" fontId="43" fillId="0" borderId="117" xfId="105" applyFont="1" applyBorder="1" applyAlignment="1" applyProtection="1">
      <alignment horizontal="left" vertical="center"/>
      <protection hidden="1"/>
    </xf>
    <xf numFmtId="0" fontId="49" fillId="61" borderId="89" xfId="105" applyFont="1" applyFill="1" applyBorder="1" applyAlignment="1" applyProtection="1">
      <alignment horizontal="left" vertical="center"/>
      <protection hidden="1"/>
    </xf>
    <xf numFmtId="0" fontId="48" fillId="0" borderId="52" xfId="105" applyFont="1" applyBorder="1" applyAlignment="1" applyProtection="1">
      <alignment horizontal="center" vertical="top"/>
      <protection hidden="1"/>
    </xf>
    <xf numFmtId="0" fontId="48" fillId="0" borderId="84" xfId="105" applyFont="1" applyBorder="1" applyAlignment="1" applyProtection="1">
      <alignment horizontal="center" vertical="top"/>
      <protection hidden="1"/>
    </xf>
    <xf numFmtId="0" fontId="48" fillId="0" borderId="94" xfId="105" applyFont="1" applyBorder="1" applyAlignment="1" applyProtection="1">
      <alignment horizontal="center" vertical="top"/>
      <protection hidden="1"/>
    </xf>
    <xf numFmtId="0" fontId="47" fillId="54" borderId="89" xfId="105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48" fillId="0" borderId="86" xfId="105" applyFont="1" applyBorder="1" applyAlignment="1" applyProtection="1">
      <alignment horizontal="left" vertical="center"/>
      <protection hidden="1"/>
    </xf>
    <xf numFmtId="0" fontId="48" fillId="0" borderId="128" xfId="105" applyFont="1" applyBorder="1" applyAlignment="1" applyProtection="1">
      <alignment horizontal="left" vertical="center"/>
      <protection hidden="1"/>
    </xf>
    <xf numFmtId="0" fontId="47" fillId="0" borderId="25" xfId="105" applyFont="1" applyBorder="1" applyAlignment="1" applyProtection="1">
      <alignment horizontal="left" vertical="center"/>
      <protection hidden="1"/>
    </xf>
    <xf numFmtId="0" fontId="47" fillId="0" borderId="39" xfId="105" applyFont="1" applyBorder="1" applyAlignment="1" applyProtection="1">
      <alignment horizontal="left" vertical="center"/>
      <protection hidden="1"/>
    </xf>
    <xf numFmtId="0" fontId="47" fillId="0" borderId="128" xfId="105" applyFont="1" applyBorder="1" applyAlignment="1" applyProtection="1">
      <alignment horizontal="left" vertical="center"/>
      <protection hidden="1"/>
    </xf>
    <xf numFmtId="0" fontId="47" fillId="0" borderId="68" xfId="105" applyFont="1" applyBorder="1" applyAlignment="1" applyProtection="1">
      <alignment horizontal="left" vertical="center"/>
      <protection hidden="1"/>
    </xf>
    <xf numFmtId="0" fontId="51" fillId="0" borderId="87" xfId="105" applyFont="1" applyBorder="1" applyAlignment="1" applyProtection="1">
      <alignment horizontal="left" vertical="center"/>
      <protection hidden="1"/>
    </xf>
    <xf numFmtId="0" fontId="51" fillId="0" borderId="123" xfId="105" applyFont="1" applyBorder="1" applyAlignment="1" applyProtection="1">
      <alignment horizontal="left" vertical="center"/>
      <protection hidden="1"/>
    </xf>
    <xf numFmtId="0" fontId="51" fillId="0" borderId="55" xfId="105" applyFont="1" applyBorder="1" applyAlignment="1" applyProtection="1">
      <alignment horizontal="left" vertical="center"/>
      <protection hidden="1"/>
    </xf>
    <xf numFmtId="0" fontId="55" fillId="17" borderId="89" xfId="105" applyFont="1" applyFill="1" applyBorder="1" applyAlignment="1" applyProtection="1">
      <alignment horizontal="center" vertical="center" wrapText="1"/>
      <protection hidden="1"/>
    </xf>
    <xf numFmtId="0" fontId="55" fillId="17" borderId="25" xfId="105" applyFont="1" applyFill="1" applyBorder="1" applyAlignment="1" applyProtection="1">
      <alignment horizontal="center" vertical="center" wrapText="1"/>
      <protection hidden="1"/>
    </xf>
    <xf numFmtId="0" fontId="55" fillId="17" borderId="39" xfId="105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/>
    </xf>
    <xf numFmtId="0" fontId="47" fillId="45" borderId="25" xfId="105" applyFont="1" applyFill="1" applyBorder="1" applyAlignment="1" applyProtection="1">
      <alignment horizontal="center" vertical="center" wrapText="1"/>
      <protection hidden="1"/>
    </xf>
    <xf numFmtId="0" fontId="47" fillId="45" borderId="39" xfId="105" applyFont="1" applyFill="1" applyBorder="1" applyAlignment="1" applyProtection="1">
      <alignment horizontal="center" vertical="center" wrapText="1"/>
      <protection hidden="1"/>
    </xf>
    <xf numFmtId="0" fontId="47" fillId="0" borderId="89" xfId="105" applyFont="1" applyBorder="1" applyAlignment="1" applyProtection="1">
      <alignment horizontal="left" vertical="center"/>
      <protection hidden="1"/>
    </xf>
    <xf numFmtId="0" fontId="47" fillId="0" borderId="38" xfId="105" applyFont="1" applyBorder="1" applyAlignment="1" applyProtection="1">
      <alignment horizontal="left" vertical="center"/>
      <protection hidden="1"/>
    </xf>
    <xf numFmtId="0" fontId="48" fillId="0" borderId="123" xfId="105" applyFont="1" applyBorder="1" applyAlignment="1" applyProtection="1">
      <alignment horizontal="left" vertical="center"/>
      <protection hidden="1"/>
    </xf>
    <xf numFmtId="0" fontId="48" fillId="0" borderId="84" xfId="105" applyFont="1" applyBorder="1" applyAlignment="1" applyProtection="1">
      <alignment horizontal="center" vertical="center"/>
      <protection hidden="1"/>
    </xf>
    <xf numFmtId="0" fontId="48" fillId="0" borderId="94" xfId="105" applyFont="1" applyBorder="1" applyAlignment="1" applyProtection="1">
      <alignment horizontal="center" vertical="center"/>
      <protection hidden="1"/>
    </xf>
    <xf numFmtId="0" fontId="43" fillId="0" borderId="52" xfId="105" applyFont="1" applyBorder="1" applyAlignment="1" applyProtection="1">
      <alignment horizontal="center" vertical="center"/>
      <protection hidden="1"/>
    </xf>
    <xf numFmtId="0" fontId="43" fillId="0" borderId="84" xfId="105" applyFont="1" applyBorder="1" applyAlignment="1" applyProtection="1">
      <alignment horizontal="center" vertical="center"/>
      <protection hidden="1"/>
    </xf>
    <xf numFmtId="0" fontId="43" fillId="0" borderId="94" xfId="105" applyFont="1" applyBorder="1" applyAlignment="1" applyProtection="1">
      <alignment horizontal="center" vertical="center"/>
      <protection hidden="1"/>
    </xf>
    <xf numFmtId="0" fontId="48" fillId="0" borderId="91" xfId="105" applyFont="1" applyBorder="1" applyAlignment="1" applyProtection="1">
      <alignment horizontal="center" vertical="center"/>
      <protection hidden="1"/>
    </xf>
    <xf numFmtId="0" fontId="48" fillId="0" borderId="115" xfId="105" applyFont="1" applyBorder="1" applyAlignment="1" applyProtection="1">
      <alignment horizontal="center" vertical="center"/>
      <protection hidden="1"/>
    </xf>
    <xf numFmtId="0" fontId="43" fillId="0" borderId="26" xfId="105" applyFont="1" applyBorder="1" applyAlignment="1" applyProtection="1">
      <alignment horizontal="left" vertical="center"/>
      <protection hidden="1"/>
    </xf>
    <xf numFmtId="0" fontId="43" fillId="0" borderId="21" xfId="105" applyFont="1" applyBorder="1" applyAlignment="1" applyProtection="1">
      <alignment horizontal="left" vertical="center"/>
      <protection hidden="1"/>
    </xf>
    <xf numFmtId="0" fontId="48" fillId="0" borderId="52" xfId="105" applyFont="1" applyBorder="1" applyAlignment="1" applyProtection="1">
      <alignment horizontal="center" vertical="center"/>
      <protection hidden="1"/>
    </xf>
    <xf numFmtId="0" fontId="47" fillId="0" borderId="76" xfId="105" applyFont="1" applyBorder="1" applyAlignment="1" applyProtection="1">
      <alignment horizontal="center" vertical="top"/>
      <protection hidden="1"/>
    </xf>
    <xf numFmtId="0" fontId="47" fillId="0" borderId="91" xfId="105" applyFont="1" applyBorder="1" applyAlignment="1" applyProtection="1">
      <alignment horizontal="center" vertical="top"/>
      <protection hidden="1"/>
    </xf>
    <xf numFmtId="0" fontId="47" fillId="0" borderId="115" xfId="105" applyFont="1" applyBorder="1" applyAlignment="1" applyProtection="1">
      <alignment horizontal="center" vertical="top"/>
      <protection hidden="1"/>
    </xf>
    <xf numFmtId="0" fontId="36" fillId="53" borderId="25" xfId="105" applyFont="1" applyFill="1" applyBorder="1" applyAlignment="1" applyProtection="1">
      <alignment horizontal="left" vertical="center"/>
      <protection hidden="1"/>
    </xf>
    <xf numFmtId="0" fontId="36" fillId="53" borderId="39" xfId="105" applyFont="1" applyFill="1" applyBorder="1" applyAlignment="1" applyProtection="1">
      <alignment horizontal="left" vertical="center"/>
      <protection hidden="1"/>
    </xf>
    <xf numFmtId="0" fontId="43" fillId="0" borderId="88" xfId="105" applyFont="1" applyBorder="1" applyAlignment="1" applyProtection="1">
      <alignment horizontal="left" vertical="center"/>
      <protection hidden="1"/>
    </xf>
    <xf numFmtId="0" fontId="43" fillId="0" borderId="124" xfId="105" applyFont="1" applyBorder="1" applyAlignment="1" applyProtection="1">
      <alignment horizontal="left" vertical="center"/>
      <protection hidden="1"/>
    </xf>
    <xf numFmtId="0" fontId="43" fillId="0" borderId="67" xfId="105" applyFont="1" applyBorder="1" applyAlignment="1" applyProtection="1">
      <alignment horizontal="left" vertical="center"/>
      <protection hidden="1"/>
    </xf>
    <xf numFmtId="0" fontId="47" fillId="0" borderId="74" xfId="105" applyFont="1" applyBorder="1" applyAlignment="1" applyProtection="1">
      <alignment horizontal="center" vertical="top"/>
      <protection hidden="1"/>
    </xf>
    <xf numFmtId="0" fontId="47" fillId="0" borderId="118" xfId="105" applyFont="1" applyBorder="1" applyAlignment="1" applyProtection="1">
      <alignment horizontal="left" vertical="center"/>
      <protection hidden="1"/>
    </xf>
    <xf numFmtId="0" fontId="47" fillId="0" borderId="30" xfId="105" applyFont="1" applyBorder="1" applyAlignment="1" applyProtection="1">
      <alignment horizontal="left" vertical="center"/>
      <protection hidden="1"/>
    </xf>
    <xf numFmtId="0" fontId="47" fillId="45" borderId="89" xfId="95" applyFont="1" applyFill="1" applyBorder="1" applyAlignment="1" applyProtection="1">
      <alignment horizontal="center" vertical="center"/>
      <protection/>
    </xf>
    <xf numFmtId="0" fontId="47" fillId="45" borderId="25" xfId="95" applyFont="1" applyFill="1" applyBorder="1" applyAlignment="1" applyProtection="1">
      <alignment horizontal="center" vertical="center"/>
      <protection/>
    </xf>
    <xf numFmtId="0" fontId="47" fillId="45" borderId="46" xfId="95" applyFont="1" applyFill="1" applyBorder="1" applyAlignment="1" applyProtection="1">
      <alignment horizontal="center" vertical="center"/>
      <protection/>
    </xf>
    <xf numFmtId="0" fontId="47" fillId="54" borderId="46" xfId="105" applyFont="1" applyFill="1" applyBorder="1" applyAlignment="1" applyProtection="1">
      <alignment horizontal="left" vertical="center"/>
      <protection hidden="1"/>
    </xf>
    <xf numFmtId="0" fontId="36" fillId="28" borderId="38" xfId="105" applyFont="1" applyFill="1" applyBorder="1" applyAlignment="1" applyProtection="1">
      <alignment horizontal="center" vertical="center"/>
      <protection hidden="1"/>
    </xf>
    <xf numFmtId="0" fontId="36" fillId="28" borderId="25" xfId="105" applyFont="1" applyFill="1" applyBorder="1" applyAlignment="1" applyProtection="1">
      <alignment horizontal="center" vertical="center"/>
      <protection hidden="1"/>
    </xf>
    <xf numFmtId="0" fontId="36" fillId="28" borderId="39" xfId="105" applyFont="1" applyFill="1" applyBorder="1" applyAlignment="1" applyProtection="1">
      <alignment horizontal="center" vertical="center"/>
      <protection hidden="1"/>
    </xf>
    <xf numFmtId="0" fontId="55" fillId="17" borderId="89" xfId="95" applyFont="1" applyFill="1" applyBorder="1" applyAlignment="1" applyProtection="1">
      <alignment horizontal="center" vertical="center"/>
      <protection/>
    </xf>
    <xf numFmtId="0" fontId="55" fillId="17" borderId="25" xfId="95" applyFont="1" applyFill="1" applyBorder="1" applyAlignment="1" applyProtection="1">
      <alignment horizontal="center" vertical="center"/>
      <protection/>
    </xf>
    <xf numFmtId="0" fontId="55" fillId="17" borderId="46" xfId="95" applyFont="1" applyFill="1" applyBorder="1" applyAlignment="1" applyProtection="1">
      <alignment horizontal="center" vertical="center"/>
      <protection/>
    </xf>
    <xf numFmtId="0" fontId="49" fillId="61" borderId="38" xfId="95" applyFont="1" applyFill="1" applyBorder="1" applyAlignment="1" applyProtection="1">
      <alignment horizontal="left" vertical="center"/>
      <protection hidden="1"/>
    </xf>
    <xf numFmtId="0" fontId="49" fillId="61" borderId="25" xfId="95" applyFont="1" applyFill="1" applyBorder="1" applyAlignment="1" applyProtection="1">
      <alignment horizontal="left" vertical="center"/>
      <protection hidden="1"/>
    </xf>
    <xf numFmtId="0" fontId="43" fillId="0" borderId="118" xfId="105" applyFont="1" applyBorder="1" applyAlignment="1" applyProtection="1">
      <alignment horizontal="left" vertical="center"/>
      <protection hidden="1"/>
    </xf>
    <xf numFmtId="0" fontId="43" fillId="0" borderId="127" xfId="105" applyFont="1" applyBorder="1" applyAlignment="1" applyProtection="1">
      <alignment horizontal="left" vertical="center"/>
      <protection hidden="1"/>
    </xf>
    <xf numFmtId="0" fontId="36" fillId="53" borderId="89" xfId="105" applyFont="1" applyFill="1" applyBorder="1" applyAlignment="1" applyProtection="1">
      <alignment horizontal="left" vertical="center"/>
      <protection hidden="1"/>
    </xf>
    <xf numFmtId="0" fontId="47" fillId="0" borderId="109" xfId="105" applyFont="1" applyBorder="1" applyAlignment="1" applyProtection="1">
      <alignment horizontal="center" vertical="top"/>
      <protection hidden="1"/>
    </xf>
    <xf numFmtId="0" fontId="47" fillId="0" borderId="84" xfId="105" applyFont="1" applyBorder="1" applyAlignment="1" applyProtection="1">
      <alignment horizontal="center" vertical="top"/>
      <protection hidden="1"/>
    </xf>
    <xf numFmtId="0" fontId="47" fillId="0" borderId="73" xfId="105" applyFont="1" applyBorder="1" applyAlignment="1" applyProtection="1">
      <alignment horizontal="center" vertical="top"/>
      <protection hidden="1"/>
    </xf>
    <xf numFmtId="0" fontId="47" fillId="0" borderId="108" xfId="95" applyFont="1" applyFill="1" applyBorder="1" applyAlignment="1" applyProtection="1">
      <alignment horizontal="center" vertical="center"/>
      <protection hidden="1"/>
    </xf>
    <xf numFmtId="0" fontId="47" fillId="0" borderId="91" xfId="95" applyFont="1" applyFill="1" applyBorder="1" applyAlignment="1" applyProtection="1">
      <alignment horizontal="center" vertical="center"/>
      <protection hidden="1"/>
    </xf>
    <xf numFmtId="0" fontId="47" fillId="0" borderId="115" xfId="95" applyFont="1" applyFill="1" applyBorder="1" applyAlignment="1" applyProtection="1">
      <alignment horizontal="center" vertical="center"/>
      <protection hidden="1"/>
    </xf>
    <xf numFmtId="49" fontId="13" fillId="9" borderId="50" xfId="0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center" vertical="center"/>
    </xf>
    <xf numFmtId="49" fontId="13" fillId="9" borderId="83" xfId="0" applyNumberFormat="1" applyFont="1" applyFill="1" applyBorder="1" applyAlignment="1">
      <alignment horizontal="center" vertical="center"/>
    </xf>
    <xf numFmtId="0" fontId="47" fillId="0" borderId="127" xfId="105" applyFont="1" applyBorder="1" applyAlignment="1" applyProtection="1">
      <alignment horizontal="left" vertical="center"/>
      <protection hidden="1"/>
    </xf>
    <xf numFmtId="0" fontId="36" fillId="54" borderId="89" xfId="105" applyFont="1" applyFill="1" applyBorder="1" applyAlignment="1" applyProtection="1">
      <alignment horizontal="left" vertical="center"/>
      <protection hidden="1"/>
    </xf>
    <xf numFmtId="0" fontId="36" fillId="54" borderId="25" xfId="105" applyFont="1" applyFill="1" applyBorder="1" applyAlignment="1" applyProtection="1">
      <alignment horizontal="left" vertical="center"/>
      <protection hidden="1"/>
    </xf>
    <xf numFmtId="0" fontId="36" fillId="54" borderId="46" xfId="105" applyFont="1" applyFill="1" applyBorder="1" applyAlignment="1" applyProtection="1">
      <alignment horizontal="left" vertical="center"/>
      <protection hidden="1"/>
    </xf>
    <xf numFmtId="0" fontId="49" fillId="61" borderId="38" xfId="95" applyFont="1" applyFill="1" applyBorder="1" applyAlignment="1" applyProtection="1">
      <alignment horizontal="left" vertical="center"/>
      <protection/>
    </xf>
    <xf numFmtId="0" fontId="49" fillId="61" borderId="25" xfId="95" applyFont="1" applyFill="1" applyBorder="1" applyAlignment="1" applyProtection="1">
      <alignment horizontal="left" vertical="center"/>
      <protection/>
    </xf>
    <xf numFmtId="0" fontId="47" fillId="54" borderId="154" xfId="105" applyFont="1" applyFill="1" applyBorder="1" applyAlignment="1" applyProtection="1">
      <alignment horizontal="left" vertical="center"/>
      <protection hidden="1"/>
    </xf>
    <xf numFmtId="0" fontId="47" fillId="54" borderId="114" xfId="105" applyFont="1" applyFill="1" applyBorder="1" applyAlignment="1" applyProtection="1">
      <alignment horizontal="left" vertical="center"/>
      <protection hidden="1"/>
    </xf>
    <xf numFmtId="0" fontId="47" fillId="54" borderId="122" xfId="105" applyFont="1" applyFill="1" applyBorder="1" applyAlignment="1" applyProtection="1">
      <alignment horizontal="left" vertical="center"/>
      <protection hidden="1"/>
    </xf>
    <xf numFmtId="0" fontId="43" fillId="0" borderId="108" xfId="95" applyFont="1" applyFill="1" applyBorder="1" applyAlignment="1" applyProtection="1">
      <alignment horizontal="center" vertical="center"/>
      <protection hidden="1"/>
    </xf>
    <xf numFmtId="0" fontId="43" fillId="0" borderId="115" xfId="95" applyFont="1" applyFill="1" applyBorder="1" applyAlignment="1" applyProtection="1">
      <alignment horizontal="center" vertical="center"/>
      <protection hidden="1"/>
    </xf>
    <xf numFmtId="0" fontId="47" fillId="45" borderId="108" xfId="95" applyFont="1" applyFill="1" applyBorder="1" applyAlignment="1" applyProtection="1">
      <alignment horizontal="center" vertical="center"/>
      <protection/>
    </xf>
    <xf numFmtId="0" fontId="47" fillId="45" borderId="91" xfId="95" applyFont="1" applyFill="1" applyBorder="1" applyAlignment="1" applyProtection="1">
      <alignment horizontal="center" vertical="center"/>
      <protection/>
    </xf>
    <xf numFmtId="0" fontId="47" fillId="45" borderId="115" xfId="95" applyFont="1" applyFill="1" applyBorder="1" applyAlignment="1" applyProtection="1">
      <alignment horizontal="center" vertical="center"/>
      <protection/>
    </xf>
    <xf numFmtId="0" fontId="47" fillId="45" borderId="52" xfId="95" applyFont="1" applyFill="1" applyBorder="1" applyAlignment="1" applyProtection="1">
      <alignment horizontal="center" vertical="top"/>
      <protection/>
    </xf>
    <xf numFmtId="0" fontId="47" fillId="45" borderId="84" xfId="95" applyFont="1" applyFill="1" applyBorder="1" applyAlignment="1" applyProtection="1">
      <alignment horizontal="center" vertical="top"/>
      <protection/>
    </xf>
    <xf numFmtId="0" fontId="47" fillId="45" borderId="94" xfId="95" applyFont="1" applyFill="1" applyBorder="1" applyAlignment="1" applyProtection="1">
      <alignment horizontal="center" vertical="top"/>
      <protection/>
    </xf>
    <xf numFmtId="0" fontId="47" fillId="45" borderId="73" xfId="95" applyFont="1" applyFill="1" applyBorder="1" applyAlignment="1" applyProtection="1">
      <alignment horizontal="center" vertical="top"/>
      <protection/>
    </xf>
    <xf numFmtId="0" fontId="47" fillId="0" borderId="52" xfId="105" applyFont="1" applyBorder="1" applyAlignment="1" applyProtection="1">
      <alignment horizontal="center" vertical="top"/>
      <protection hidden="1"/>
    </xf>
    <xf numFmtId="0" fontId="53" fillId="0" borderId="52" xfId="105" applyFont="1" applyBorder="1" applyAlignment="1" applyProtection="1">
      <alignment horizontal="center" vertical="top"/>
      <protection hidden="1"/>
    </xf>
    <xf numFmtId="0" fontId="53" fillId="0" borderId="84" xfId="105" applyFont="1" applyBorder="1" applyAlignment="1" applyProtection="1">
      <alignment horizontal="center" vertical="top"/>
      <protection hidden="1"/>
    </xf>
    <xf numFmtId="0" fontId="53" fillId="0" borderId="73" xfId="105" applyFont="1" applyBorder="1" applyAlignment="1" applyProtection="1">
      <alignment horizontal="center" vertical="top"/>
      <protection hidden="1"/>
    </xf>
    <xf numFmtId="0" fontId="47" fillId="0" borderId="94" xfId="105" applyFont="1" applyBorder="1" applyAlignment="1" applyProtection="1">
      <alignment horizontal="center" vertical="top"/>
      <protection hidden="1"/>
    </xf>
    <xf numFmtId="0" fontId="13" fillId="0" borderId="4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68" borderId="75" xfId="0" applyFont="1" applyFill="1" applyBorder="1" applyAlignment="1">
      <alignment horizontal="center" vertical="center"/>
    </xf>
    <xf numFmtId="0" fontId="13" fillId="68" borderId="63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 wrapText="1"/>
    </xf>
    <xf numFmtId="0" fontId="13" fillId="53" borderId="75" xfId="0" applyFont="1" applyFill="1" applyBorder="1" applyAlignment="1">
      <alignment horizontal="center" vertical="center"/>
    </xf>
    <xf numFmtId="0" fontId="13" fillId="53" borderId="63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13" fillId="53" borderId="44" xfId="0" applyFont="1" applyFill="1" applyBorder="1" applyAlignment="1" applyProtection="1">
      <alignment horizontal="center" vertical="center" wrapText="1"/>
      <protection locked="0"/>
    </xf>
    <xf numFmtId="0" fontId="13" fillId="53" borderId="75" xfId="0" applyFont="1" applyFill="1" applyBorder="1" applyAlignment="1" applyProtection="1">
      <alignment horizontal="center" vertical="center" wrapText="1"/>
      <protection locked="0"/>
    </xf>
    <xf numFmtId="0" fontId="13" fillId="53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53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0" fillId="45" borderId="0" xfId="0" applyFont="1" applyFill="1" applyBorder="1" applyAlignment="1" applyProtection="1">
      <alignment horizontal="center" vertical="center" wrapText="1"/>
      <protection locked="0"/>
    </xf>
    <xf numFmtId="0" fontId="10" fillId="45" borderId="0" xfId="0" applyFont="1" applyFill="1" applyBorder="1" applyAlignment="1" applyProtection="1">
      <alignment horizontal="center" wrapText="1"/>
      <protection locked="0"/>
    </xf>
    <xf numFmtId="0" fontId="13" fillId="45" borderId="0" xfId="0" applyFont="1" applyFill="1" applyBorder="1" applyAlignment="1" applyProtection="1">
      <alignment horizontal="center" vertical="center" wrapText="1"/>
      <protection locked="0"/>
    </xf>
    <xf numFmtId="0" fontId="47" fillId="56" borderId="38" xfId="0" applyFont="1" applyFill="1" applyBorder="1" applyAlignment="1" applyProtection="1">
      <alignment horizontal="center" vertical="center"/>
      <protection locked="0"/>
    </xf>
    <xf numFmtId="0" fontId="47" fillId="56" borderId="25" xfId="0" applyFont="1" applyFill="1" applyBorder="1" applyAlignment="1" applyProtection="1">
      <alignment horizontal="center" vertical="center"/>
      <protection locked="0"/>
    </xf>
    <xf numFmtId="0" fontId="47" fillId="56" borderId="39" xfId="0" applyFont="1" applyFill="1" applyBorder="1" applyAlignment="1" applyProtection="1">
      <alignment horizontal="center" vertical="center"/>
      <protection locked="0"/>
    </xf>
    <xf numFmtId="0" fontId="21" fillId="45" borderId="38" xfId="0" applyFont="1" applyFill="1" applyBorder="1" applyAlignment="1">
      <alignment horizontal="center" vertical="center"/>
    </xf>
    <xf numFmtId="0" fontId="21" fillId="45" borderId="25" xfId="0" applyFont="1" applyFill="1" applyBorder="1" applyAlignment="1">
      <alignment horizontal="center" vertical="center"/>
    </xf>
    <xf numFmtId="0" fontId="22" fillId="45" borderId="0" xfId="0" applyFont="1" applyFill="1" applyBorder="1" applyAlignment="1" applyProtection="1">
      <alignment horizontal="center" wrapText="1"/>
      <protection locked="0"/>
    </xf>
    <xf numFmtId="0" fontId="19" fillId="50" borderId="38" xfId="0" applyFont="1" applyFill="1" applyBorder="1" applyAlignment="1" applyProtection="1">
      <alignment horizontal="center" vertical="center"/>
      <protection locked="0"/>
    </xf>
    <xf numFmtId="0" fontId="19" fillId="50" borderId="25" xfId="0" applyFont="1" applyFill="1" applyBorder="1" applyAlignment="1" applyProtection="1">
      <alignment horizontal="center" vertical="center"/>
      <protection locked="0"/>
    </xf>
    <xf numFmtId="0" fontId="47" fillId="60" borderId="118" xfId="95" applyFont="1" applyFill="1" applyBorder="1" applyAlignment="1">
      <alignment horizontal="left" vertical="center" wrapText="1"/>
      <protection/>
    </xf>
    <xf numFmtId="0" fontId="47" fillId="60" borderId="142" xfId="95" applyFont="1" applyFill="1" applyBorder="1" applyAlignment="1">
      <alignment horizontal="left" vertical="center" wrapText="1"/>
      <protection/>
    </xf>
    <xf numFmtId="0" fontId="47" fillId="60" borderId="38" xfId="95" applyFont="1" applyFill="1" applyBorder="1" applyAlignment="1">
      <alignment horizontal="left" vertical="center" wrapText="1"/>
      <protection/>
    </xf>
    <xf numFmtId="0" fontId="47" fillId="60" borderId="39" xfId="95" applyFont="1" applyFill="1" applyBorder="1" applyAlignment="1">
      <alignment horizontal="left" vertical="center" wrapText="1"/>
      <protection/>
    </xf>
    <xf numFmtId="0" fontId="47" fillId="60" borderId="46" xfId="95" applyFont="1" applyFill="1" applyBorder="1" applyAlignment="1">
      <alignment horizontal="left" vertical="center" wrapText="1"/>
      <protection/>
    </xf>
    <xf numFmtId="0" fontId="47" fillId="60" borderId="89" xfId="95" applyFont="1" applyFill="1" applyBorder="1" applyAlignment="1">
      <alignment horizontal="left" vertical="center" wrapText="1"/>
      <protection/>
    </xf>
    <xf numFmtId="0" fontId="42" fillId="0" borderId="49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3" fontId="150" fillId="15" borderId="0" xfId="0" applyNumberFormat="1" applyFont="1" applyFill="1" applyAlignment="1">
      <alignment horizontal="right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3" fillId="16" borderId="38" xfId="0" applyFont="1" applyFill="1" applyBorder="1" applyAlignment="1">
      <alignment horizontal="left" vertical="center"/>
    </xf>
    <xf numFmtId="0" fontId="13" fillId="16" borderId="39" xfId="0" applyFont="1" applyFill="1" applyBorder="1" applyAlignment="1">
      <alignment horizontal="left" vertical="center"/>
    </xf>
    <xf numFmtId="0" fontId="14" fillId="57" borderId="38" xfId="0" applyFont="1" applyFill="1" applyBorder="1" applyAlignment="1">
      <alignment horizontal="left" vertical="center"/>
    </xf>
    <xf numFmtId="0" fontId="14" fillId="57" borderId="25" xfId="0" applyFont="1" applyFill="1" applyBorder="1" applyAlignment="1">
      <alignment horizontal="left" vertical="center"/>
    </xf>
    <xf numFmtId="0" fontId="14" fillId="57" borderId="38" xfId="0" applyFont="1" applyFill="1" applyBorder="1" applyAlignment="1">
      <alignment horizontal="left" vertical="center"/>
    </xf>
    <xf numFmtId="0" fontId="14" fillId="57" borderId="39" xfId="0" applyFont="1" applyFill="1" applyBorder="1" applyAlignment="1">
      <alignment horizontal="left" vertical="center"/>
    </xf>
    <xf numFmtId="0" fontId="13" fillId="58" borderId="47" xfId="0" applyFont="1" applyFill="1" applyBorder="1" applyAlignment="1">
      <alignment horizontal="left" vertical="center"/>
    </xf>
    <xf numFmtId="0" fontId="13" fillId="58" borderId="66" xfId="0" applyFont="1" applyFill="1" applyBorder="1" applyAlignment="1">
      <alignment horizontal="left" vertical="center"/>
    </xf>
    <xf numFmtId="0" fontId="9" fillId="0" borderId="0" xfId="104" applyFont="1" applyFill="1" applyBorder="1" applyAlignment="1">
      <alignment horizontal="center"/>
      <protection/>
    </xf>
    <xf numFmtId="0" fontId="22" fillId="0" borderId="0" xfId="104" applyFont="1" applyFill="1" applyBorder="1" applyAlignment="1">
      <alignment horizontal="center"/>
      <protection/>
    </xf>
    <xf numFmtId="0" fontId="42" fillId="0" borderId="40" xfId="107" applyFont="1" applyBorder="1" applyAlignment="1">
      <alignment horizontal="center" vertical="center" wrapText="1"/>
      <protection/>
    </xf>
    <xf numFmtId="0" fontId="42" fillId="0" borderId="23" xfId="107" applyFont="1" applyBorder="1" applyAlignment="1">
      <alignment horizontal="center" vertical="center" wrapText="1"/>
      <protection/>
    </xf>
    <xf numFmtId="0" fontId="42" fillId="0" borderId="131" xfId="107" applyFont="1" applyBorder="1" applyAlignment="1">
      <alignment horizontal="center" vertical="center" wrapText="1"/>
      <protection/>
    </xf>
    <xf numFmtId="0" fontId="42" fillId="0" borderId="122" xfId="107" applyFont="1" applyBorder="1" applyAlignment="1">
      <alignment horizontal="center" vertical="center" wrapText="1"/>
      <protection/>
    </xf>
    <xf numFmtId="0" fontId="42" fillId="0" borderId="121" xfId="107" applyFont="1" applyBorder="1" applyAlignment="1">
      <alignment horizontal="center" vertical="center" wrapText="1"/>
      <protection/>
    </xf>
    <xf numFmtId="0" fontId="42" fillId="0" borderId="154" xfId="107" applyFont="1" applyBorder="1" applyAlignment="1">
      <alignment horizontal="center" vertical="center" wrapText="1"/>
      <protection/>
    </xf>
    <xf numFmtId="0" fontId="42" fillId="0" borderId="38" xfId="107" applyFont="1" applyBorder="1" applyAlignment="1">
      <alignment horizontal="center" vertical="center" wrapText="1"/>
      <protection/>
    </xf>
    <xf numFmtId="0" fontId="42" fillId="0" borderId="25" xfId="107" applyFont="1" applyBorder="1" applyAlignment="1">
      <alignment horizontal="center" vertical="center" wrapText="1"/>
      <protection/>
    </xf>
    <xf numFmtId="0" fontId="42" fillId="0" borderId="39" xfId="107" applyFont="1" applyBorder="1" applyAlignment="1">
      <alignment horizontal="center" vertical="center" wrapText="1"/>
      <protection/>
    </xf>
    <xf numFmtId="0" fontId="9" fillId="0" borderId="0" xfId="104" applyFont="1" applyFill="1" applyBorder="1" applyAlignment="1">
      <alignment horizontal="center" vertical="center"/>
      <protection/>
    </xf>
    <xf numFmtId="0" fontId="10" fillId="0" borderId="40" xfId="104" applyFont="1" applyFill="1" applyBorder="1" applyAlignment="1">
      <alignment horizontal="center" vertical="center" wrapText="1"/>
      <protection/>
    </xf>
    <xf numFmtId="0" fontId="10" fillId="0" borderId="49" xfId="104" applyFont="1" applyFill="1" applyBorder="1" applyAlignment="1">
      <alignment horizontal="center" vertical="center" wrapText="1"/>
      <protection/>
    </xf>
    <xf numFmtId="0" fontId="10" fillId="0" borderId="23" xfId="104" applyFont="1" applyFill="1" applyBorder="1" applyAlignment="1">
      <alignment horizontal="center" vertical="center" wrapText="1"/>
      <protection/>
    </xf>
    <xf numFmtId="0" fontId="23" fillId="0" borderId="40" xfId="104" applyFont="1" applyFill="1" applyBorder="1" applyAlignment="1">
      <alignment horizontal="center" vertical="center" wrapText="1"/>
      <protection/>
    </xf>
    <xf numFmtId="0" fontId="23" fillId="0" borderId="49" xfId="104" applyFont="1" applyFill="1" applyBorder="1" applyAlignment="1">
      <alignment horizontal="center" vertical="center" wrapText="1"/>
      <protection/>
    </xf>
    <xf numFmtId="0" fontId="23" fillId="0" borderId="23" xfId="104" applyFont="1" applyFill="1" applyBorder="1" applyAlignment="1">
      <alignment horizontal="center" vertical="center" wrapText="1"/>
      <protection/>
    </xf>
    <xf numFmtId="0" fontId="17" fillId="0" borderId="42" xfId="104" applyFont="1" applyFill="1" applyBorder="1" applyAlignment="1">
      <alignment horizontal="center" vertical="center" wrapText="1"/>
      <protection/>
    </xf>
    <xf numFmtId="0" fontId="14" fillId="0" borderId="114" xfId="104" applyFont="1" applyFill="1" applyBorder="1" applyAlignment="1">
      <alignment horizontal="center" vertical="center" wrapText="1"/>
      <protection/>
    </xf>
    <xf numFmtId="0" fontId="14" fillId="57" borderId="40" xfId="104" applyFont="1" applyFill="1" applyBorder="1" applyAlignment="1">
      <alignment horizontal="center" vertical="center" wrapText="1"/>
      <protection/>
    </xf>
    <xf numFmtId="0" fontId="14" fillId="57" borderId="23" xfId="104" applyFont="1" applyFill="1" applyBorder="1" applyAlignment="1">
      <alignment horizontal="center" vertical="center" wrapText="1"/>
      <protection/>
    </xf>
    <xf numFmtId="0" fontId="10" fillId="0" borderId="38" xfId="104" applyFont="1" applyFill="1" applyBorder="1" applyAlignment="1">
      <alignment horizontal="center" vertical="center" wrapText="1"/>
      <protection/>
    </xf>
    <xf numFmtId="0" fontId="10" fillId="0" borderId="25" xfId="104" applyFont="1" applyFill="1" applyBorder="1" applyAlignment="1">
      <alignment horizontal="center" vertical="center" wrapText="1"/>
      <protection/>
    </xf>
    <xf numFmtId="0" fontId="10" fillId="0" borderId="39" xfId="104" applyFont="1" applyFill="1" applyBorder="1" applyAlignment="1">
      <alignment horizontal="center" vertical="center" wrapText="1"/>
      <protection/>
    </xf>
    <xf numFmtId="0" fontId="17" fillId="0" borderId="108" xfId="104" applyFont="1" applyFill="1" applyBorder="1" applyAlignment="1">
      <alignment horizontal="center" vertical="center" wrapText="1"/>
      <protection/>
    </xf>
    <xf numFmtId="0" fontId="17" fillId="0" borderId="115" xfId="104" applyFont="1" applyFill="1" applyBorder="1" applyAlignment="1">
      <alignment horizontal="center" vertical="center" wrapText="1"/>
      <protection/>
    </xf>
    <xf numFmtId="0" fontId="17" fillId="0" borderId="131" xfId="104" applyFont="1" applyFill="1" applyBorder="1" applyAlignment="1">
      <alignment horizontal="center" vertical="center" wrapText="1"/>
      <protection/>
    </xf>
    <xf numFmtId="0" fontId="17" fillId="0" borderId="122" xfId="104" applyFont="1" applyFill="1" applyBorder="1" applyAlignment="1">
      <alignment horizontal="center" vertical="center" wrapText="1"/>
      <protection/>
    </xf>
    <xf numFmtId="0" fontId="22" fillId="0" borderId="0" xfId="104" applyFont="1" applyFill="1" applyBorder="1" applyAlignment="1">
      <alignment horizontal="center" vertical="center"/>
      <protection/>
    </xf>
    <xf numFmtId="0" fontId="17" fillId="0" borderId="40" xfId="104" applyFont="1" applyFill="1" applyBorder="1" applyAlignment="1">
      <alignment horizontal="center" vertical="center" wrapText="1"/>
      <protection/>
    </xf>
    <xf numFmtId="0" fontId="17" fillId="0" borderId="23" xfId="104" applyFont="1" applyFill="1" applyBorder="1" applyAlignment="1">
      <alignment horizontal="center" vertical="center" wrapText="1"/>
      <protection/>
    </xf>
    <xf numFmtId="0" fontId="17" fillId="0" borderId="107" xfId="104" applyFont="1" applyFill="1" applyBorder="1" applyAlignment="1">
      <alignment horizontal="center" vertical="center" wrapText="1"/>
      <protection/>
    </xf>
    <xf numFmtId="0" fontId="14" fillId="0" borderId="135" xfId="104" applyFont="1" applyFill="1" applyBorder="1" applyAlignment="1">
      <alignment horizontal="center" vertical="center" wrapText="1"/>
      <protection/>
    </xf>
  </cellXfs>
  <cellStyles count="10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Comma0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yperlink" xfId="71"/>
    <cellStyle name="Hivatkozott cella" xfId="72"/>
    <cellStyle name="Hivatkozott cella 2" xfId="73"/>
    <cellStyle name="Jegyzet" xfId="74"/>
    <cellStyle name="Jegyzet 2" xfId="75"/>
    <cellStyle name="Jelölőszín (1) 2" xfId="76"/>
    <cellStyle name="Jelölőszín (2) 2" xfId="77"/>
    <cellStyle name="Jelölőszín (3) 2" xfId="78"/>
    <cellStyle name="Jelölőszín (4) 2" xfId="79"/>
    <cellStyle name="Jelölőszín (5) 2" xfId="80"/>
    <cellStyle name="Jelölőszín (6) 2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Jó 2" xfId="89"/>
    <cellStyle name="Kimenet" xfId="90"/>
    <cellStyle name="Kimenet 2" xfId="91"/>
    <cellStyle name="Followed Hyperlink" xfId="92"/>
    <cellStyle name="Magyarázó szöveg" xfId="93"/>
    <cellStyle name="Magyarázó szöveg 2" xfId="94"/>
    <cellStyle name="Normál 2" xfId="95"/>
    <cellStyle name="Normál 2 2" xfId="96"/>
    <cellStyle name="Normál 3" xfId="97"/>
    <cellStyle name="Normál 3 2" xfId="98"/>
    <cellStyle name="Normál_GÖRDÜLŐ" xfId="99"/>
    <cellStyle name="Normál_gördülő2" xfId="100"/>
    <cellStyle name="Normál_kiad2003eredeti" xfId="101"/>
    <cellStyle name="Normál_kiad2004eredeti HIVATALI AJÁNLOTT" xfId="102"/>
    <cellStyle name="Normál_kiad2006eredeti(4)" xfId="103"/>
    <cellStyle name="Normál_kiadásössz" xfId="104"/>
    <cellStyle name="Normál_KVFORMÁTUM" xfId="105"/>
    <cellStyle name="Normál_Önkbevét+Intézm." xfId="106"/>
    <cellStyle name="Normál_ÖSSZESSÍTETT pályázatok 2" xfId="107"/>
    <cellStyle name="Normál_Városüzemeltetés Kht." xfId="108"/>
    <cellStyle name="Normál_x4. sz. melléklet-VÜZ" xfId="109"/>
    <cellStyle name="Összesen" xfId="110"/>
    <cellStyle name="Összesen 2" xfId="111"/>
    <cellStyle name="Currency" xfId="112"/>
    <cellStyle name="Currency [0]" xfId="113"/>
    <cellStyle name="Rossz" xfId="114"/>
    <cellStyle name="Rossz 2" xfId="115"/>
    <cellStyle name="Semleges" xfId="116"/>
    <cellStyle name="Semleges 2" xfId="117"/>
    <cellStyle name="Számítás" xfId="118"/>
    <cellStyle name="Számítás 2" xfId="119"/>
    <cellStyle name="Percen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A7A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binet\irodai_kozos\TEST&#220;LETI%20EL&#336;TERJESZT&#201;SEK\2020\11%20november%2012\kiad2020_m&#243;dos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3">
        <row r="4">
          <cell r="H4">
            <v>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Városfejlesztő Kft"/>
      <sheetName val="Tartalék"/>
      <sheetName val="Polgármesteri Hivatal"/>
      <sheetName val="PH-Számítástechnika"/>
      <sheetName val="Igazgatási feladatok"/>
      <sheetName val="Közterület-Felügyelet(Hivatal)"/>
      <sheetName val="Építéshatósági feladatok"/>
      <sheetName val="Munka1"/>
    </sheetNames>
    <sheetDataSet>
      <sheetData sheetId="18">
        <row r="36">
          <cell r="T36">
            <v>828715</v>
          </cell>
        </row>
        <row r="38">
          <cell r="T38">
            <v>19033</v>
          </cell>
        </row>
        <row r="42">
          <cell r="T42">
            <v>31133</v>
          </cell>
        </row>
        <row r="45">
          <cell r="T45">
            <v>500</v>
          </cell>
        </row>
        <row r="48">
          <cell r="T48">
            <v>40749</v>
          </cell>
        </row>
        <row r="102">
          <cell r="T102">
            <v>2015073</v>
          </cell>
        </row>
        <row r="105">
          <cell r="V105">
            <v>38263</v>
          </cell>
        </row>
        <row r="109">
          <cell r="V109">
            <v>3595</v>
          </cell>
        </row>
        <row r="112">
          <cell r="V112">
            <v>12421</v>
          </cell>
        </row>
        <row r="116">
          <cell r="V116">
            <v>16906</v>
          </cell>
        </row>
        <row r="139">
          <cell r="T139">
            <v>404383</v>
          </cell>
        </row>
        <row r="140">
          <cell r="T140">
            <v>4300</v>
          </cell>
        </row>
        <row r="141">
          <cell r="T141">
            <v>135316</v>
          </cell>
        </row>
        <row r="142">
          <cell r="T142">
            <v>20091</v>
          </cell>
        </row>
        <row r="160">
          <cell r="T160">
            <v>210500</v>
          </cell>
        </row>
        <row r="161">
          <cell r="T161">
            <v>84180</v>
          </cell>
        </row>
        <row r="163">
          <cell r="T163">
            <v>12011</v>
          </cell>
        </row>
        <row r="166">
          <cell r="T166">
            <v>12250</v>
          </cell>
        </row>
        <row r="167">
          <cell r="T167">
            <v>209732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showGridLines="0" zoomScale="80" zoomScaleNormal="80" zoomScalePageLayoutView="0" workbookViewId="0" topLeftCell="A1">
      <pane xSplit="6" ySplit="7" topLeftCell="G17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I1" sqref="I1"/>
    </sheetView>
  </sheetViews>
  <sheetFormatPr defaultColWidth="9.00390625" defaultRowHeight="12.75"/>
  <cols>
    <col min="1" max="1" width="6.875" style="562" customWidth="1"/>
    <col min="2" max="2" width="7.375" style="562" customWidth="1"/>
    <col min="3" max="3" width="11.50390625" style="564" customWidth="1"/>
    <col min="4" max="4" width="6.875" style="564" customWidth="1"/>
    <col min="5" max="5" width="83.875" style="564" customWidth="1"/>
    <col min="6" max="6" width="9.375" style="564" customWidth="1"/>
    <col min="7" max="7" width="16.50390625" style="574" customWidth="1"/>
    <col min="8" max="8" width="17.125" style="574" customWidth="1"/>
    <col min="9" max="9" width="18.00390625" style="574" customWidth="1"/>
    <col min="10" max="10" width="16.125" style="1710" customWidth="1"/>
    <col min="11" max="11" width="15.625" style="731" customWidth="1"/>
  </cols>
  <sheetData>
    <row r="1" spans="3:9" ht="14.25">
      <c r="C1" s="563"/>
      <c r="I1" s="575" t="s">
        <v>853</v>
      </c>
    </row>
    <row r="2" ht="13.5" customHeight="1">
      <c r="I2" s="575" t="s">
        <v>93</v>
      </c>
    </row>
    <row r="3" spans="1:10" s="572" customFormat="1" ht="30.75" customHeight="1">
      <c r="A3" s="1811" t="s">
        <v>577</v>
      </c>
      <c r="B3" s="1811"/>
      <c r="C3" s="1811"/>
      <c r="D3" s="1811"/>
      <c r="E3" s="1811"/>
      <c r="F3" s="1811"/>
      <c r="G3" s="1811"/>
      <c r="H3" s="1811"/>
      <c r="I3" s="1811"/>
      <c r="J3" s="1174"/>
    </row>
    <row r="4" spans="1:10" s="569" customFormat="1" ht="21" customHeight="1">
      <c r="A4" s="1798" t="s">
        <v>582</v>
      </c>
      <c r="B4" s="1798"/>
      <c r="C4" s="1798"/>
      <c r="D4" s="1798"/>
      <c r="E4" s="1798"/>
      <c r="F4" s="1798"/>
      <c r="G4" s="1798"/>
      <c r="H4" s="1798"/>
      <c r="I4" s="1798"/>
      <c r="J4" s="1175"/>
    </row>
    <row r="5" ht="24" customHeight="1" thickBot="1">
      <c r="I5" s="575" t="s">
        <v>134</v>
      </c>
    </row>
    <row r="6" spans="1:11" s="567" customFormat="1" ht="66" customHeight="1" thickBot="1">
      <c r="A6" s="568" t="s">
        <v>307</v>
      </c>
      <c r="B6" s="1812" t="s">
        <v>308</v>
      </c>
      <c r="C6" s="1812"/>
      <c r="D6" s="1812"/>
      <c r="E6" s="1813"/>
      <c r="F6" s="596" t="s">
        <v>221</v>
      </c>
      <c r="G6" s="1010" t="s">
        <v>664</v>
      </c>
      <c r="H6" s="1011" t="s">
        <v>424</v>
      </c>
      <c r="I6" s="591" t="s">
        <v>661</v>
      </c>
      <c r="J6" s="1714"/>
      <c r="K6" s="1715"/>
    </row>
    <row r="7" spans="1:11" s="999" customFormat="1" ht="10.5" customHeight="1" thickBot="1">
      <c r="A7" s="1000">
        <v>1</v>
      </c>
      <c r="B7" s="1808">
        <v>2</v>
      </c>
      <c r="C7" s="1809"/>
      <c r="D7" s="1809"/>
      <c r="E7" s="1810"/>
      <c r="F7" s="1001">
        <v>3</v>
      </c>
      <c r="G7" s="1002">
        <v>4</v>
      </c>
      <c r="H7" s="1003">
        <v>5</v>
      </c>
      <c r="I7" s="1004">
        <v>6</v>
      </c>
      <c r="J7" s="1716"/>
      <c r="K7" s="1717"/>
    </row>
    <row r="8" spans="1:11" s="208" customFormat="1" ht="17.25" customHeight="1" thickBot="1">
      <c r="A8" s="619">
        <v>1</v>
      </c>
      <c r="B8" s="1801" t="s">
        <v>309</v>
      </c>
      <c r="C8" s="1801"/>
      <c r="D8" s="1801"/>
      <c r="E8" s="1802"/>
      <c r="F8" s="620" t="s">
        <v>224</v>
      </c>
      <c r="G8" s="859">
        <f>SUM(G9:G14)</f>
        <v>2080652</v>
      </c>
      <c r="H8" s="859">
        <f>SUM(H9:H14)</f>
        <v>107955</v>
      </c>
      <c r="I8" s="1171">
        <f>SUM(I9:I14)</f>
        <v>2188607</v>
      </c>
      <c r="J8" s="733"/>
      <c r="K8" s="1596">
        <f>hivatal9!K36</f>
        <v>2188607</v>
      </c>
    </row>
    <row r="9" spans="1:11" s="94" customFormat="1" ht="15.75" customHeight="1">
      <c r="A9" s="637"/>
      <c r="B9" s="635" t="s">
        <v>98</v>
      </c>
      <c r="C9" s="1782" t="s">
        <v>225</v>
      </c>
      <c r="D9" s="1783"/>
      <c r="E9" s="1784"/>
      <c r="F9" s="624" t="s">
        <v>226</v>
      </c>
      <c r="G9" s="1026">
        <v>1451</v>
      </c>
      <c r="H9" s="625">
        <v>411</v>
      </c>
      <c r="I9" s="626">
        <f aca="true" t="shared" si="0" ref="I9:I15">SUM(G9:H9)</f>
        <v>1862</v>
      </c>
      <c r="J9" s="733"/>
      <c r="K9" s="729"/>
    </row>
    <row r="10" spans="1:11" s="94" customFormat="1" ht="14.25">
      <c r="A10" s="637"/>
      <c r="B10" s="605" t="s">
        <v>99</v>
      </c>
      <c r="C10" s="1787" t="s">
        <v>227</v>
      </c>
      <c r="D10" s="1788"/>
      <c r="E10" s="1789"/>
      <c r="F10" s="597" t="s">
        <v>228</v>
      </c>
      <c r="G10" s="1414">
        <v>945729</v>
      </c>
      <c r="H10" s="579">
        <v>62957</v>
      </c>
      <c r="I10" s="626">
        <f t="shared" si="0"/>
        <v>1008686</v>
      </c>
      <c r="J10" s="733"/>
      <c r="K10" s="729"/>
    </row>
    <row r="11" spans="1:11" s="94" customFormat="1" ht="14.25">
      <c r="A11" s="637"/>
      <c r="B11" s="605" t="s">
        <v>100</v>
      </c>
      <c r="C11" s="1805" t="s">
        <v>229</v>
      </c>
      <c r="D11" s="1806"/>
      <c r="E11" s="1807"/>
      <c r="F11" s="597" t="s">
        <v>230</v>
      </c>
      <c r="G11" s="1414">
        <v>878925</v>
      </c>
      <c r="H11" s="579">
        <v>37735</v>
      </c>
      <c r="I11" s="626">
        <f t="shared" si="0"/>
        <v>916660</v>
      </c>
      <c r="J11" s="1709">
        <f>SUM(I9:I11)</f>
        <v>1927208</v>
      </c>
      <c r="K11" s="729"/>
    </row>
    <row r="12" spans="1:11" s="94" customFormat="1" ht="14.25">
      <c r="A12" s="637"/>
      <c r="B12" s="605" t="s">
        <v>101</v>
      </c>
      <c r="C12" s="1787" t="s">
        <v>231</v>
      </c>
      <c r="D12" s="1788"/>
      <c r="E12" s="1789"/>
      <c r="F12" s="597" t="s">
        <v>232</v>
      </c>
      <c r="G12" s="1414">
        <v>235245</v>
      </c>
      <c r="H12" s="579">
        <v>6852</v>
      </c>
      <c r="I12" s="626">
        <f t="shared" si="0"/>
        <v>242097</v>
      </c>
      <c r="J12" s="733"/>
      <c r="K12" s="729"/>
    </row>
    <row r="13" spans="1:11" s="94" customFormat="1" ht="14.25">
      <c r="A13" s="637"/>
      <c r="B13" s="605" t="s">
        <v>192</v>
      </c>
      <c r="C13" s="1787" t="s">
        <v>510</v>
      </c>
      <c r="D13" s="1788"/>
      <c r="E13" s="1789"/>
      <c r="F13" s="597" t="s">
        <v>233</v>
      </c>
      <c r="G13" s="586"/>
      <c r="H13" s="579"/>
      <c r="I13" s="626">
        <f t="shared" si="0"/>
        <v>0</v>
      </c>
      <c r="J13" s="733"/>
      <c r="K13" s="729"/>
    </row>
    <row r="14" spans="1:11" s="94" customFormat="1" ht="15" thickBot="1">
      <c r="A14" s="638"/>
      <c r="B14" s="613" t="s">
        <v>327</v>
      </c>
      <c r="C14" s="1790" t="s">
        <v>511</v>
      </c>
      <c r="D14" s="1791"/>
      <c r="E14" s="1792"/>
      <c r="F14" s="628" t="s">
        <v>234</v>
      </c>
      <c r="G14" s="588">
        <v>19302</v>
      </c>
      <c r="H14" s="580"/>
      <c r="I14" s="626">
        <f t="shared" si="0"/>
        <v>19302</v>
      </c>
      <c r="J14" s="733"/>
      <c r="K14" s="729"/>
    </row>
    <row r="15" spans="1:11" s="94" customFormat="1" ht="15.75" thickBot="1">
      <c r="A15" s="636">
        <v>2</v>
      </c>
      <c r="B15" s="1814" t="s">
        <v>235</v>
      </c>
      <c r="C15" s="1801"/>
      <c r="D15" s="1801"/>
      <c r="E15" s="1802"/>
      <c r="F15" s="670" t="s">
        <v>236</v>
      </c>
      <c r="G15" s="629">
        <v>20693</v>
      </c>
      <c r="H15" s="630"/>
      <c r="I15" s="623">
        <f t="shared" si="0"/>
        <v>20693</v>
      </c>
      <c r="J15" s="733"/>
      <c r="K15" s="729"/>
    </row>
    <row r="16" spans="1:11" s="233" customFormat="1" ht="14.25" customHeight="1" thickBot="1">
      <c r="A16" s="1034">
        <v>3</v>
      </c>
      <c r="B16" s="1815" t="s">
        <v>237</v>
      </c>
      <c r="C16" s="1801"/>
      <c r="D16" s="1801"/>
      <c r="E16" s="1802"/>
      <c r="F16" s="1037" t="s">
        <v>238</v>
      </c>
      <c r="G16" s="859">
        <f>SUM(G17:G19)</f>
        <v>240360</v>
      </c>
      <c r="H16" s="859">
        <f>SUM(H17:H19)</f>
        <v>50950</v>
      </c>
      <c r="I16" s="1022">
        <f>SUM(I17:I19)</f>
        <v>291310</v>
      </c>
      <c r="J16" s="733"/>
      <c r="K16" s="1709">
        <f>hivatal9!K39</f>
        <v>291310</v>
      </c>
    </row>
    <row r="17" spans="1:11" s="208" customFormat="1" ht="15" customHeight="1">
      <c r="A17" s="609"/>
      <c r="B17" s="1817"/>
      <c r="C17" s="762" t="s">
        <v>243</v>
      </c>
      <c r="D17" s="1799" t="s">
        <v>552</v>
      </c>
      <c r="E17" s="1800"/>
      <c r="F17" s="1035" t="s">
        <v>238</v>
      </c>
      <c r="G17" s="665">
        <v>157513</v>
      </c>
      <c r="H17" s="666"/>
      <c r="I17" s="1036">
        <f>SUM(G17:H17)</f>
        <v>157513</v>
      </c>
      <c r="J17" s="733"/>
      <c r="K17" s="729"/>
    </row>
    <row r="18" spans="1:11" s="208" customFormat="1" ht="14.25">
      <c r="A18" s="609"/>
      <c r="B18" s="1817"/>
      <c r="C18" s="1200" t="s">
        <v>243</v>
      </c>
      <c r="D18" s="1785" t="s">
        <v>310</v>
      </c>
      <c r="E18" s="1816"/>
      <c r="F18" s="573" t="s">
        <v>238</v>
      </c>
      <c r="G18" s="594"/>
      <c r="H18" s="594"/>
      <c r="I18" s="1036">
        <f>SUM(G18:H18)</f>
        <v>0</v>
      </c>
      <c r="J18" s="733"/>
      <c r="K18" s="729"/>
    </row>
    <row r="19" spans="1:11" s="208" customFormat="1" ht="15" thickBot="1">
      <c r="A19" s="609"/>
      <c r="B19" s="1818"/>
      <c r="C19" s="762" t="s">
        <v>243</v>
      </c>
      <c r="D19" s="1799" t="s">
        <v>351</v>
      </c>
      <c r="E19" s="1800"/>
      <c r="F19" s="573" t="s">
        <v>238</v>
      </c>
      <c r="G19" s="665">
        <v>82847</v>
      </c>
      <c r="H19" s="666">
        <f>-22055-1877+74882</f>
        <v>50950</v>
      </c>
      <c r="I19" s="576">
        <f>SUM(G19:H19)</f>
        <v>133797</v>
      </c>
      <c r="J19" s="733"/>
      <c r="K19" s="729"/>
    </row>
    <row r="20" spans="1:15" s="208" customFormat="1" ht="18.75" customHeight="1" thickBot="1">
      <c r="A20" s="680" t="s">
        <v>95</v>
      </c>
      <c r="B20" s="1797" t="s">
        <v>222</v>
      </c>
      <c r="C20" s="1771"/>
      <c r="D20" s="1771"/>
      <c r="E20" s="1772"/>
      <c r="F20" s="681" t="s">
        <v>223</v>
      </c>
      <c r="G20" s="682">
        <f>G8+G15+G16</f>
        <v>2341705</v>
      </c>
      <c r="H20" s="682">
        <f>H8+H15+H16</f>
        <v>158905</v>
      </c>
      <c r="I20" s="683">
        <f>I8+I15+I16</f>
        <v>2500610</v>
      </c>
      <c r="J20" s="1709">
        <f>SUM(G20:H20)</f>
        <v>2500610</v>
      </c>
      <c r="K20" s="1596">
        <f>hivatal9!K40</f>
        <v>2500610</v>
      </c>
      <c r="O20" s="571"/>
    </row>
    <row r="21" spans="1:11" s="208" customFormat="1" ht="15.75" thickBot="1">
      <c r="A21" s="619">
        <v>1</v>
      </c>
      <c r="B21" s="1801" t="s">
        <v>241</v>
      </c>
      <c r="C21" s="1801"/>
      <c r="D21" s="1801"/>
      <c r="E21" s="1802"/>
      <c r="F21" s="620" t="s">
        <v>242</v>
      </c>
      <c r="G21" s="621">
        <v>0</v>
      </c>
      <c r="H21" s="622">
        <v>0</v>
      </c>
      <c r="I21" s="627">
        <f>SUM(G21:H21)</f>
        <v>0</v>
      </c>
      <c r="J21" s="733"/>
      <c r="K21" s="729"/>
    </row>
    <row r="22" spans="1:11" s="208" customFormat="1" ht="15">
      <c r="A22" s="632">
        <v>2</v>
      </c>
      <c r="B22" s="1803" t="s">
        <v>244</v>
      </c>
      <c r="C22" s="1803"/>
      <c r="D22" s="1803"/>
      <c r="E22" s="1804"/>
      <c r="F22" s="607" t="s">
        <v>245</v>
      </c>
      <c r="G22" s="618">
        <f>SUM(G23:G25)</f>
        <v>1613000</v>
      </c>
      <c r="H22" s="585">
        <f>SUM(H23:H25)</f>
        <v>0</v>
      </c>
      <c r="I22" s="585">
        <f>SUM(I23:I25)</f>
        <v>1613000</v>
      </c>
      <c r="J22" s="1709">
        <f>SUM(I23:I25)</f>
        <v>1613000</v>
      </c>
      <c r="K22" s="1596">
        <f>hivatal9!K42</f>
        <v>1613000</v>
      </c>
    </row>
    <row r="23" spans="1:11" s="94" customFormat="1" ht="14.25">
      <c r="A23" s="609"/>
      <c r="B23" s="605" t="s">
        <v>98</v>
      </c>
      <c r="C23" s="1787" t="s">
        <v>96</v>
      </c>
      <c r="D23" s="1788"/>
      <c r="E23" s="1789"/>
      <c r="F23" s="599" t="s">
        <v>245</v>
      </c>
      <c r="G23" s="587">
        <v>1078000</v>
      </c>
      <c r="H23" s="594"/>
      <c r="I23" s="593">
        <f>SUM(G23:H23)</f>
        <v>1078000</v>
      </c>
      <c r="J23" s="733"/>
      <c r="K23" s="729"/>
    </row>
    <row r="24" spans="1:11" s="94" customFormat="1" ht="14.25">
      <c r="A24" s="609"/>
      <c r="B24" s="605" t="s">
        <v>99</v>
      </c>
      <c r="C24" s="1787" t="s">
        <v>103</v>
      </c>
      <c r="D24" s="1788"/>
      <c r="E24" s="1789"/>
      <c r="F24" s="599" t="s">
        <v>245</v>
      </c>
      <c r="G24" s="587">
        <v>35000</v>
      </c>
      <c r="H24" s="594"/>
      <c r="I24" s="593">
        <f>SUM(G24:H24)</f>
        <v>35000</v>
      </c>
      <c r="J24" s="733"/>
      <c r="K24" s="729"/>
    </row>
    <row r="25" spans="1:11" s="94" customFormat="1" ht="15" thickBot="1">
      <c r="A25" s="609"/>
      <c r="B25" s="613" t="s">
        <v>100</v>
      </c>
      <c r="C25" s="1832" t="s">
        <v>97</v>
      </c>
      <c r="D25" s="1833"/>
      <c r="E25" s="1834"/>
      <c r="F25" s="644" t="s">
        <v>245</v>
      </c>
      <c r="G25" s="589">
        <v>500000</v>
      </c>
      <c r="H25" s="595"/>
      <c r="I25" s="593">
        <f>SUM(G25:H25)</f>
        <v>500000</v>
      </c>
      <c r="J25" s="733"/>
      <c r="K25" s="729"/>
    </row>
    <row r="26" spans="1:11" s="208" customFormat="1" ht="15" customHeight="1">
      <c r="A26" s="632">
        <v>3</v>
      </c>
      <c r="B26" s="1779" t="s">
        <v>246</v>
      </c>
      <c r="C26" s="1780"/>
      <c r="D26" s="1780"/>
      <c r="E26" s="1781"/>
      <c r="F26" s="604" t="s">
        <v>247</v>
      </c>
      <c r="G26" s="614">
        <f>G27+G29+G30+G28</f>
        <v>4868450</v>
      </c>
      <c r="H26" s="614">
        <f>H27+H29+H30+H28</f>
        <v>0</v>
      </c>
      <c r="I26" s="615">
        <f>I27+I29+I30+I28</f>
        <v>4868450</v>
      </c>
      <c r="J26" s="733"/>
      <c r="K26" s="1596">
        <f>hivatal9!K43</f>
        <v>4868450</v>
      </c>
    </row>
    <row r="27" spans="1:11" s="208" customFormat="1" ht="14.25">
      <c r="A27" s="609"/>
      <c r="B27" s="605" t="s">
        <v>98</v>
      </c>
      <c r="C27" s="1787" t="s">
        <v>367</v>
      </c>
      <c r="D27" s="1788"/>
      <c r="E27" s="1789"/>
      <c r="F27" s="598" t="s">
        <v>248</v>
      </c>
      <c r="G27" s="941">
        <v>4861006</v>
      </c>
      <c r="H27" s="576"/>
      <c r="I27" s="576">
        <f>SUM(G27:H27)</f>
        <v>4861006</v>
      </c>
      <c r="J27" s="733"/>
      <c r="K27" s="729"/>
    </row>
    <row r="28" spans="1:11" s="208" customFormat="1" ht="14.25">
      <c r="A28" s="609"/>
      <c r="B28" s="605" t="s">
        <v>99</v>
      </c>
      <c r="C28" s="1052" t="s">
        <v>478</v>
      </c>
      <c r="D28" s="1053"/>
      <c r="E28" s="598"/>
      <c r="F28" s="598" t="s">
        <v>479</v>
      </c>
      <c r="G28" s="941"/>
      <c r="H28" s="576"/>
      <c r="I28" s="576">
        <f>SUM(G28:H28)</f>
        <v>0</v>
      </c>
      <c r="J28" s="733"/>
      <c r="K28" s="729"/>
    </row>
    <row r="29" spans="1:11" s="94" customFormat="1" ht="14.25">
      <c r="A29" s="609"/>
      <c r="B29" s="605" t="s">
        <v>100</v>
      </c>
      <c r="C29" s="1787" t="s">
        <v>104</v>
      </c>
      <c r="D29" s="1788"/>
      <c r="E29" s="1789"/>
      <c r="F29" s="598" t="s">
        <v>249</v>
      </c>
      <c r="G29" s="941">
        <v>6674</v>
      </c>
      <c r="H29" s="576"/>
      <c r="I29" s="576">
        <f>SUM(G29:H29)</f>
        <v>6674</v>
      </c>
      <c r="J29" s="733"/>
      <c r="K29" s="729"/>
    </row>
    <row r="30" spans="1:11" s="94" customFormat="1" ht="15">
      <c r="A30" s="609"/>
      <c r="B30" s="1794" t="s">
        <v>101</v>
      </c>
      <c r="C30" s="1787" t="s">
        <v>250</v>
      </c>
      <c r="D30" s="1788"/>
      <c r="E30" s="1789"/>
      <c r="F30" s="608" t="s">
        <v>251</v>
      </c>
      <c r="G30" s="660">
        <f>SUM(G31:G32)</f>
        <v>770</v>
      </c>
      <c r="H30" s="660">
        <f>SUM(H31:H32)</f>
        <v>0</v>
      </c>
      <c r="I30" s="577">
        <f>SUM(I31:I32)</f>
        <v>770</v>
      </c>
      <c r="J30" s="733"/>
      <c r="K30" s="729"/>
    </row>
    <row r="31" spans="1:11" s="94" customFormat="1" ht="14.25">
      <c r="A31" s="609"/>
      <c r="B31" s="1795"/>
      <c r="C31" s="705" t="s">
        <v>243</v>
      </c>
      <c r="D31" s="1177" t="s">
        <v>506</v>
      </c>
      <c r="E31" s="598"/>
      <c r="F31" s="599" t="s">
        <v>251</v>
      </c>
      <c r="G31" s="1186">
        <v>770</v>
      </c>
      <c r="H31" s="1186"/>
      <c r="I31" s="866">
        <f>SUM(G31:H31)</f>
        <v>770</v>
      </c>
      <c r="J31" s="733"/>
      <c r="K31" s="729"/>
    </row>
    <row r="32" spans="1:11" s="1013" customFormat="1" ht="14.25" customHeight="1" thickBot="1">
      <c r="A32" s="1014"/>
      <c r="B32" s="1796"/>
      <c r="C32" s="724" t="s">
        <v>243</v>
      </c>
      <c r="D32" s="611" t="s">
        <v>352</v>
      </c>
      <c r="E32" s="612"/>
      <c r="F32" s="644" t="s">
        <v>251</v>
      </c>
      <c r="G32" s="1015"/>
      <c r="H32" s="946"/>
      <c r="I32" s="1187">
        <f>SUM(G32:H32)</f>
        <v>0</v>
      </c>
      <c r="J32" s="1012"/>
      <c r="K32" s="708"/>
    </row>
    <row r="33" spans="1:11" s="208" customFormat="1" ht="14.25" customHeight="1">
      <c r="A33" s="632">
        <v>4</v>
      </c>
      <c r="B33" s="1779" t="s">
        <v>252</v>
      </c>
      <c r="C33" s="1780"/>
      <c r="D33" s="1780"/>
      <c r="E33" s="1780"/>
      <c r="F33" s="1263" t="s">
        <v>253</v>
      </c>
      <c r="G33" s="1259">
        <f>SUM(G34:G39)</f>
        <v>32132</v>
      </c>
      <c r="H33" s="615">
        <f>SUM(H34:H39)</f>
        <v>1625</v>
      </c>
      <c r="I33" s="1259">
        <f>SUM(I34:I39)</f>
        <v>33757</v>
      </c>
      <c r="J33" s="1709">
        <f>SUM(G33:H33)</f>
        <v>33757</v>
      </c>
      <c r="K33" s="1596">
        <f>hivatal9!K44</f>
        <v>33757</v>
      </c>
    </row>
    <row r="34" spans="1:11" s="94" customFormat="1" ht="14.25" customHeight="1">
      <c r="A34" s="609"/>
      <c r="B34" s="1819"/>
      <c r="C34" s="705" t="s">
        <v>243</v>
      </c>
      <c r="D34" s="1787" t="s">
        <v>48</v>
      </c>
      <c r="E34" s="1788"/>
      <c r="F34" s="573" t="s">
        <v>253</v>
      </c>
      <c r="G34" s="1257">
        <v>14</v>
      </c>
      <c r="H34" s="594">
        <v>18</v>
      </c>
      <c r="I34" s="593">
        <f>SUM(G34:H34)</f>
        <v>32</v>
      </c>
      <c r="J34" s="733"/>
      <c r="K34" s="729"/>
    </row>
    <row r="35" spans="1:11" s="94" customFormat="1" ht="14.25" customHeight="1">
      <c r="A35" s="609"/>
      <c r="B35" s="1820"/>
      <c r="C35" s="705" t="s">
        <v>243</v>
      </c>
      <c r="D35" s="1787" t="s">
        <v>796</v>
      </c>
      <c r="E35" s="1788"/>
      <c r="F35" s="573" t="s">
        <v>253</v>
      </c>
      <c r="G35" s="1257">
        <v>6074</v>
      </c>
      <c r="H35" s="594">
        <v>436</v>
      </c>
      <c r="I35" s="593">
        <f>SUM(G35:H35)</f>
        <v>6510</v>
      </c>
      <c r="J35" s="733"/>
      <c r="K35" s="729"/>
    </row>
    <row r="36" spans="1:11" s="94" customFormat="1" ht="14.25" customHeight="1">
      <c r="A36" s="609"/>
      <c r="B36" s="1820"/>
      <c r="C36" s="705" t="s">
        <v>243</v>
      </c>
      <c r="D36" s="1787" t="s">
        <v>325</v>
      </c>
      <c r="E36" s="1788"/>
      <c r="F36" s="573" t="s">
        <v>253</v>
      </c>
      <c r="G36" s="1257"/>
      <c r="H36" s="594"/>
      <c r="I36" s="593">
        <f>SUM(G36:H36)</f>
        <v>0</v>
      </c>
      <c r="J36" s="733"/>
      <c r="K36" s="729"/>
    </row>
    <row r="37" spans="1:11" s="208" customFormat="1" ht="14.25" customHeight="1">
      <c r="A37" s="610"/>
      <c r="B37" s="1820"/>
      <c r="C37" s="705" t="s">
        <v>243</v>
      </c>
      <c r="D37" s="1787" t="s">
        <v>326</v>
      </c>
      <c r="E37" s="1788"/>
      <c r="F37" s="573" t="s">
        <v>253</v>
      </c>
      <c r="G37" s="1257"/>
      <c r="H37" s="594"/>
      <c r="I37" s="593">
        <f>SUM(G37:H37)</f>
        <v>0</v>
      </c>
      <c r="J37" s="733"/>
      <c r="K37" s="729"/>
    </row>
    <row r="38" spans="1:11" s="208" customFormat="1" ht="14.25" customHeight="1">
      <c r="A38" s="610"/>
      <c r="B38" s="1820"/>
      <c r="C38" s="705" t="s">
        <v>243</v>
      </c>
      <c r="D38" s="1787" t="s">
        <v>311</v>
      </c>
      <c r="E38" s="1788"/>
      <c r="F38" s="573" t="s">
        <v>253</v>
      </c>
      <c r="G38" s="1257"/>
      <c r="H38" s="594"/>
      <c r="I38" s="593">
        <f>SUM(G38:H38)</f>
        <v>0</v>
      </c>
      <c r="J38" s="733"/>
      <c r="K38" s="729"/>
    </row>
    <row r="39" spans="1:11" s="94" customFormat="1" ht="14.25" customHeight="1">
      <c r="A39" s="1822"/>
      <c r="B39" s="1820"/>
      <c r="C39" s="1794" t="s">
        <v>243</v>
      </c>
      <c r="D39" s="1787" t="s">
        <v>49</v>
      </c>
      <c r="E39" s="1788"/>
      <c r="F39" s="573" t="s">
        <v>253</v>
      </c>
      <c r="G39" s="594">
        <f>SUM(G40:G43)</f>
        <v>26044</v>
      </c>
      <c r="H39" s="594">
        <f>SUM(H40:H43)</f>
        <v>1171</v>
      </c>
      <c r="I39" s="1257">
        <f>SUM(I40:I43)</f>
        <v>27215</v>
      </c>
      <c r="J39" s="733"/>
      <c r="K39" s="729"/>
    </row>
    <row r="40" spans="1:11" s="94" customFormat="1" ht="14.25" customHeight="1">
      <c r="A40" s="1822"/>
      <c r="B40" s="1820"/>
      <c r="C40" s="1795"/>
      <c r="D40" s="560" t="s">
        <v>57</v>
      </c>
      <c r="E40" s="1260" t="s">
        <v>431</v>
      </c>
      <c r="F40" s="573" t="s">
        <v>253</v>
      </c>
      <c r="G40" s="1258">
        <v>5000</v>
      </c>
      <c r="H40" s="581"/>
      <c r="I40" s="1256">
        <f>SUM(G40:H40)</f>
        <v>5000</v>
      </c>
      <c r="J40" s="733"/>
      <c r="K40" s="729"/>
    </row>
    <row r="41" spans="1:11" s="94" customFormat="1" ht="14.25" customHeight="1">
      <c r="A41" s="1822"/>
      <c r="B41" s="1820"/>
      <c r="C41" s="1795"/>
      <c r="D41" s="560" t="s">
        <v>58</v>
      </c>
      <c r="E41" s="1260" t="s">
        <v>426</v>
      </c>
      <c r="F41" s="573" t="s">
        <v>253</v>
      </c>
      <c r="G41" s="1358">
        <v>9782</v>
      </c>
      <c r="H41" s="581"/>
      <c r="I41" s="1256">
        <f>SUM(G41:H41)</f>
        <v>9782</v>
      </c>
      <c r="J41" s="733"/>
      <c r="K41" s="729"/>
    </row>
    <row r="42" spans="1:11" s="94" customFormat="1" ht="14.25" customHeight="1">
      <c r="A42" s="1822"/>
      <c r="B42" s="1820"/>
      <c r="C42" s="1795"/>
      <c r="D42" s="639" t="s">
        <v>524</v>
      </c>
      <c r="E42" s="1260" t="s">
        <v>323</v>
      </c>
      <c r="F42" s="573" t="s">
        <v>253</v>
      </c>
      <c r="G42" s="1258">
        <v>10000</v>
      </c>
      <c r="H42" s="581"/>
      <c r="I42" s="1256">
        <f>SUM(G42:H42)</f>
        <v>10000</v>
      </c>
      <c r="J42" s="733"/>
      <c r="K42" s="729"/>
    </row>
    <row r="43" spans="1:11" s="94" customFormat="1" ht="14.25" customHeight="1" thickBot="1">
      <c r="A43" s="1823"/>
      <c r="B43" s="1821"/>
      <c r="C43" s="1796"/>
      <c r="D43" s="639" t="s">
        <v>525</v>
      </c>
      <c r="E43" s="1260" t="s">
        <v>368</v>
      </c>
      <c r="F43" s="1262" t="s">
        <v>253</v>
      </c>
      <c r="G43" s="1261">
        <v>1262</v>
      </c>
      <c r="H43" s="946">
        <v>1171</v>
      </c>
      <c r="I43" s="1256">
        <f>SUM(G43:H43)</f>
        <v>2433</v>
      </c>
      <c r="J43" s="733"/>
      <c r="K43" s="729"/>
    </row>
    <row r="44" spans="1:11" s="208" customFormat="1" ht="18.75" customHeight="1" thickBot="1">
      <c r="A44" s="684" t="s">
        <v>102</v>
      </c>
      <c r="B44" s="1770" t="s">
        <v>239</v>
      </c>
      <c r="C44" s="1771"/>
      <c r="D44" s="1771"/>
      <c r="E44" s="1772"/>
      <c r="F44" s="685" t="s">
        <v>240</v>
      </c>
      <c r="G44" s="686">
        <f>G21+G22++G26+G33</f>
        <v>6513582</v>
      </c>
      <c r="H44" s="687">
        <f>H21+H22++H26+H33</f>
        <v>1625</v>
      </c>
      <c r="I44" s="683">
        <f>I21+I22++I26+I33</f>
        <v>6515207</v>
      </c>
      <c r="J44" s="1709">
        <f>SUM(G44:H44)</f>
        <v>6515207</v>
      </c>
      <c r="K44" s="1596">
        <f>hivatal9!K45</f>
        <v>6515207</v>
      </c>
    </row>
    <row r="45" spans="1:11" s="208" customFormat="1" ht="15.75" customHeight="1">
      <c r="A45" s="632">
        <v>1</v>
      </c>
      <c r="B45" s="1779" t="s">
        <v>256</v>
      </c>
      <c r="C45" s="1780"/>
      <c r="D45" s="1780"/>
      <c r="E45" s="1781"/>
      <c r="F45" s="642" t="s">
        <v>257</v>
      </c>
      <c r="G45" s="648">
        <v>577</v>
      </c>
      <c r="H45" s="649">
        <f>818+4150+49</f>
        <v>5017</v>
      </c>
      <c r="I45" s="661">
        <f>SUM(G45:H45)</f>
        <v>5594</v>
      </c>
      <c r="J45" s="733"/>
      <c r="K45" s="729"/>
    </row>
    <row r="46" spans="1:11" s="208" customFormat="1" ht="15" customHeight="1">
      <c r="A46" s="631">
        <v>2</v>
      </c>
      <c r="B46" s="1767" t="s">
        <v>258</v>
      </c>
      <c r="C46" s="1768"/>
      <c r="D46" s="1768"/>
      <c r="E46" s="1769"/>
      <c r="F46" s="643" t="s">
        <v>259</v>
      </c>
      <c r="G46" s="652">
        <v>631218</v>
      </c>
      <c r="H46" s="653">
        <f>1409+719+2844+182+157-493-10</f>
        <v>4808</v>
      </c>
      <c r="I46" s="577">
        <f aca="true" t="shared" si="1" ref="I46:I53">SUM(G46:H46)</f>
        <v>636026</v>
      </c>
      <c r="J46" s="733"/>
      <c r="K46" s="729"/>
    </row>
    <row r="47" spans="1:10" s="708" customFormat="1" ht="15" customHeight="1">
      <c r="A47" s="704"/>
      <c r="B47" s="1050"/>
      <c r="C47" s="560" t="s">
        <v>243</v>
      </c>
      <c r="D47" s="560" t="s">
        <v>312</v>
      </c>
      <c r="E47" s="561"/>
      <c r="F47" s="599" t="s">
        <v>259</v>
      </c>
      <c r="G47" s="1359">
        <v>578506</v>
      </c>
      <c r="H47" s="581">
        <v>-346</v>
      </c>
      <c r="I47" s="866">
        <f t="shared" si="1"/>
        <v>578160</v>
      </c>
      <c r="J47" s="1012"/>
    </row>
    <row r="48" spans="1:11" s="208" customFormat="1" ht="15" customHeight="1">
      <c r="A48" s="631">
        <v>3</v>
      </c>
      <c r="B48" s="1767" t="s">
        <v>260</v>
      </c>
      <c r="C48" s="1768"/>
      <c r="D48" s="1768"/>
      <c r="E48" s="1769"/>
      <c r="F48" s="643" t="s">
        <v>261</v>
      </c>
      <c r="G48" s="652">
        <v>110200</v>
      </c>
      <c r="H48" s="653">
        <f>192+468-182-157-50+5704</f>
        <v>5975</v>
      </c>
      <c r="I48" s="577">
        <f t="shared" si="1"/>
        <v>116175</v>
      </c>
      <c r="J48" s="733"/>
      <c r="K48" s="729"/>
    </row>
    <row r="49" spans="1:11" s="208" customFormat="1" ht="15" customHeight="1">
      <c r="A49" s="650">
        <v>4</v>
      </c>
      <c r="B49" s="1768" t="s">
        <v>262</v>
      </c>
      <c r="C49" s="1768"/>
      <c r="D49" s="1768"/>
      <c r="E49" s="1769"/>
      <c r="F49" s="608" t="s">
        <v>263</v>
      </c>
      <c r="G49" s="590">
        <v>3000</v>
      </c>
      <c r="H49" s="590">
        <v>357</v>
      </c>
      <c r="I49" s="577">
        <f t="shared" si="1"/>
        <v>3357</v>
      </c>
      <c r="J49" s="733"/>
      <c r="K49" s="729"/>
    </row>
    <row r="50" spans="1:11" s="208" customFormat="1" ht="16.5" customHeight="1">
      <c r="A50" s="617">
        <v>5</v>
      </c>
      <c r="B50" s="1767" t="s">
        <v>264</v>
      </c>
      <c r="C50" s="1768"/>
      <c r="D50" s="1768"/>
      <c r="E50" s="1769"/>
      <c r="F50" s="608" t="s">
        <v>265</v>
      </c>
      <c r="G50" s="590">
        <v>259498</v>
      </c>
      <c r="H50" s="582"/>
      <c r="I50" s="577">
        <f t="shared" si="1"/>
        <v>259498</v>
      </c>
      <c r="J50" s="733"/>
      <c r="K50" s="729"/>
    </row>
    <row r="51" spans="1:11" s="208" customFormat="1" ht="16.5" customHeight="1">
      <c r="A51" s="650">
        <v>6</v>
      </c>
      <c r="B51" s="1767" t="s">
        <v>266</v>
      </c>
      <c r="C51" s="1768"/>
      <c r="D51" s="1768"/>
      <c r="E51" s="1769"/>
      <c r="F51" s="643" t="s">
        <v>267</v>
      </c>
      <c r="G51" s="652">
        <v>231606</v>
      </c>
      <c r="H51" s="653">
        <f>43+1120+4+42+54+58+481+702+139+57+1541</f>
        <v>4241</v>
      </c>
      <c r="I51" s="577">
        <f t="shared" si="1"/>
        <v>235847</v>
      </c>
      <c r="J51" s="733"/>
      <c r="K51" s="729"/>
    </row>
    <row r="52" spans="1:11" s="208" customFormat="1" ht="16.5" customHeight="1">
      <c r="A52" s="650">
        <v>7</v>
      </c>
      <c r="B52" s="1767" t="s">
        <v>268</v>
      </c>
      <c r="C52" s="1768"/>
      <c r="D52" s="1768"/>
      <c r="E52" s="1769"/>
      <c r="F52" s="608" t="s">
        <v>269</v>
      </c>
      <c r="G52" s="590">
        <v>62719</v>
      </c>
      <c r="H52" s="582"/>
      <c r="I52" s="577">
        <f t="shared" si="1"/>
        <v>62719</v>
      </c>
      <c r="J52" s="733"/>
      <c r="K52" s="729"/>
    </row>
    <row r="53" spans="1:11" s="208" customFormat="1" ht="15.75" customHeight="1">
      <c r="A53" s="650">
        <v>8</v>
      </c>
      <c r="B53" s="1767" t="s">
        <v>47</v>
      </c>
      <c r="C53" s="1768"/>
      <c r="D53" s="1768"/>
      <c r="E53" s="1769"/>
      <c r="F53" s="608" t="s">
        <v>270</v>
      </c>
      <c r="G53" s="590">
        <v>3</v>
      </c>
      <c r="H53" s="582">
        <v>24934</v>
      </c>
      <c r="I53" s="577">
        <f t="shared" si="1"/>
        <v>24937</v>
      </c>
      <c r="J53" s="733"/>
      <c r="K53" s="729"/>
    </row>
    <row r="54" spans="1:11" s="159" customFormat="1" ht="15">
      <c r="A54" s="650">
        <v>9</v>
      </c>
      <c r="B54" s="1767" t="s">
        <v>271</v>
      </c>
      <c r="C54" s="1768"/>
      <c r="D54" s="1768"/>
      <c r="E54" s="1769"/>
      <c r="F54" s="643" t="s">
        <v>272</v>
      </c>
      <c r="G54" s="652"/>
      <c r="H54" s="653"/>
      <c r="I54" s="577">
        <f>SUM(G54:H54)</f>
        <v>0</v>
      </c>
      <c r="J54" s="733"/>
      <c r="K54" s="733"/>
    </row>
    <row r="55" spans="1:11" s="159" customFormat="1" ht="15">
      <c r="A55" s="650">
        <v>10</v>
      </c>
      <c r="B55" s="1767" t="s">
        <v>471</v>
      </c>
      <c r="C55" s="1768"/>
      <c r="D55" s="1768"/>
      <c r="E55" s="1769"/>
      <c r="F55" s="1063" t="s">
        <v>274</v>
      </c>
      <c r="G55" s="652">
        <v>535</v>
      </c>
      <c r="H55" s="653">
        <v>292</v>
      </c>
      <c r="I55" s="577">
        <f>SUM(G55:H55)</f>
        <v>827</v>
      </c>
      <c r="J55" s="733"/>
      <c r="K55" s="733"/>
    </row>
    <row r="56" spans="1:11" s="159" customFormat="1" ht="16.5" customHeight="1" thickBot="1">
      <c r="A56" s="655">
        <v>11</v>
      </c>
      <c r="B56" s="1775" t="s">
        <v>273</v>
      </c>
      <c r="C56" s="1776"/>
      <c r="D56" s="1776"/>
      <c r="E56" s="1777"/>
      <c r="F56" s="1064" t="s">
        <v>470</v>
      </c>
      <c r="G56" s="657">
        <v>24261</v>
      </c>
      <c r="H56" s="658">
        <f>7+1975+493+10+50+15+262+2767+77</f>
        <v>5656</v>
      </c>
      <c r="I56" s="577">
        <f>SUM(G56:H56)</f>
        <v>29917</v>
      </c>
      <c r="J56" s="733"/>
      <c r="K56" s="733"/>
    </row>
    <row r="57" spans="1:11" s="208" customFormat="1" ht="18.75" customHeight="1" thickBot="1">
      <c r="A57" s="680" t="s">
        <v>105</v>
      </c>
      <c r="B57" s="1797" t="s">
        <v>254</v>
      </c>
      <c r="C57" s="1771"/>
      <c r="D57" s="1771"/>
      <c r="E57" s="1772"/>
      <c r="F57" s="689" t="s">
        <v>255</v>
      </c>
      <c r="G57" s="682">
        <f>G45+G46+G48+G49+G50+G51+G52+G53+G54+G56+G55</f>
        <v>1323617</v>
      </c>
      <c r="H57" s="682">
        <f>H45+H46+H48+H49+H50+H51+H52+H53+H54+H56+H55</f>
        <v>51280</v>
      </c>
      <c r="I57" s="683">
        <f>I45+I46+I48+I49+I50+I51+I52+I53+I54+I56+I55</f>
        <v>1374897</v>
      </c>
      <c r="J57" s="1709">
        <f>SUM(G57:H57)</f>
        <v>1374897</v>
      </c>
      <c r="K57" s="1596">
        <f>hivatal9!K46</f>
        <v>1374897</v>
      </c>
    </row>
    <row r="58" spans="1:11" s="94" customFormat="1" ht="15">
      <c r="A58" s="600">
        <v>1</v>
      </c>
      <c r="B58" s="1782" t="s">
        <v>277</v>
      </c>
      <c r="C58" s="1783"/>
      <c r="D58" s="1783"/>
      <c r="E58" s="1784"/>
      <c r="F58" s="1063" t="s">
        <v>472</v>
      </c>
      <c r="G58" s="586">
        <v>10000</v>
      </c>
      <c r="H58" s="579"/>
      <c r="I58" s="592">
        <f>SUM(G58:H58)</f>
        <v>10000</v>
      </c>
      <c r="J58" s="733"/>
      <c r="K58" s="729"/>
    </row>
    <row r="59" spans="1:11" s="94" customFormat="1" ht="15.75" thickBot="1">
      <c r="A59" s="601">
        <v>2</v>
      </c>
      <c r="B59" s="1790" t="s">
        <v>278</v>
      </c>
      <c r="C59" s="1791"/>
      <c r="D59" s="1791"/>
      <c r="E59" s="1792"/>
      <c r="F59" s="1064" t="s">
        <v>473</v>
      </c>
      <c r="G59" s="588">
        <v>9738</v>
      </c>
      <c r="H59" s="580">
        <f>25+302</f>
        <v>327</v>
      </c>
      <c r="I59" s="592">
        <f>SUM(G59:H59)</f>
        <v>10065</v>
      </c>
      <c r="J59" s="733"/>
      <c r="K59" s="729"/>
    </row>
    <row r="60" spans="1:11" s="94" customFormat="1" ht="17.25" customHeight="1" thickBot="1">
      <c r="A60" s="680" t="s">
        <v>106</v>
      </c>
      <c r="B60" s="1797" t="s">
        <v>275</v>
      </c>
      <c r="C60" s="1771"/>
      <c r="D60" s="1771"/>
      <c r="E60" s="1772"/>
      <c r="F60" s="688" t="s">
        <v>276</v>
      </c>
      <c r="G60" s="682">
        <f>SUM(G58:G59)</f>
        <v>19738</v>
      </c>
      <c r="H60" s="683">
        <f>SUM(H58:H59)</f>
        <v>327</v>
      </c>
      <c r="I60" s="690">
        <f>SUM(I58:I59)</f>
        <v>20065</v>
      </c>
      <c r="J60" s="1709">
        <f>SUM(G60:H60)</f>
        <v>20065</v>
      </c>
      <c r="K60" s="1596">
        <f>hivatal9!K47</f>
        <v>20065</v>
      </c>
    </row>
    <row r="61" spans="1:10" s="522" customFormat="1" ht="21" customHeight="1" thickBot="1">
      <c r="A61" s="825" t="s">
        <v>120</v>
      </c>
      <c r="B61" s="1793" t="s">
        <v>406</v>
      </c>
      <c r="C61" s="1774"/>
      <c r="D61" s="1774"/>
      <c r="E61" s="1778"/>
      <c r="F61" s="826"/>
      <c r="G61" s="827">
        <f>G20+G44+G57+G60</f>
        <v>10198642</v>
      </c>
      <c r="H61" s="827">
        <f>H20+H44+H57+H60</f>
        <v>212137</v>
      </c>
      <c r="I61" s="828">
        <f>I20+I44+I57+I60</f>
        <v>10410779</v>
      </c>
      <c r="J61" s="1176">
        <f>SUM(G61:H61)</f>
        <v>10410779</v>
      </c>
    </row>
    <row r="62" spans="1:11" s="208" customFormat="1" ht="16.5" customHeight="1">
      <c r="A62" s="650">
        <v>1</v>
      </c>
      <c r="B62" s="1779" t="s">
        <v>281</v>
      </c>
      <c r="C62" s="1780"/>
      <c r="D62" s="1780"/>
      <c r="E62" s="1781"/>
      <c r="F62" s="608" t="s">
        <v>282</v>
      </c>
      <c r="G62" s="590"/>
      <c r="H62" s="582">
        <v>300000</v>
      </c>
      <c r="I62" s="615">
        <f>SUM(G62:H62)</f>
        <v>300000</v>
      </c>
      <c r="J62" s="733"/>
      <c r="K62" s="1596">
        <f>hivatal9!K48</f>
        <v>300000</v>
      </c>
    </row>
    <row r="63" spans="1:11" s="208" customFormat="1" ht="16.5" customHeight="1">
      <c r="A63" s="1827">
        <v>2</v>
      </c>
      <c r="B63" s="1767" t="s">
        <v>283</v>
      </c>
      <c r="C63" s="1768"/>
      <c r="D63" s="1768"/>
      <c r="E63" s="1769"/>
      <c r="F63" s="645" t="s">
        <v>284</v>
      </c>
      <c r="G63" s="657">
        <f>SUM(G65:G66)</f>
        <v>99130</v>
      </c>
      <c r="H63" s="657">
        <f>SUM(H65:H66)</f>
        <v>667343</v>
      </c>
      <c r="I63" s="658">
        <f>SUM(I65:I66)</f>
        <v>766473</v>
      </c>
      <c r="J63" s="1709">
        <f>SUM(G63:H63)</f>
        <v>766473</v>
      </c>
      <c r="K63" s="1596">
        <f>hivatal9!K50</f>
        <v>766473</v>
      </c>
    </row>
    <row r="64" spans="1:11" s="94" customFormat="1" ht="15" customHeight="1">
      <c r="A64" s="1828"/>
      <c r="B64" s="1826"/>
      <c r="C64" s="559" t="s">
        <v>243</v>
      </c>
      <c r="D64" s="1785" t="s">
        <v>369</v>
      </c>
      <c r="E64" s="1786"/>
      <c r="F64" s="597" t="s">
        <v>284</v>
      </c>
      <c r="G64" s="587"/>
      <c r="H64" s="594"/>
      <c r="I64" s="576">
        <f>SUM(G64:H64)</f>
        <v>0</v>
      </c>
      <c r="J64" s="733"/>
      <c r="K64" s="729"/>
    </row>
    <row r="65" spans="1:11" s="94" customFormat="1" ht="15" customHeight="1">
      <c r="A65" s="1828"/>
      <c r="B65" s="1817"/>
      <c r="C65" s="703" t="s">
        <v>243</v>
      </c>
      <c r="D65" s="726" t="s">
        <v>310</v>
      </c>
      <c r="E65" s="727"/>
      <c r="F65" s="725" t="s">
        <v>284</v>
      </c>
      <c r="G65" s="665">
        <v>99130</v>
      </c>
      <c r="H65" s="666"/>
      <c r="I65" s="576">
        <f>SUM(G65:H65)</f>
        <v>99130</v>
      </c>
      <c r="J65" s="733"/>
      <c r="K65" s="729"/>
    </row>
    <row r="66" spans="1:11" s="94" customFormat="1" ht="15" customHeight="1" thickBot="1">
      <c r="A66" s="1829"/>
      <c r="B66" s="1818"/>
      <c r="C66" s="559" t="s">
        <v>243</v>
      </c>
      <c r="D66" s="560" t="s">
        <v>416</v>
      </c>
      <c r="E66" s="561"/>
      <c r="F66" s="628" t="s">
        <v>284</v>
      </c>
      <c r="G66" s="587"/>
      <c r="H66" s="594">
        <f>350000+40000+277343</f>
        <v>667343</v>
      </c>
      <c r="I66" s="576">
        <f>SUM(G66:H66)</f>
        <v>667343</v>
      </c>
      <c r="J66" s="733"/>
      <c r="K66" s="729"/>
    </row>
    <row r="67" spans="1:11" ht="15.75" thickBot="1">
      <c r="A67" s="680" t="s">
        <v>107</v>
      </c>
      <c r="B67" s="1770" t="s">
        <v>279</v>
      </c>
      <c r="C67" s="1771"/>
      <c r="D67" s="1771"/>
      <c r="E67" s="1772"/>
      <c r="F67" s="688" t="s">
        <v>280</v>
      </c>
      <c r="G67" s="682">
        <f>SUM(G62:G63)</f>
        <v>99130</v>
      </c>
      <c r="H67" s="682">
        <f>SUM(H62:H63)</f>
        <v>967343</v>
      </c>
      <c r="I67" s="683">
        <f>SUM(I62:I63)</f>
        <v>1066473</v>
      </c>
      <c r="J67" s="1718">
        <f>SUM(G67:H67)</f>
        <v>1066473</v>
      </c>
      <c r="K67" s="1719">
        <f>hivatal9!K51</f>
        <v>1066473</v>
      </c>
    </row>
    <row r="68" spans="1:11" s="94" customFormat="1" ht="16.5" customHeight="1">
      <c r="A68" s="663">
        <v>1</v>
      </c>
      <c r="B68" s="1782" t="s">
        <v>50</v>
      </c>
      <c r="C68" s="1783"/>
      <c r="D68" s="1783"/>
      <c r="E68" s="1784"/>
      <c r="F68" s="664" t="s">
        <v>287</v>
      </c>
      <c r="G68" s="665"/>
      <c r="H68" s="666"/>
      <c r="I68" s="667">
        <f>SUM(G68:H68)</f>
        <v>0</v>
      </c>
      <c r="J68" s="733"/>
      <c r="K68" s="729"/>
    </row>
    <row r="69" spans="1:11" s="94" customFormat="1" ht="16.5" customHeight="1">
      <c r="A69" s="600">
        <v>2</v>
      </c>
      <c r="B69" s="1787" t="s">
        <v>288</v>
      </c>
      <c r="C69" s="1788"/>
      <c r="D69" s="1788"/>
      <c r="E69" s="1789"/>
      <c r="F69" s="598" t="s">
        <v>289</v>
      </c>
      <c r="G69" s="587">
        <v>704104</v>
      </c>
      <c r="H69" s="594">
        <f>-15+23750-24012</f>
        <v>-277</v>
      </c>
      <c r="I69" s="667">
        <f>SUM(G69:H69)</f>
        <v>703827</v>
      </c>
      <c r="J69" s="733"/>
      <c r="K69" s="729"/>
    </row>
    <row r="70" spans="1:11" s="94" customFormat="1" ht="16.5" customHeight="1">
      <c r="A70" s="600">
        <v>3</v>
      </c>
      <c r="B70" s="1787" t="s">
        <v>290</v>
      </c>
      <c r="C70" s="1788"/>
      <c r="D70" s="1788"/>
      <c r="E70" s="1789"/>
      <c r="F70" s="598" t="s">
        <v>291</v>
      </c>
      <c r="G70" s="587">
        <v>4</v>
      </c>
      <c r="H70" s="594">
        <v>1358</v>
      </c>
      <c r="I70" s="667">
        <f>SUM(G70:H70)</f>
        <v>1362</v>
      </c>
      <c r="J70" s="733"/>
      <c r="K70" s="729"/>
    </row>
    <row r="71" spans="1:11" s="208" customFormat="1" ht="16.5" customHeight="1" thickBot="1">
      <c r="A71" s="601">
        <v>4</v>
      </c>
      <c r="B71" s="1790" t="s">
        <v>553</v>
      </c>
      <c r="C71" s="1791"/>
      <c r="D71" s="1791"/>
      <c r="E71" s="1792"/>
      <c r="F71" s="646" t="s">
        <v>292</v>
      </c>
      <c r="G71" s="589"/>
      <c r="H71" s="595"/>
      <c r="I71" s="667">
        <f>SUM(G71:H71)</f>
        <v>0</v>
      </c>
      <c r="J71" s="733"/>
      <c r="K71" s="729"/>
    </row>
    <row r="72" spans="1:11" s="94" customFormat="1" ht="16.5" customHeight="1" thickBot="1">
      <c r="A72" s="680" t="s">
        <v>315</v>
      </c>
      <c r="B72" s="1770" t="s">
        <v>285</v>
      </c>
      <c r="C72" s="1771"/>
      <c r="D72" s="1771"/>
      <c r="E72" s="1772"/>
      <c r="F72" s="688" t="s">
        <v>286</v>
      </c>
      <c r="G72" s="690">
        <f>SUM(G68:G71)</f>
        <v>704108</v>
      </c>
      <c r="H72" s="690">
        <f>SUM(H68:H71)</f>
        <v>1081</v>
      </c>
      <c r="I72" s="690">
        <f>SUM(I68:I71)</f>
        <v>705189</v>
      </c>
      <c r="J72" s="1709">
        <f>SUM(G72:H72)</f>
        <v>705189</v>
      </c>
      <c r="K72" s="1596">
        <f>hivatal9!K52</f>
        <v>705189</v>
      </c>
    </row>
    <row r="73" spans="1:11" s="208" customFormat="1" ht="16.5" customHeight="1">
      <c r="A73" s="616">
        <v>1</v>
      </c>
      <c r="B73" s="1779" t="s">
        <v>295</v>
      </c>
      <c r="C73" s="1780"/>
      <c r="D73" s="1780"/>
      <c r="E73" s="1781"/>
      <c r="F73" s="1065" t="s">
        <v>474</v>
      </c>
      <c r="G73" s="668">
        <f>SUM(G74:G75)</f>
        <v>1303</v>
      </c>
      <c r="H73" s="668">
        <f>SUM(H74:H75)</f>
        <v>1443</v>
      </c>
      <c r="I73" s="633">
        <f>SUM(I74:I75)</f>
        <v>2746</v>
      </c>
      <c r="J73" s="733"/>
      <c r="K73" s="729"/>
    </row>
    <row r="74" spans="1:10" s="708" customFormat="1" ht="15" customHeight="1">
      <c r="A74" s="610"/>
      <c r="B74" s="1826"/>
      <c r="C74" s="559" t="s">
        <v>243</v>
      </c>
      <c r="D74" s="560" t="s">
        <v>80</v>
      </c>
      <c r="E74" s="561"/>
      <c r="F74" s="1066" t="s">
        <v>474</v>
      </c>
      <c r="G74" s="659"/>
      <c r="H74" s="581"/>
      <c r="I74" s="866">
        <f>SUM(G74:H74)</f>
        <v>0</v>
      </c>
      <c r="J74" s="1012"/>
    </row>
    <row r="75" spans="1:10" s="708" customFormat="1" ht="15" customHeight="1" thickBot="1">
      <c r="A75" s="610"/>
      <c r="B75" s="1818"/>
      <c r="C75" s="584" t="s">
        <v>243</v>
      </c>
      <c r="D75" s="671" t="s">
        <v>81</v>
      </c>
      <c r="E75" s="602"/>
      <c r="F75" s="1067" t="str">
        <f>F74</f>
        <v>B74</v>
      </c>
      <c r="G75" s="1017">
        <v>1303</v>
      </c>
      <c r="H75" s="1018">
        <f>1222+216+5</f>
        <v>1443</v>
      </c>
      <c r="I75" s="866">
        <f>SUM(G75:H75)</f>
        <v>2746</v>
      </c>
      <c r="J75" s="1012"/>
    </row>
    <row r="76" spans="1:11" s="208" customFormat="1" ht="16.5" customHeight="1">
      <c r="A76" s="616">
        <v>2</v>
      </c>
      <c r="B76" s="1779" t="s">
        <v>82</v>
      </c>
      <c r="C76" s="1780"/>
      <c r="D76" s="1780"/>
      <c r="E76" s="1781"/>
      <c r="F76" s="1068" t="s">
        <v>475</v>
      </c>
      <c r="G76" s="640">
        <f>SUM(G77:G78)</f>
        <v>1928</v>
      </c>
      <c r="H76" s="640">
        <f>SUM(H77:H78)</f>
        <v>6019</v>
      </c>
      <c r="I76" s="641">
        <f>SUM(I77:I78)</f>
        <v>7947</v>
      </c>
      <c r="J76" s="1709">
        <f>SUM(I78:I78)</f>
        <v>7947</v>
      </c>
      <c r="K76" s="729"/>
    </row>
    <row r="77" spans="1:10" s="708" customFormat="1" ht="15" customHeight="1">
      <c r="A77" s="610"/>
      <c r="B77" s="606"/>
      <c r="C77" s="584" t="s">
        <v>243</v>
      </c>
      <c r="D77" s="671" t="s">
        <v>81</v>
      </c>
      <c r="E77" s="602"/>
      <c r="F77" s="1016" t="str">
        <f>F76</f>
        <v>B75</v>
      </c>
      <c r="G77" s="1017"/>
      <c r="H77" s="1018"/>
      <c r="I77" s="942">
        <f>SUM(G77:H77)</f>
        <v>0</v>
      </c>
      <c r="J77" s="1012"/>
    </row>
    <row r="78" spans="1:10" s="708" customFormat="1" ht="15" customHeight="1" thickBot="1">
      <c r="A78" s="610"/>
      <c r="B78" s="606"/>
      <c r="C78" s="584" t="s">
        <v>243</v>
      </c>
      <c r="D78" s="671" t="s">
        <v>415</v>
      </c>
      <c r="E78" s="602"/>
      <c r="F78" s="1016" t="str">
        <f>F77</f>
        <v>B75</v>
      </c>
      <c r="G78" s="1015">
        <v>1928</v>
      </c>
      <c r="H78" s="946">
        <v>6019</v>
      </c>
      <c r="I78" s="942">
        <f>SUM(G78:H78)</f>
        <v>7947</v>
      </c>
      <c r="J78" s="1012"/>
    </row>
    <row r="79" spans="1:11" s="208" customFormat="1" ht="18" customHeight="1" thickBot="1">
      <c r="A79" s="1007" t="s">
        <v>316</v>
      </c>
      <c r="B79" s="1770" t="s">
        <v>293</v>
      </c>
      <c r="C79" s="1771"/>
      <c r="D79" s="1771"/>
      <c r="E79" s="1772"/>
      <c r="F79" s="688" t="s">
        <v>294</v>
      </c>
      <c r="G79" s="682">
        <f>G73+G76</f>
        <v>3231</v>
      </c>
      <c r="H79" s="682">
        <f>H73+H76</f>
        <v>7462</v>
      </c>
      <c r="I79" s="683">
        <f>I73+I76</f>
        <v>10693</v>
      </c>
      <c r="J79" s="1709">
        <f>SUM(G79:H79)</f>
        <v>10693</v>
      </c>
      <c r="K79" s="1596">
        <f>hivatal9!K55</f>
        <v>10693</v>
      </c>
    </row>
    <row r="80" spans="1:11" s="208" customFormat="1" ht="21" customHeight="1" thickBot="1">
      <c r="A80" s="1008" t="s">
        <v>121</v>
      </c>
      <c r="B80" s="1773" t="s">
        <v>407</v>
      </c>
      <c r="C80" s="1774"/>
      <c r="D80" s="1774"/>
      <c r="E80" s="1778"/>
      <c r="F80" s="826"/>
      <c r="G80" s="827">
        <f>G67+G72+G79</f>
        <v>806469</v>
      </c>
      <c r="H80" s="827">
        <f>H67+H72+H79</f>
        <v>975886</v>
      </c>
      <c r="I80" s="828">
        <f>I67+I72+I79</f>
        <v>1782355</v>
      </c>
      <c r="J80" s="733"/>
      <c r="K80" s="729"/>
    </row>
    <row r="81" spans="1:10" s="522" customFormat="1" ht="24" customHeight="1" thickBot="1">
      <c r="A81" s="723" t="s">
        <v>111</v>
      </c>
      <c r="B81" s="1830" t="s">
        <v>83</v>
      </c>
      <c r="C81" s="1830"/>
      <c r="D81" s="1830"/>
      <c r="E81" s="1831"/>
      <c r="F81" s="672"/>
      <c r="G81" s="673">
        <f>G61+G80</f>
        <v>11005111</v>
      </c>
      <c r="H81" s="673">
        <f>H61+H80</f>
        <v>1188023</v>
      </c>
      <c r="I81" s="674">
        <f>I61+I80</f>
        <v>12193134</v>
      </c>
      <c r="J81" s="1173"/>
    </row>
    <row r="82" spans="1:11" s="208" customFormat="1" ht="15.75" customHeight="1">
      <c r="A82" s="617">
        <v>1</v>
      </c>
      <c r="B82" s="1779" t="s">
        <v>298</v>
      </c>
      <c r="C82" s="1780"/>
      <c r="D82" s="1780"/>
      <c r="E82" s="1781"/>
      <c r="F82" s="642" t="s">
        <v>299</v>
      </c>
      <c r="G82" s="675"/>
      <c r="H82" s="676"/>
      <c r="I82" s="633">
        <f>SUM(G82:H82)</f>
        <v>0</v>
      </c>
      <c r="J82" s="733"/>
      <c r="K82" s="729"/>
    </row>
    <row r="83" spans="1:11" s="208" customFormat="1" ht="15.75" customHeight="1">
      <c r="A83" s="650">
        <v>2</v>
      </c>
      <c r="B83" s="1767" t="s">
        <v>300</v>
      </c>
      <c r="C83" s="1768"/>
      <c r="D83" s="1768"/>
      <c r="E83" s="1769"/>
      <c r="F83" s="643" t="s">
        <v>301</v>
      </c>
      <c r="G83" s="1503">
        <v>665000</v>
      </c>
      <c r="H83" s="653"/>
      <c r="I83" s="653">
        <f>SUM(G83:H83)</f>
        <v>665000</v>
      </c>
      <c r="J83" s="733"/>
      <c r="K83" s="729"/>
    </row>
    <row r="84" spans="1:11" s="208" customFormat="1" ht="15.75" customHeight="1">
      <c r="A84" s="1827">
        <v>3</v>
      </c>
      <c r="B84" s="1767" t="s">
        <v>302</v>
      </c>
      <c r="C84" s="1768"/>
      <c r="D84" s="1768"/>
      <c r="E84" s="1769"/>
      <c r="F84" s="643" t="s">
        <v>303</v>
      </c>
      <c r="G84" s="677">
        <f>SUM(G85:G86)</f>
        <v>4963690</v>
      </c>
      <c r="H84" s="677">
        <f>SUM(H85:H86)</f>
        <v>0</v>
      </c>
      <c r="I84" s="678">
        <f>SUM(I85:I86)</f>
        <v>4963690</v>
      </c>
      <c r="J84" s="733"/>
      <c r="K84" s="729"/>
    </row>
    <row r="85" spans="1:11" s="94" customFormat="1" ht="15.75" customHeight="1">
      <c r="A85" s="1828"/>
      <c r="B85" s="754">
        <v>1</v>
      </c>
      <c r="C85" s="1824" t="s">
        <v>455</v>
      </c>
      <c r="D85" s="1824"/>
      <c r="E85" s="1825"/>
      <c r="F85" s="598" t="s">
        <v>304</v>
      </c>
      <c r="G85" s="587">
        <v>4963690</v>
      </c>
      <c r="H85" s="594"/>
      <c r="I85" s="579">
        <f>SUM(G85:H85)</f>
        <v>4963690</v>
      </c>
      <c r="J85" s="733"/>
      <c r="K85" s="729"/>
    </row>
    <row r="86" spans="1:11" s="94" customFormat="1" ht="15.75" customHeight="1">
      <c r="A86" s="1835"/>
      <c r="B86" s="754">
        <v>2</v>
      </c>
      <c r="C86" s="1824" t="s">
        <v>456</v>
      </c>
      <c r="D86" s="1824"/>
      <c r="E86" s="1825"/>
      <c r="F86" s="598" t="s">
        <v>457</v>
      </c>
      <c r="G86" s="587"/>
      <c r="H86" s="594"/>
      <c r="I86" s="579">
        <f>SUM(G86:H86)</f>
        <v>0</v>
      </c>
      <c r="J86" s="733"/>
      <c r="K86" s="729"/>
    </row>
    <row r="87" spans="1:11" s="208" customFormat="1" ht="15.75" customHeight="1">
      <c r="A87" s="650">
        <v>4</v>
      </c>
      <c r="B87" s="1767" t="s">
        <v>464</v>
      </c>
      <c r="C87" s="1768"/>
      <c r="D87" s="1768"/>
      <c r="E87" s="1769"/>
      <c r="F87" s="643" t="s">
        <v>463</v>
      </c>
      <c r="G87" s="652"/>
      <c r="H87" s="652"/>
      <c r="I87" s="653">
        <f>SUM(G87:H87)</f>
        <v>0</v>
      </c>
      <c r="J87" s="733"/>
      <c r="K87" s="729"/>
    </row>
    <row r="88" spans="1:11" s="208" customFormat="1" ht="15.75" customHeight="1" thickBot="1">
      <c r="A88" s="655">
        <v>5</v>
      </c>
      <c r="B88" s="1775" t="s">
        <v>305</v>
      </c>
      <c r="C88" s="1776"/>
      <c r="D88" s="1776"/>
      <c r="E88" s="1777"/>
      <c r="F88" s="645" t="s">
        <v>306</v>
      </c>
      <c r="G88" s="1415"/>
      <c r="H88" s="658"/>
      <c r="I88" s="653">
        <f>SUM(G88:H88)</f>
        <v>0</v>
      </c>
      <c r="J88" s="733"/>
      <c r="K88" s="729"/>
    </row>
    <row r="89" spans="1:11" s="208" customFormat="1" ht="21" customHeight="1" thickBot="1">
      <c r="A89" s="1007" t="s">
        <v>110</v>
      </c>
      <c r="B89" s="1770" t="s">
        <v>296</v>
      </c>
      <c r="C89" s="1771"/>
      <c r="D89" s="1771"/>
      <c r="E89" s="1772"/>
      <c r="F89" s="688" t="s">
        <v>297</v>
      </c>
      <c r="G89" s="682">
        <f>G82+G83+G84+G87+G88</f>
        <v>5628690</v>
      </c>
      <c r="H89" s="682">
        <f>H82+H83+H84+H87+H88</f>
        <v>0</v>
      </c>
      <c r="I89" s="683">
        <f>I82+I83+I84+I87+I88</f>
        <v>5628690</v>
      </c>
      <c r="J89" s="1709">
        <f>SUM(G89:H89)</f>
        <v>5628690</v>
      </c>
      <c r="K89" s="729"/>
    </row>
    <row r="90" spans="1:11" s="208" customFormat="1" ht="21" customHeight="1" thickBot="1">
      <c r="A90" s="1007" t="s">
        <v>409</v>
      </c>
      <c r="B90" s="1770" t="s">
        <v>419</v>
      </c>
      <c r="C90" s="1771"/>
      <c r="D90" s="1771"/>
      <c r="E90" s="1772"/>
      <c r="F90" s="688" t="s">
        <v>40</v>
      </c>
      <c r="G90" s="682"/>
      <c r="H90" s="682"/>
      <c r="I90" s="683">
        <f>SUM(G90:H90)</f>
        <v>0</v>
      </c>
      <c r="J90" s="1709">
        <f>SUM(G90:H90)</f>
        <v>0</v>
      </c>
      <c r="K90" s="729"/>
    </row>
    <row r="91" spans="1:11" s="208" customFormat="1" ht="21" customHeight="1" thickBot="1">
      <c r="A91" s="1008" t="s">
        <v>42</v>
      </c>
      <c r="B91" s="1773" t="s">
        <v>410</v>
      </c>
      <c r="C91" s="1774"/>
      <c r="D91" s="1774"/>
      <c r="E91" s="1774"/>
      <c r="F91" s="1051" t="s">
        <v>44</v>
      </c>
      <c r="G91" s="827">
        <f>SUM(G89:G90)</f>
        <v>5628690</v>
      </c>
      <c r="H91" s="827">
        <f>SUM(H89:H90)</f>
        <v>0</v>
      </c>
      <c r="I91" s="828">
        <f>SUM(I89:I90)</f>
        <v>5628690</v>
      </c>
      <c r="J91" s="733"/>
      <c r="K91" s="729"/>
    </row>
    <row r="92" spans="1:10" s="522" customFormat="1" ht="21" customHeight="1" thickBot="1">
      <c r="A92" s="723" t="s">
        <v>43</v>
      </c>
      <c r="B92" s="1830" t="s">
        <v>41</v>
      </c>
      <c r="C92" s="1830"/>
      <c r="D92" s="1830"/>
      <c r="E92" s="1831"/>
      <c r="F92" s="672"/>
      <c r="G92" s="673">
        <f>G81+G91</f>
        <v>16633801</v>
      </c>
      <c r="H92" s="673">
        <f>H81+H91</f>
        <v>1188023</v>
      </c>
      <c r="I92" s="674">
        <f>I81+I91</f>
        <v>17821824</v>
      </c>
      <c r="J92" s="1173"/>
    </row>
    <row r="93" spans="1:11" s="94" customFormat="1" ht="14.25">
      <c r="A93" s="565"/>
      <c r="B93" s="565"/>
      <c r="C93" s="566"/>
      <c r="D93" s="566"/>
      <c r="E93" s="566"/>
      <c r="F93" s="566"/>
      <c r="G93" s="583"/>
      <c r="H93" s="583"/>
      <c r="I93" s="583"/>
      <c r="J93" s="733"/>
      <c r="K93" s="729"/>
    </row>
    <row r="94" spans="1:11" s="94" customFormat="1" ht="14.25">
      <c r="A94" s="565"/>
      <c r="B94" s="565"/>
      <c r="C94" s="566"/>
      <c r="D94" s="566"/>
      <c r="E94" s="566"/>
      <c r="F94" s="566"/>
      <c r="G94" s="583"/>
      <c r="H94" s="583"/>
      <c r="I94" s="583"/>
      <c r="J94" s="733"/>
      <c r="K94" s="729"/>
    </row>
    <row r="95" spans="1:11" s="94" customFormat="1" ht="14.25">
      <c r="A95" s="565"/>
      <c r="B95" s="565"/>
      <c r="C95" s="566"/>
      <c r="D95" s="566"/>
      <c r="E95" s="566"/>
      <c r="F95" s="566"/>
      <c r="G95" s="583"/>
      <c r="H95" s="583"/>
      <c r="I95" s="583"/>
      <c r="J95" s="733"/>
      <c r="K95" s="729"/>
    </row>
    <row r="96" spans="1:11" s="94" customFormat="1" ht="14.25">
      <c r="A96" s="565"/>
      <c r="B96" s="565"/>
      <c r="C96" s="566"/>
      <c r="D96" s="566"/>
      <c r="E96" s="566"/>
      <c r="F96" s="566"/>
      <c r="G96" s="583"/>
      <c r="H96" s="583"/>
      <c r="I96" s="583">
        <f>I92-hivatal9!K60</f>
        <v>0</v>
      </c>
      <c r="J96" s="733"/>
      <c r="K96" s="729"/>
    </row>
    <row r="97" spans="1:11" s="94" customFormat="1" ht="14.25">
      <c r="A97" s="565"/>
      <c r="B97" s="565"/>
      <c r="C97" s="566"/>
      <c r="D97" s="566"/>
      <c r="E97" s="566"/>
      <c r="F97" s="566"/>
      <c r="G97" s="583"/>
      <c r="H97" s="583"/>
      <c r="I97" s="583"/>
      <c r="J97" s="733"/>
      <c r="K97" s="729"/>
    </row>
    <row r="98" spans="1:11" s="94" customFormat="1" ht="14.25">
      <c r="A98" s="565"/>
      <c r="B98" s="565"/>
      <c r="C98" s="566"/>
      <c r="D98" s="566"/>
      <c r="E98" s="566"/>
      <c r="F98" s="566"/>
      <c r="G98" s="583"/>
      <c r="H98" s="583"/>
      <c r="I98" s="583"/>
      <c r="J98" s="733"/>
      <c r="K98" s="729"/>
    </row>
    <row r="99" spans="1:11" s="94" customFormat="1" ht="14.25">
      <c r="A99" s="565"/>
      <c r="B99" s="565"/>
      <c r="C99" s="566"/>
      <c r="D99" s="566"/>
      <c r="E99" s="566"/>
      <c r="F99" s="566"/>
      <c r="G99" s="583"/>
      <c r="H99" s="583"/>
      <c r="I99" s="583"/>
      <c r="J99" s="733"/>
      <c r="K99" s="729"/>
    </row>
    <row r="100" spans="1:11" s="94" customFormat="1" ht="14.25">
      <c r="A100" s="565"/>
      <c r="B100" s="565"/>
      <c r="C100" s="566"/>
      <c r="D100" s="566"/>
      <c r="E100" s="566"/>
      <c r="F100" s="566"/>
      <c r="G100" s="583"/>
      <c r="H100" s="583"/>
      <c r="I100" s="583"/>
      <c r="J100" s="733"/>
      <c r="K100" s="729"/>
    </row>
    <row r="101" spans="1:11" s="94" customFormat="1" ht="14.25">
      <c r="A101" s="565"/>
      <c r="B101" s="565"/>
      <c r="C101" s="566"/>
      <c r="D101" s="566"/>
      <c r="E101" s="566"/>
      <c r="F101" s="566"/>
      <c r="G101" s="578"/>
      <c r="H101" s="578"/>
      <c r="I101" s="578"/>
      <c r="J101" s="733"/>
      <c r="K101" s="729"/>
    </row>
    <row r="102" spans="1:11" s="94" customFormat="1" ht="14.25">
      <c r="A102" s="565"/>
      <c r="B102" s="565"/>
      <c r="C102" s="566"/>
      <c r="D102" s="566"/>
      <c r="E102" s="566"/>
      <c r="F102" s="566"/>
      <c r="G102" s="578"/>
      <c r="H102" s="578"/>
      <c r="I102" s="578"/>
      <c r="J102" s="733"/>
      <c r="K102" s="729"/>
    </row>
    <row r="103" spans="1:11" s="94" customFormat="1" ht="14.25">
      <c r="A103" s="565"/>
      <c r="B103" s="565"/>
      <c r="C103" s="566"/>
      <c r="D103" s="566"/>
      <c r="E103" s="566"/>
      <c r="F103" s="566"/>
      <c r="G103" s="578"/>
      <c r="H103" s="578"/>
      <c r="I103" s="578"/>
      <c r="J103" s="733"/>
      <c r="K103" s="729"/>
    </row>
    <row r="104" spans="1:11" s="94" customFormat="1" ht="14.25">
      <c r="A104" s="565"/>
      <c r="B104" s="565"/>
      <c r="C104" s="566"/>
      <c r="D104" s="566"/>
      <c r="E104" s="566"/>
      <c r="F104" s="566"/>
      <c r="G104" s="578"/>
      <c r="H104" s="578"/>
      <c r="I104" s="578"/>
      <c r="J104" s="733"/>
      <c r="K104" s="729"/>
    </row>
    <row r="105" spans="1:11" s="94" customFormat="1" ht="14.25">
      <c r="A105" s="565"/>
      <c r="B105" s="565"/>
      <c r="C105" s="566"/>
      <c r="D105" s="566"/>
      <c r="E105" s="566"/>
      <c r="F105" s="566"/>
      <c r="G105" s="578"/>
      <c r="H105" s="578"/>
      <c r="I105" s="578"/>
      <c r="J105" s="733"/>
      <c r="K105" s="729"/>
    </row>
    <row r="106" spans="1:11" s="94" customFormat="1" ht="14.25">
      <c r="A106" s="565"/>
      <c r="B106" s="565"/>
      <c r="C106" s="566"/>
      <c r="D106" s="566"/>
      <c r="E106" s="566"/>
      <c r="F106" s="566"/>
      <c r="G106" s="578"/>
      <c r="H106" s="578"/>
      <c r="I106" s="578"/>
      <c r="J106" s="733"/>
      <c r="K106" s="729"/>
    </row>
    <row r="107" spans="1:11" s="94" customFormat="1" ht="14.25">
      <c r="A107" s="565"/>
      <c r="B107" s="565"/>
      <c r="C107" s="566"/>
      <c r="D107" s="566"/>
      <c r="E107" s="566"/>
      <c r="F107" s="566"/>
      <c r="G107" s="578"/>
      <c r="H107" s="578"/>
      <c r="I107" s="578"/>
      <c r="J107" s="733"/>
      <c r="K107" s="729"/>
    </row>
    <row r="108" spans="1:11" s="94" customFormat="1" ht="14.25">
      <c r="A108" s="565"/>
      <c r="B108" s="565"/>
      <c r="C108" s="566"/>
      <c r="D108" s="566"/>
      <c r="E108" s="566"/>
      <c r="F108" s="566"/>
      <c r="G108" s="578"/>
      <c r="H108" s="578"/>
      <c r="I108" s="578"/>
      <c r="J108" s="733"/>
      <c r="K108" s="729"/>
    </row>
    <row r="109" spans="1:11" s="94" customFormat="1" ht="14.25">
      <c r="A109" s="565"/>
      <c r="B109" s="565"/>
      <c r="C109" s="566"/>
      <c r="D109" s="566"/>
      <c r="E109" s="566"/>
      <c r="F109" s="566"/>
      <c r="G109" s="578"/>
      <c r="H109" s="578"/>
      <c r="I109" s="578"/>
      <c r="J109" s="733"/>
      <c r="K109" s="729"/>
    </row>
    <row r="110" spans="1:11" s="94" customFormat="1" ht="14.25">
      <c r="A110" s="565"/>
      <c r="B110" s="565"/>
      <c r="C110" s="566"/>
      <c r="D110" s="566"/>
      <c r="E110" s="566"/>
      <c r="F110" s="566"/>
      <c r="G110" s="578"/>
      <c r="H110" s="578"/>
      <c r="I110" s="578"/>
      <c r="J110" s="733"/>
      <c r="K110" s="729"/>
    </row>
    <row r="111" spans="1:11" s="94" customFormat="1" ht="14.25">
      <c r="A111" s="565"/>
      <c r="B111" s="565"/>
      <c r="C111" s="566"/>
      <c r="D111" s="566"/>
      <c r="E111" s="566"/>
      <c r="F111" s="566"/>
      <c r="G111" s="578"/>
      <c r="H111" s="578"/>
      <c r="I111" s="578"/>
      <c r="J111" s="733"/>
      <c r="K111" s="729"/>
    </row>
    <row r="112" spans="1:11" s="94" customFormat="1" ht="14.25">
      <c r="A112" s="565"/>
      <c r="B112" s="565"/>
      <c r="C112" s="566"/>
      <c r="D112" s="566"/>
      <c r="E112" s="566"/>
      <c r="F112" s="566"/>
      <c r="G112" s="578"/>
      <c r="H112" s="578"/>
      <c r="I112" s="578"/>
      <c r="J112" s="733"/>
      <c r="K112" s="729"/>
    </row>
    <row r="113" spans="1:11" s="94" customFormat="1" ht="14.25">
      <c r="A113" s="565"/>
      <c r="B113" s="565"/>
      <c r="C113" s="566"/>
      <c r="D113" s="566"/>
      <c r="E113" s="566"/>
      <c r="F113" s="566"/>
      <c r="G113" s="578"/>
      <c r="H113" s="578"/>
      <c r="I113" s="578"/>
      <c r="J113" s="733"/>
      <c r="K113" s="729"/>
    </row>
    <row r="114" spans="1:11" s="94" customFormat="1" ht="14.25">
      <c r="A114" s="565"/>
      <c r="B114" s="565"/>
      <c r="C114" s="566"/>
      <c r="D114" s="566"/>
      <c r="E114" s="566"/>
      <c r="F114" s="566"/>
      <c r="G114" s="578"/>
      <c r="H114" s="578"/>
      <c r="I114" s="578"/>
      <c r="J114" s="733"/>
      <c r="K114" s="729"/>
    </row>
    <row r="115" spans="1:11" s="94" customFormat="1" ht="14.25">
      <c r="A115" s="565"/>
      <c r="B115" s="565"/>
      <c r="C115" s="566"/>
      <c r="D115" s="566"/>
      <c r="E115" s="566"/>
      <c r="F115" s="566"/>
      <c r="G115" s="578"/>
      <c r="H115" s="578"/>
      <c r="I115" s="578"/>
      <c r="J115" s="733"/>
      <c r="K115" s="729"/>
    </row>
    <row r="116" spans="1:11" s="94" customFormat="1" ht="14.25">
      <c r="A116" s="565"/>
      <c r="B116" s="565"/>
      <c r="C116" s="566"/>
      <c r="D116" s="566"/>
      <c r="E116" s="566"/>
      <c r="F116" s="566"/>
      <c r="G116" s="578"/>
      <c r="H116" s="578"/>
      <c r="I116" s="578"/>
      <c r="J116" s="733"/>
      <c r="K116" s="729"/>
    </row>
    <row r="117" spans="1:11" s="94" customFormat="1" ht="14.25">
      <c r="A117" s="565"/>
      <c r="B117" s="565"/>
      <c r="C117" s="566"/>
      <c r="D117" s="566"/>
      <c r="E117" s="566"/>
      <c r="F117" s="566"/>
      <c r="G117" s="578"/>
      <c r="H117" s="578"/>
      <c r="I117" s="578"/>
      <c r="J117" s="733"/>
      <c r="K117" s="729"/>
    </row>
    <row r="118" spans="1:11" s="94" customFormat="1" ht="14.25">
      <c r="A118" s="565"/>
      <c r="B118" s="565"/>
      <c r="C118" s="566"/>
      <c r="D118" s="566"/>
      <c r="E118" s="566"/>
      <c r="F118" s="566"/>
      <c r="G118" s="578"/>
      <c r="H118" s="578"/>
      <c r="I118" s="578"/>
      <c r="J118" s="733"/>
      <c r="K118" s="729"/>
    </row>
    <row r="119" spans="1:11" s="94" customFormat="1" ht="14.25">
      <c r="A119" s="565"/>
      <c r="B119" s="565"/>
      <c r="C119" s="566"/>
      <c r="D119" s="566"/>
      <c r="E119" s="566"/>
      <c r="F119" s="566"/>
      <c r="G119" s="578"/>
      <c r="H119" s="578"/>
      <c r="I119" s="578"/>
      <c r="J119" s="733"/>
      <c r="K119" s="729"/>
    </row>
    <row r="120" spans="1:11" s="94" customFormat="1" ht="14.25">
      <c r="A120" s="565"/>
      <c r="B120" s="565"/>
      <c r="C120" s="566"/>
      <c r="D120" s="566"/>
      <c r="E120" s="566"/>
      <c r="F120" s="566"/>
      <c r="G120" s="578"/>
      <c r="H120" s="578"/>
      <c r="I120" s="578"/>
      <c r="J120" s="733"/>
      <c r="K120" s="729"/>
    </row>
    <row r="121" spans="1:11" s="94" customFormat="1" ht="14.25">
      <c r="A121" s="565"/>
      <c r="B121" s="565"/>
      <c r="C121" s="566"/>
      <c r="D121" s="566"/>
      <c r="E121" s="566"/>
      <c r="F121" s="566"/>
      <c r="G121" s="578"/>
      <c r="H121" s="578"/>
      <c r="I121" s="578"/>
      <c r="J121" s="733"/>
      <c r="K121" s="729"/>
    </row>
    <row r="122" spans="1:11" s="94" customFormat="1" ht="14.25">
      <c r="A122" s="565"/>
      <c r="B122" s="565"/>
      <c r="C122" s="566"/>
      <c r="D122" s="566"/>
      <c r="E122" s="566"/>
      <c r="F122" s="566"/>
      <c r="G122" s="578"/>
      <c r="H122" s="578"/>
      <c r="I122" s="578"/>
      <c r="J122" s="733"/>
      <c r="K122" s="729"/>
    </row>
    <row r="123" spans="1:11" s="94" customFormat="1" ht="14.25">
      <c r="A123" s="565"/>
      <c r="B123" s="565"/>
      <c r="C123" s="566"/>
      <c r="D123" s="566"/>
      <c r="E123" s="566"/>
      <c r="F123" s="566"/>
      <c r="G123" s="578"/>
      <c r="H123" s="578"/>
      <c r="I123" s="578"/>
      <c r="J123" s="733"/>
      <c r="K123" s="729"/>
    </row>
    <row r="124" spans="1:11" s="94" customFormat="1" ht="14.25">
      <c r="A124" s="565"/>
      <c r="B124" s="565"/>
      <c r="C124" s="566"/>
      <c r="D124" s="566"/>
      <c r="E124" s="566"/>
      <c r="F124" s="566"/>
      <c r="G124" s="578"/>
      <c r="H124" s="578"/>
      <c r="I124" s="578"/>
      <c r="J124" s="733"/>
      <c r="K124" s="729"/>
    </row>
    <row r="125" spans="1:11" s="94" customFormat="1" ht="14.25">
      <c r="A125" s="565"/>
      <c r="B125" s="565"/>
      <c r="C125" s="566"/>
      <c r="D125" s="566"/>
      <c r="E125" s="566"/>
      <c r="F125" s="566"/>
      <c r="G125" s="578"/>
      <c r="H125" s="578"/>
      <c r="I125" s="578"/>
      <c r="J125" s="733"/>
      <c r="K125" s="729"/>
    </row>
    <row r="126" spans="1:11" s="94" customFormat="1" ht="14.25">
      <c r="A126" s="565"/>
      <c r="B126" s="565"/>
      <c r="C126" s="566"/>
      <c r="D126" s="566"/>
      <c r="E126" s="566"/>
      <c r="F126" s="566"/>
      <c r="G126" s="578"/>
      <c r="H126" s="578"/>
      <c r="I126" s="578"/>
      <c r="J126" s="733"/>
      <c r="K126" s="729"/>
    </row>
    <row r="127" spans="1:11" s="94" customFormat="1" ht="14.25">
      <c r="A127" s="565"/>
      <c r="B127" s="565"/>
      <c r="C127" s="566"/>
      <c r="D127" s="566"/>
      <c r="E127" s="566"/>
      <c r="F127" s="566"/>
      <c r="G127" s="578"/>
      <c r="H127" s="578"/>
      <c r="I127" s="578"/>
      <c r="J127" s="733"/>
      <c r="K127" s="729"/>
    </row>
    <row r="128" spans="1:11" s="94" customFormat="1" ht="14.25">
      <c r="A128" s="565"/>
      <c r="B128" s="565"/>
      <c r="C128" s="566"/>
      <c r="D128" s="566"/>
      <c r="E128" s="566"/>
      <c r="F128" s="566"/>
      <c r="G128" s="578"/>
      <c r="H128" s="578"/>
      <c r="I128" s="578"/>
      <c r="J128" s="733"/>
      <c r="K128" s="729"/>
    </row>
    <row r="129" spans="1:11" s="94" customFormat="1" ht="14.25">
      <c r="A129" s="565"/>
      <c r="B129" s="565"/>
      <c r="C129" s="566"/>
      <c r="D129" s="566"/>
      <c r="E129" s="566"/>
      <c r="F129" s="566"/>
      <c r="G129" s="578"/>
      <c r="H129" s="578"/>
      <c r="I129" s="578"/>
      <c r="J129" s="733"/>
      <c r="K129" s="729"/>
    </row>
    <row r="130" spans="1:11" s="94" customFormat="1" ht="14.25">
      <c r="A130" s="565"/>
      <c r="B130" s="565"/>
      <c r="C130" s="566"/>
      <c r="D130" s="566"/>
      <c r="E130" s="566"/>
      <c r="F130" s="566"/>
      <c r="G130" s="578"/>
      <c r="H130" s="578"/>
      <c r="I130" s="578"/>
      <c r="J130" s="733"/>
      <c r="K130" s="729"/>
    </row>
    <row r="131" spans="1:11" s="94" customFormat="1" ht="14.25">
      <c r="A131" s="565"/>
      <c r="B131" s="565"/>
      <c r="C131" s="566"/>
      <c r="D131" s="566"/>
      <c r="E131" s="566"/>
      <c r="F131" s="566"/>
      <c r="G131" s="578"/>
      <c r="H131" s="578"/>
      <c r="I131" s="578"/>
      <c r="J131" s="733"/>
      <c r="K131" s="729"/>
    </row>
    <row r="132" spans="1:11" s="94" customFormat="1" ht="14.25">
      <c r="A132" s="565"/>
      <c r="B132" s="565"/>
      <c r="C132" s="566"/>
      <c r="D132" s="566"/>
      <c r="E132" s="566"/>
      <c r="F132" s="566"/>
      <c r="G132" s="578"/>
      <c r="H132" s="578"/>
      <c r="I132" s="578"/>
      <c r="J132" s="733"/>
      <c r="K132" s="729"/>
    </row>
    <row r="133" spans="1:11" s="94" customFormat="1" ht="14.25">
      <c r="A133" s="565"/>
      <c r="B133" s="565"/>
      <c r="C133" s="566"/>
      <c r="D133" s="566"/>
      <c r="E133" s="566"/>
      <c r="F133" s="566"/>
      <c r="G133" s="578"/>
      <c r="H133" s="578"/>
      <c r="I133" s="578"/>
      <c r="J133" s="733"/>
      <c r="K133" s="729"/>
    </row>
    <row r="134" spans="1:11" s="94" customFormat="1" ht="14.25">
      <c r="A134" s="565"/>
      <c r="B134" s="565"/>
      <c r="C134" s="566"/>
      <c r="D134" s="566"/>
      <c r="E134" s="566"/>
      <c r="F134" s="566"/>
      <c r="G134" s="578"/>
      <c r="H134" s="578"/>
      <c r="I134" s="578"/>
      <c r="J134" s="733"/>
      <c r="K134" s="729"/>
    </row>
    <row r="135" spans="1:11" s="94" customFormat="1" ht="14.25">
      <c r="A135" s="565"/>
      <c r="B135" s="565"/>
      <c r="C135" s="566"/>
      <c r="D135" s="566"/>
      <c r="E135" s="566"/>
      <c r="F135" s="566"/>
      <c r="G135" s="578"/>
      <c r="H135" s="578"/>
      <c r="I135" s="578"/>
      <c r="J135" s="733"/>
      <c r="K135" s="729"/>
    </row>
    <row r="136" spans="1:11" s="94" customFormat="1" ht="14.25">
      <c r="A136" s="565"/>
      <c r="B136" s="565"/>
      <c r="C136" s="566"/>
      <c r="D136" s="566"/>
      <c r="E136" s="566"/>
      <c r="F136" s="566"/>
      <c r="G136" s="578"/>
      <c r="H136" s="578"/>
      <c r="I136" s="578"/>
      <c r="J136" s="733"/>
      <c r="K136" s="729"/>
    </row>
  </sheetData>
  <sheetProtection/>
  <mergeCells count="84">
    <mergeCell ref="A63:A66"/>
    <mergeCell ref="B92:E92"/>
    <mergeCell ref="C23:E23"/>
    <mergeCell ref="C24:E24"/>
    <mergeCell ref="C25:E25"/>
    <mergeCell ref="C29:E29"/>
    <mergeCell ref="B49:E49"/>
    <mergeCell ref="A84:A86"/>
    <mergeCell ref="B30:B32"/>
    <mergeCell ref="B81:E81"/>
    <mergeCell ref="A39:A43"/>
    <mergeCell ref="C85:E85"/>
    <mergeCell ref="C86:E86"/>
    <mergeCell ref="B69:E69"/>
    <mergeCell ref="B50:E50"/>
    <mergeCell ref="B64:B66"/>
    <mergeCell ref="B74:B75"/>
    <mergeCell ref="B57:E57"/>
    <mergeCell ref="B72:E72"/>
    <mergeCell ref="B59:E59"/>
    <mergeCell ref="A3:I3"/>
    <mergeCell ref="B6:E6"/>
    <mergeCell ref="B8:E8"/>
    <mergeCell ref="B15:E15"/>
    <mergeCell ref="B16:E16"/>
    <mergeCell ref="D34:E34"/>
    <mergeCell ref="D17:E17"/>
    <mergeCell ref="D18:E18"/>
    <mergeCell ref="B17:B19"/>
    <mergeCell ref="B34:B43"/>
    <mergeCell ref="C11:E11"/>
    <mergeCell ref="C12:E12"/>
    <mergeCell ref="B7:E7"/>
    <mergeCell ref="B26:E26"/>
    <mergeCell ref="C27:E27"/>
    <mergeCell ref="C30:E30"/>
    <mergeCell ref="B20:E20"/>
    <mergeCell ref="C13:E13"/>
    <mergeCell ref="C14:E14"/>
    <mergeCell ref="B62:E62"/>
    <mergeCell ref="B60:E60"/>
    <mergeCell ref="A4:I4"/>
    <mergeCell ref="D19:E19"/>
    <mergeCell ref="B21:E21"/>
    <mergeCell ref="B22:E22"/>
    <mergeCell ref="D36:E36"/>
    <mergeCell ref="B51:E51"/>
    <mergeCell ref="C9:E9"/>
    <mergeCell ref="C10:E10"/>
    <mergeCell ref="D39:E39"/>
    <mergeCell ref="B44:E44"/>
    <mergeCell ref="B45:E45"/>
    <mergeCell ref="B46:E46"/>
    <mergeCell ref="B33:E33"/>
    <mergeCell ref="C39:C43"/>
    <mergeCell ref="D37:E37"/>
    <mergeCell ref="D38:E38"/>
    <mergeCell ref="D35:E35"/>
    <mergeCell ref="B48:E48"/>
    <mergeCell ref="B76:E76"/>
    <mergeCell ref="B53:E53"/>
    <mergeCell ref="B68:E68"/>
    <mergeCell ref="B70:E70"/>
    <mergeCell ref="B71:E71"/>
    <mergeCell ref="B52:E52"/>
    <mergeCell ref="B54:E54"/>
    <mergeCell ref="B56:E56"/>
    <mergeCell ref="B61:E61"/>
    <mergeCell ref="B79:E79"/>
    <mergeCell ref="B80:E80"/>
    <mergeCell ref="B82:E82"/>
    <mergeCell ref="B83:E83"/>
    <mergeCell ref="B55:E55"/>
    <mergeCell ref="B73:E73"/>
    <mergeCell ref="B58:E58"/>
    <mergeCell ref="B63:E63"/>
    <mergeCell ref="B67:E67"/>
    <mergeCell ref="D64:E64"/>
    <mergeCell ref="B84:E84"/>
    <mergeCell ref="B87:E87"/>
    <mergeCell ref="B89:E89"/>
    <mergeCell ref="B90:E90"/>
    <mergeCell ref="B91:E91"/>
    <mergeCell ref="B88:E88"/>
  </mergeCells>
  <printOptions horizontalCentered="1" verticalCentered="1"/>
  <pageMargins left="0.63" right="0.51" top="0.46" bottom="0.48" header="0.29" footer="0.3"/>
  <pageSetup fitToHeight="1" fitToWidth="1" horizontalDpi="600" verticalDpi="600" orientation="portrait" paperSize="9" scale="50" r:id="rId1"/>
  <headerFooter alignWithMargins="0">
    <oddFooter>&amp;L&amp;F&amp;C&amp;D, 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10" customWidth="1"/>
    <col min="2" max="2" width="78.375" style="94" customWidth="1"/>
    <col min="3" max="3" width="13.875" style="94" customWidth="1"/>
    <col min="4" max="4" width="14.50390625" style="94" customWidth="1"/>
    <col min="5" max="5" width="14.00390625" style="94" customWidth="1"/>
    <col min="6" max="6" width="13.125" style="94" customWidth="1"/>
    <col min="7" max="7" width="12.875" style="94" customWidth="1"/>
    <col min="8" max="9" width="13.625" style="94" customWidth="1"/>
    <col min="10" max="10" width="14.00390625" style="94" customWidth="1"/>
    <col min="11" max="11" width="13.125" style="94" customWidth="1"/>
    <col min="12" max="12" width="14.625" style="94" customWidth="1"/>
    <col min="13" max="13" width="14.50390625" style="94" customWidth="1"/>
    <col min="14" max="14" width="14.375" style="94" customWidth="1"/>
    <col min="15" max="15" width="14.625" style="233" customWidth="1"/>
    <col min="16" max="16" width="14.50390625" style="233" customWidth="1"/>
    <col min="17" max="17" width="14.375" style="233" customWidth="1"/>
  </cols>
  <sheetData>
    <row r="1" spans="1:17" ht="10.5" customHeight="1">
      <c r="A1" s="294"/>
      <c r="B1" s="295"/>
      <c r="C1" s="295"/>
      <c r="D1" s="377"/>
      <c r="E1" s="377"/>
      <c r="F1" s="377"/>
      <c r="G1" s="377"/>
      <c r="H1" s="377"/>
      <c r="I1" s="377"/>
      <c r="J1" s="377"/>
      <c r="K1" s="377"/>
      <c r="L1" s="377"/>
      <c r="M1" s="377"/>
      <c r="O1" s="391"/>
      <c r="P1" s="391"/>
      <c r="Q1" s="867" t="s">
        <v>856</v>
      </c>
    </row>
    <row r="2" spans="1:17" ht="13.5" customHeight="1">
      <c r="A2" s="294"/>
      <c r="B2" s="295"/>
      <c r="C2" s="295"/>
      <c r="D2" s="377"/>
      <c r="E2" s="377"/>
      <c r="F2" s="377"/>
      <c r="G2" s="377"/>
      <c r="H2" s="377"/>
      <c r="I2" s="377"/>
      <c r="J2" s="377"/>
      <c r="K2" s="377"/>
      <c r="L2" s="377"/>
      <c r="M2" s="377"/>
      <c r="O2" s="391"/>
      <c r="P2" s="391"/>
      <c r="Q2" s="867" t="s">
        <v>93</v>
      </c>
    </row>
    <row r="3" spans="1:17" ht="15">
      <c r="A3" s="294"/>
      <c r="B3" s="295"/>
      <c r="C3" s="295"/>
      <c r="D3" s="377"/>
      <c r="E3" s="377"/>
      <c r="F3" s="377"/>
      <c r="G3" s="377"/>
      <c r="H3" s="377"/>
      <c r="I3" s="377"/>
      <c r="J3" s="377"/>
      <c r="K3" s="377"/>
      <c r="L3" s="377"/>
      <c r="M3" s="377"/>
      <c r="O3" s="391"/>
      <c r="P3" s="391"/>
      <c r="Q3" s="867" t="s">
        <v>144</v>
      </c>
    </row>
    <row r="4" spans="1:17" s="15" customFormat="1" ht="20.25">
      <c r="A4" s="1899" t="s">
        <v>574</v>
      </c>
      <c r="B4" s="1899"/>
      <c r="C4" s="1899"/>
      <c r="D4" s="1899"/>
      <c r="E4" s="1899"/>
      <c r="F4" s="1899"/>
      <c r="G4" s="1899"/>
      <c r="H4" s="1899"/>
      <c r="I4" s="1899"/>
      <c r="J4" s="1899"/>
      <c r="K4" s="1899"/>
      <c r="L4" s="1899"/>
      <c r="M4" s="1899"/>
      <c r="N4" s="1899"/>
      <c r="O4" s="1899"/>
      <c r="P4" s="1899"/>
      <c r="Q4" s="1899"/>
    </row>
    <row r="5" spans="1:17" s="15" customFormat="1" ht="18">
      <c r="A5" s="1900" t="s">
        <v>585</v>
      </c>
      <c r="B5" s="1900"/>
      <c r="C5" s="1900"/>
      <c r="D5" s="1900"/>
      <c r="E5" s="1900"/>
      <c r="F5" s="1900"/>
      <c r="G5" s="1900"/>
      <c r="H5" s="1900"/>
      <c r="I5" s="1900"/>
      <c r="J5" s="1900"/>
      <c r="K5" s="1900"/>
      <c r="L5" s="1900"/>
      <c r="M5" s="1900"/>
      <c r="N5" s="1900"/>
      <c r="O5" s="1900"/>
      <c r="P5" s="1900"/>
      <c r="Q5" s="1900"/>
    </row>
    <row r="6" spans="1:17" ht="45" customHeight="1" thickBot="1">
      <c r="A6" s="294"/>
      <c r="B6" s="295"/>
      <c r="C6" s="906"/>
      <c r="D6" s="906"/>
      <c r="E6" s="906"/>
      <c r="F6" s="377"/>
      <c r="G6" s="377"/>
      <c r="H6" s="377"/>
      <c r="I6" s="377"/>
      <c r="J6" s="377"/>
      <c r="K6" s="377"/>
      <c r="L6" s="377"/>
      <c r="M6" s="377"/>
      <c r="N6" s="871"/>
      <c r="O6" s="391"/>
      <c r="P6" s="391"/>
      <c r="Q6" s="130" t="s">
        <v>134</v>
      </c>
    </row>
    <row r="7" spans="1:17" s="129" customFormat="1" ht="32.25" customHeight="1">
      <c r="A7" s="127" t="s">
        <v>124</v>
      </c>
      <c r="B7" s="128" t="s">
        <v>125</v>
      </c>
      <c r="C7" s="1888" t="s">
        <v>502</v>
      </c>
      <c r="D7" s="1912"/>
      <c r="E7" s="1911"/>
      <c r="F7" s="1888" t="s">
        <v>666</v>
      </c>
      <c r="G7" s="1912"/>
      <c r="H7" s="1911"/>
      <c r="I7" s="1888" t="s">
        <v>667</v>
      </c>
      <c r="J7" s="1912"/>
      <c r="K7" s="1911"/>
      <c r="L7" s="1913" t="s">
        <v>668</v>
      </c>
      <c r="M7" s="1914"/>
      <c r="N7" s="1915"/>
      <c r="O7" s="1913" t="s">
        <v>669</v>
      </c>
      <c r="P7" s="1914"/>
      <c r="Q7" s="1915"/>
    </row>
    <row r="8" spans="1:17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24" t="s">
        <v>420</v>
      </c>
      <c r="M8" s="23" t="s">
        <v>128</v>
      </c>
      <c r="N8" s="11" t="s">
        <v>661</v>
      </c>
      <c r="O8" s="24" t="s">
        <v>420</v>
      </c>
      <c r="P8" s="23" t="s">
        <v>128</v>
      </c>
      <c r="Q8" s="11" t="s">
        <v>661</v>
      </c>
    </row>
    <row r="9" spans="1:17" s="31" customFormat="1" ht="13.5" thickBot="1">
      <c r="A9" s="411">
        <v>1</v>
      </c>
      <c r="B9" s="411">
        <v>2</v>
      </c>
      <c r="C9" s="412">
        <v>3</v>
      </c>
      <c r="D9" s="413">
        <v>4</v>
      </c>
      <c r="E9" s="415">
        <v>5</v>
      </c>
      <c r="F9" s="413">
        <v>6</v>
      </c>
      <c r="G9" s="413">
        <v>7</v>
      </c>
      <c r="H9" s="413">
        <v>8</v>
      </c>
      <c r="I9" s="412">
        <v>9</v>
      </c>
      <c r="J9" s="413">
        <v>10</v>
      </c>
      <c r="K9" s="415">
        <v>11</v>
      </c>
      <c r="L9" s="413">
        <v>12</v>
      </c>
      <c r="M9" s="413">
        <v>13</v>
      </c>
      <c r="N9" s="415">
        <v>14</v>
      </c>
      <c r="O9" s="413">
        <v>15</v>
      </c>
      <c r="P9" s="413">
        <v>16</v>
      </c>
      <c r="Q9" s="415">
        <v>17</v>
      </c>
    </row>
    <row r="10" spans="1:17" s="31" customFormat="1" ht="16.5" thickBot="1">
      <c r="A10" s="371"/>
      <c r="B10" s="337" t="s">
        <v>129</v>
      </c>
      <c r="C10" s="372"/>
      <c r="D10" s="373"/>
      <c r="E10" s="374"/>
      <c r="F10" s="375"/>
      <c r="G10" s="376"/>
      <c r="H10" s="374"/>
      <c r="I10" s="375"/>
      <c r="J10" s="376"/>
      <c r="K10" s="374"/>
      <c r="L10" s="375"/>
      <c r="M10" s="376"/>
      <c r="N10" s="374"/>
      <c r="O10" s="375"/>
      <c r="P10" s="376"/>
      <c r="Q10" s="374"/>
    </row>
    <row r="11" spans="1:17" ht="16.5" thickBot="1">
      <c r="A11" s="304">
        <v>1</v>
      </c>
      <c r="B11" s="296" t="s">
        <v>113</v>
      </c>
      <c r="C11" s="305">
        <v>39</v>
      </c>
      <c r="D11" s="305"/>
      <c r="E11" s="349">
        <f>SUM(C11:D11)</f>
        <v>39</v>
      </c>
      <c r="F11" s="305"/>
      <c r="G11" s="305"/>
      <c r="H11" s="349">
        <f>SUM(F11:G11)</f>
        <v>0</v>
      </c>
      <c r="I11" s="305"/>
      <c r="J11" s="305"/>
      <c r="K11" s="349">
        <f aca="true" t="shared" si="0" ref="K11:K16">SUM(I11:J11)</f>
        <v>0</v>
      </c>
      <c r="L11" s="305"/>
      <c r="M11" s="305"/>
      <c r="N11" s="349">
        <f aca="true" t="shared" si="1" ref="N11:N16">SUM(L11:M11)</f>
        <v>0</v>
      </c>
      <c r="O11" s="378"/>
      <c r="P11" s="378"/>
      <c r="Q11" s="379">
        <f aca="true" t="shared" si="2" ref="Q11:Q16">SUM(O11:P11)</f>
        <v>0</v>
      </c>
    </row>
    <row r="12" spans="1:17" s="28" customFormat="1" ht="16.5" thickBot="1">
      <c r="A12" s="308">
        <v>2</v>
      </c>
      <c r="B12" s="907" t="s">
        <v>202</v>
      </c>
      <c r="C12" s="307">
        <v>26</v>
      </c>
      <c r="D12" s="305"/>
      <c r="E12" s="349">
        <f>SUM(C12:D12)</f>
        <v>26</v>
      </c>
      <c r="F12" s="307"/>
      <c r="G12" s="305"/>
      <c r="H12" s="349">
        <f>SUM(F12:G12)</f>
        <v>0</v>
      </c>
      <c r="I12" s="307"/>
      <c r="J12" s="305"/>
      <c r="K12" s="349">
        <f t="shared" si="0"/>
        <v>0</v>
      </c>
      <c r="L12" s="307"/>
      <c r="M12" s="305"/>
      <c r="N12" s="349">
        <f t="shared" si="1"/>
        <v>0</v>
      </c>
      <c r="O12" s="378"/>
      <c r="P12" s="378"/>
      <c r="Q12" s="379">
        <f t="shared" si="2"/>
        <v>0</v>
      </c>
    </row>
    <row r="13" spans="1:17" s="15" customFormat="1" ht="16.5" thickBot="1">
      <c r="A13" s="308">
        <v>3</v>
      </c>
      <c r="B13" s="296" t="s">
        <v>116</v>
      </c>
      <c r="C13" s="307">
        <v>76798</v>
      </c>
      <c r="D13" s="305">
        <v>27</v>
      </c>
      <c r="E13" s="349">
        <f>SUM(C13:D13)</f>
        <v>76825</v>
      </c>
      <c r="F13" s="305">
        <v>1100</v>
      </c>
      <c r="G13" s="305"/>
      <c r="H13" s="349">
        <f>SUM(F13:G13)</f>
        <v>1100</v>
      </c>
      <c r="I13" s="305">
        <v>2326</v>
      </c>
      <c r="J13" s="305"/>
      <c r="K13" s="349">
        <f t="shared" si="0"/>
        <v>2326</v>
      </c>
      <c r="L13" s="305"/>
      <c r="M13" s="305"/>
      <c r="N13" s="349">
        <f t="shared" si="1"/>
        <v>0</v>
      </c>
      <c r="O13" s="378">
        <v>64704</v>
      </c>
      <c r="P13" s="378"/>
      <c r="Q13" s="379">
        <f t="shared" si="2"/>
        <v>64704</v>
      </c>
    </row>
    <row r="14" spans="1:17" s="15" customFormat="1" ht="16.5" thickBot="1">
      <c r="A14" s="308">
        <v>4</v>
      </c>
      <c r="B14" s="296" t="s">
        <v>172</v>
      </c>
      <c r="C14" s="307"/>
      <c r="D14" s="307"/>
      <c r="E14" s="311">
        <f>SUM(C14:D14)</f>
        <v>0</v>
      </c>
      <c r="F14" s="307"/>
      <c r="G14" s="307"/>
      <c r="H14" s="311">
        <f>SUM(F14:G14)</f>
        <v>0</v>
      </c>
      <c r="I14" s="307"/>
      <c r="J14" s="307"/>
      <c r="K14" s="311">
        <f t="shared" si="0"/>
        <v>0</v>
      </c>
      <c r="L14" s="307"/>
      <c r="M14" s="307"/>
      <c r="N14" s="311">
        <f t="shared" si="1"/>
        <v>0</v>
      </c>
      <c r="O14" s="310"/>
      <c r="P14" s="307"/>
      <c r="Q14" s="311">
        <f t="shared" si="2"/>
        <v>0</v>
      </c>
    </row>
    <row r="15" spans="1:17" ht="15">
      <c r="A15" s="163" t="s">
        <v>98</v>
      </c>
      <c r="B15" s="152" t="s">
        <v>370</v>
      </c>
      <c r="C15" s="224"/>
      <c r="D15" s="224"/>
      <c r="E15" s="380">
        <f>C15+D15</f>
        <v>0</v>
      </c>
      <c r="F15" s="224"/>
      <c r="G15" s="224"/>
      <c r="H15" s="380">
        <f>F15+G15</f>
        <v>0</v>
      </c>
      <c r="I15" s="224"/>
      <c r="J15" s="224"/>
      <c r="K15" s="380">
        <f t="shared" si="0"/>
        <v>0</v>
      </c>
      <c r="L15" s="224"/>
      <c r="M15" s="224"/>
      <c r="N15" s="380">
        <f t="shared" si="1"/>
        <v>0</v>
      </c>
      <c r="O15" s="381"/>
      <c r="P15" s="381"/>
      <c r="Q15" s="382">
        <f t="shared" si="2"/>
        <v>0</v>
      </c>
    </row>
    <row r="16" spans="1:17" ht="15">
      <c r="A16" s="160" t="s">
        <v>99</v>
      </c>
      <c r="B16" s="156" t="s">
        <v>554</v>
      </c>
      <c r="C16" s="146"/>
      <c r="D16" s="146"/>
      <c r="E16" s="380">
        <f>C16+D16</f>
        <v>0</v>
      </c>
      <c r="F16" s="146"/>
      <c r="G16" s="146"/>
      <c r="H16" s="380">
        <f>F16+G16</f>
        <v>0</v>
      </c>
      <c r="I16" s="146"/>
      <c r="J16" s="146"/>
      <c r="K16" s="380">
        <f t="shared" si="0"/>
        <v>0</v>
      </c>
      <c r="L16" s="146"/>
      <c r="M16" s="146"/>
      <c r="N16" s="380">
        <f t="shared" si="1"/>
        <v>0</v>
      </c>
      <c r="O16" s="383"/>
      <c r="P16" s="383"/>
      <c r="Q16" s="382">
        <f t="shared" si="2"/>
        <v>0</v>
      </c>
    </row>
    <row r="17" spans="1:17" ht="15">
      <c r="A17" s="160" t="s">
        <v>100</v>
      </c>
      <c r="B17" s="156" t="s">
        <v>555</v>
      </c>
      <c r="C17" s="146"/>
      <c r="D17" s="146"/>
      <c r="E17" s="380">
        <f aca="true" t="shared" si="3" ref="E17:E22">C17+D17</f>
        <v>0</v>
      </c>
      <c r="F17" s="146"/>
      <c r="G17" s="146"/>
      <c r="H17" s="380">
        <f aca="true" t="shared" si="4" ref="H17:H22">F17+G17</f>
        <v>0</v>
      </c>
      <c r="I17" s="146"/>
      <c r="J17" s="146"/>
      <c r="K17" s="380">
        <f aca="true" t="shared" si="5" ref="K17:K22">SUM(I17:J17)</f>
        <v>0</v>
      </c>
      <c r="L17" s="146"/>
      <c r="M17" s="146"/>
      <c r="N17" s="380">
        <f aca="true" t="shared" si="6" ref="N17:N22">SUM(L17:M17)</f>
        <v>0</v>
      </c>
      <c r="O17" s="383"/>
      <c r="P17" s="383"/>
      <c r="Q17" s="382">
        <f aca="true" t="shared" si="7" ref="Q17:Q22">SUM(O17:P17)</f>
        <v>0</v>
      </c>
    </row>
    <row r="18" spans="1:17" ht="15">
      <c r="A18" s="160" t="s">
        <v>101</v>
      </c>
      <c r="B18" s="156" t="s">
        <v>371</v>
      </c>
      <c r="C18" s="150">
        <v>179</v>
      </c>
      <c r="D18" s="146"/>
      <c r="E18" s="380">
        <f t="shared" si="3"/>
        <v>179</v>
      </c>
      <c r="F18" s="146"/>
      <c r="G18" s="146"/>
      <c r="H18" s="380">
        <f t="shared" si="4"/>
        <v>0</v>
      </c>
      <c r="I18" s="146"/>
      <c r="J18" s="146"/>
      <c r="K18" s="380">
        <f t="shared" si="5"/>
        <v>0</v>
      </c>
      <c r="L18" s="146"/>
      <c r="M18" s="146"/>
      <c r="N18" s="380">
        <f t="shared" si="6"/>
        <v>0</v>
      </c>
      <c r="O18" s="383"/>
      <c r="P18" s="383"/>
      <c r="Q18" s="382">
        <f t="shared" si="7"/>
        <v>0</v>
      </c>
    </row>
    <row r="19" spans="1:17" ht="15">
      <c r="A19" s="155" t="s">
        <v>192</v>
      </c>
      <c r="B19" s="156" t="s">
        <v>556</v>
      </c>
      <c r="C19" s="150"/>
      <c r="D19" s="146"/>
      <c r="E19" s="380">
        <f>C19+D19</f>
        <v>0</v>
      </c>
      <c r="F19" s="146"/>
      <c r="G19" s="146"/>
      <c r="H19" s="380">
        <f>F19+G19</f>
        <v>0</v>
      </c>
      <c r="I19" s="146"/>
      <c r="J19" s="146"/>
      <c r="K19" s="380">
        <f>SUM(I19:J19)</f>
        <v>0</v>
      </c>
      <c r="L19" s="146"/>
      <c r="M19" s="146"/>
      <c r="N19" s="380">
        <f>SUM(L19:M19)</f>
        <v>0</v>
      </c>
      <c r="O19" s="383"/>
      <c r="P19" s="383"/>
      <c r="Q19" s="382">
        <f>SUM(O19:P19)</f>
        <v>0</v>
      </c>
    </row>
    <row r="20" spans="1:17" ht="15">
      <c r="A20" s="155" t="s">
        <v>327</v>
      </c>
      <c r="B20" s="156" t="s">
        <v>557</v>
      </c>
      <c r="C20" s="150"/>
      <c r="D20" s="146"/>
      <c r="E20" s="380">
        <f t="shared" si="3"/>
        <v>0</v>
      </c>
      <c r="F20" s="146"/>
      <c r="G20" s="146"/>
      <c r="H20" s="380">
        <f t="shared" si="4"/>
        <v>0</v>
      </c>
      <c r="I20" s="146"/>
      <c r="J20" s="146"/>
      <c r="K20" s="380">
        <f t="shared" si="5"/>
        <v>0</v>
      </c>
      <c r="L20" s="146"/>
      <c r="M20" s="146"/>
      <c r="N20" s="380">
        <f t="shared" si="6"/>
        <v>0</v>
      </c>
      <c r="O20" s="383"/>
      <c r="P20" s="383"/>
      <c r="Q20" s="382">
        <f t="shared" si="7"/>
        <v>0</v>
      </c>
    </row>
    <row r="21" spans="1:17" ht="15">
      <c r="A21" s="155" t="s">
        <v>328</v>
      </c>
      <c r="B21" s="156" t="s">
        <v>372</v>
      </c>
      <c r="C21" s="238"/>
      <c r="D21" s="224"/>
      <c r="E21" s="380">
        <f>C21+D21</f>
        <v>0</v>
      </c>
      <c r="F21" s="297"/>
      <c r="G21" s="146"/>
      <c r="H21" s="227">
        <f t="shared" si="4"/>
        <v>0</v>
      </c>
      <c r="I21" s="224">
        <v>87</v>
      </c>
      <c r="J21" s="224"/>
      <c r="K21" s="380">
        <f t="shared" si="5"/>
        <v>87</v>
      </c>
      <c r="L21" s="297"/>
      <c r="M21" s="146"/>
      <c r="N21" s="227">
        <f t="shared" si="6"/>
        <v>0</v>
      </c>
      <c r="O21" s="381">
        <v>4400</v>
      </c>
      <c r="P21" s="381"/>
      <c r="Q21" s="382">
        <f t="shared" si="7"/>
        <v>4400</v>
      </c>
    </row>
    <row r="22" spans="1:17" ht="15" customHeight="1" thickBot="1">
      <c r="A22" s="16" t="s">
        <v>69</v>
      </c>
      <c r="B22" s="325" t="s">
        <v>373</v>
      </c>
      <c r="C22" s="157"/>
      <c r="D22" s="158"/>
      <c r="E22" s="380">
        <f t="shared" si="3"/>
        <v>0</v>
      </c>
      <c r="F22" s="299"/>
      <c r="G22" s="158"/>
      <c r="H22" s="227">
        <f t="shared" si="4"/>
        <v>0</v>
      </c>
      <c r="I22" s="299"/>
      <c r="J22" s="158"/>
      <c r="K22" s="227">
        <f t="shared" si="5"/>
        <v>0</v>
      </c>
      <c r="L22" s="299"/>
      <c r="M22" s="158"/>
      <c r="N22" s="227">
        <f t="shared" si="6"/>
        <v>0</v>
      </c>
      <c r="O22" s="1140"/>
      <c r="P22" s="384"/>
      <c r="Q22" s="1111">
        <f t="shared" si="7"/>
        <v>0</v>
      </c>
    </row>
    <row r="23" spans="1:17" s="15" customFormat="1" ht="16.5" thickBot="1">
      <c r="A23" s="308">
        <v>5</v>
      </c>
      <c r="B23" s="296" t="s">
        <v>171</v>
      </c>
      <c r="C23" s="310">
        <f aca="true" t="shared" si="8" ref="C23:Q23">SUM(C15:C22)</f>
        <v>179</v>
      </c>
      <c r="D23" s="307">
        <f t="shared" si="8"/>
        <v>0</v>
      </c>
      <c r="E23" s="311">
        <f t="shared" si="8"/>
        <v>179</v>
      </c>
      <c r="F23" s="321">
        <f t="shared" si="8"/>
        <v>0</v>
      </c>
      <c r="G23" s="305">
        <f t="shared" si="8"/>
        <v>0</v>
      </c>
      <c r="H23" s="321">
        <f t="shared" si="8"/>
        <v>0</v>
      </c>
      <c r="I23" s="338">
        <f t="shared" si="8"/>
        <v>87</v>
      </c>
      <c r="J23" s="305">
        <f t="shared" si="8"/>
        <v>0</v>
      </c>
      <c r="K23" s="311">
        <f t="shared" si="8"/>
        <v>87</v>
      </c>
      <c r="L23" s="338">
        <f t="shared" si="8"/>
        <v>0</v>
      </c>
      <c r="M23" s="305">
        <f t="shared" si="8"/>
        <v>0</v>
      </c>
      <c r="N23" s="311">
        <f t="shared" si="8"/>
        <v>0</v>
      </c>
      <c r="O23" s="338">
        <f t="shared" si="8"/>
        <v>4400</v>
      </c>
      <c r="P23" s="305">
        <f t="shared" si="8"/>
        <v>0</v>
      </c>
      <c r="Q23" s="311">
        <f t="shared" si="8"/>
        <v>4400</v>
      </c>
    </row>
    <row r="24" spans="1:17" ht="16.5" thickBot="1">
      <c r="A24" s="304">
        <v>6</v>
      </c>
      <c r="B24" s="296" t="s">
        <v>174</v>
      </c>
      <c r="C24" s="305">
        <v>299220</v>
      </c>
      <c r="D24" s="305">
        <v>-56230</v>
      </c>
      <c r="E24" s="349">
        <f aca="true" t="shared" si="9" ref="E24:E30">SUM(C24:D24)</f>
        <v>242990</v>
      </c>
      <c r="F24" s="309">
        <v>1373</v>
      </c>
      <c r="G24" s="305"/>
      <c r="H24" s="311">
        <f aca="true" t="shared" si="10" ref="H24:H30">SUM(F24:G24)</f>
        <v>1373</v>
      </c>
      <c r="I24" s="309"/>
      <c r="J24" s="305"/>
      <c r="K24" s="311">
        <f aca="true" t="shared" si="11" ref="K24:K30">SUM(I24:J24)</f>
        <v>0</v>
      </c>
      <c r="L24" s="309">
        <v>114</v>
      </c>
      <c r="M24" s="305"/>
      <c r="N24" s="321">
        <f aca="true" t="shared" si="12" ref="N24:N30">SUM(L24:M24)</f>
        <v>114</v>
      </c>
      <c r="O24" s="1124">
        <v>239643</v>
      </c>
      <c r="P24" s="378"/>
      <c r="Q24" s="1112">
        <f aca="true" t="shared" si="13" ref="Q24:Q30">SUM(O24:P24)</f>
        <v>239643</v>
      </c>
    </row>
    <row r="25" spans="1:17" s="15" customFormat="1" ht="16.5" thickBot="1">
      <c r="A25" s="304">
        <v>7</v>
      </c>
      <c r="B25" s="296" t="s">
        <v>421</v>
      </c>
      <c r="C25" s="305"/>
      <c r="D25" s="305">
        <v>56203</v>
      </c>
      <c r="E25" s="349">
        <f t="shared" si="9"/>
        <v>56203</v>
      </c>
      <c r="F25" s="309"/>
      <c r="G25" s="305"/>
      <c r="H25" s="321">
        <f t="shared" si="10"/>
        <v>0</v>
      </c>
      <c r="I25" s="338"/>
      <c r="J25" s="305"/>
      <c r="K25" s="311">
        <f t="shared" si="11"/>
        <v>0</v>
      </c>
      <c r="L25" s="321"/>
      <c r="M25" s="305"/>
      <c r="N25" s="321">
        <f t="shared" si="12"/>
        <v>0</v>
      </c>
      <c r="O25" s="1124"/>
      <c r="P25" s="378"/>
      <c r="Q25" s="1112">
        <f t="shared" si="13"/>
        <v>0</v>
      </c>
    </row>
    <row r="26" spans="1:17" ht="15">
      <c r="A26" s="163" t="s">
        <v>98</v>
      </c>
      <c r="B26" s="156" t="s">
        <v>560</v>
      </c>
      <c r="C26" s="224"/>
      <c r="D26" s="224"/>
      <c r="E26" s="380">
        <f t="shared" si="9"/>
        <v>0</v>
      </c>
      <c r="F26" s="297"/>
      <c r="G26" s="224"/>
      <c r="H26" s="227">
        <f t="shared" si="10"/>
        <v>0</v>
      </c>
      <c r="I26" s="297"/>
      <c r="J26" s="224"/>
      <c r="K26" s="227">
        <f t="shared" si="11"/>
        <v>0</v>
      </c>
      <c r="L26" s="297"/>
      <c r="M26" s="224"/>
      <c r="N26" s="862">
        <f t="shared" si="12"/>
        <v>0</v>
      </c>
      <c r="O26" s="1122"/>
      <c r="P26" s="381"/>
      <c r="Q26" s="1111">
        <f t="shared" si="13"/>
        <v>0</v>
      </c>
    </row>
    <row r="27" spans="1:17" ht="15">
      <c r="A27" s="163" t="s">
        <v>99</v>
      </c>
      <c r="B27" s="156" t="s">
        <v>558</v>
      </c>
      <c r="C27" s="297"/>
      <c r="D27" s="146"/>
      <c r="E27" s="227">
        <f t="shared" si="9"/>
        <v>0</v>
      </c>
      <c r="F27" s="297"/>
      <c r="G27" s="224"/>
      <c r="H27" s="227">
        <f t="shared" si="10"/>
        <v>0</v>
      </c>
      <c r="I27" s="297"/>
      <c r="J27" s="224"/>
      <c r="K27" s="227">
        <f t="shared" si="11"/>
        <v>0</v>
      </c>
      <c r="L27" s="297"/>
      <c r="M27" s="224"/>
      <c r="N27" s="862">
        <f t="shared" si="12"/>
        <v>0</v>
      </c>
      <c r="O27" s="1122"/>
      <c r="P27" s="381"/>
      <c r="Q27" s="1111">
        <f t="shared" si="13"/>
        <v>0</v>
      </c>
    </row>
    <row r="28" spans="1:17" ht="15">
      <c r="A28" s="163" t="s">
        <v>100</v>
      </c>
      <c r="B28" s="156" t="s">
        <v>374</v>
      </c>
      <c r="C28" s="297"/>
      <c r="D28" s="224"/>
      <c r="E28" s="227">
        <f t="shared" si="9"/>
        <v>0</v>
      </c>
      <c r="F28" s="297"/>
      <c r="G28" s="224"/>
      <c r="H28" s="227">
        <f t="shared" si="10"/>
        <v>0</v>
      </c>
      <c r="I28" s="297"/>
      <c r="J28" s="224"/>
      <c r="K28" s="227">
        <f t="shared" si="11"/>
        <v>0</v>
      </c>
      <c r="L28" s="297"/>
      <c r="M28" s="224"/>
      <c r="N28" s="862">
        <f t="shared" si="12"/>
        <v>0</v>
      </c>
      <c r="O28" s="1122"/>
      <c r="P28" s="381"/>
      <c r="Q28" s="1111">
        <f t="shared" si="13"/>
        <v>0</v>
      </c>
    </row>
    <row r="29" spans="1:17" ht="15">
      <c r="A29" s="163" t="s">
        <v>101</v>
      </c>
      <c r="B29" s="156" t="s">
        <v>559</v>
      </c>
      <c r="C29" s="297"/>
      <c r="D29" s="224"/>
      <c r="E29" s="227">
        <f t="shared" si="9"/>
        <v>0</v>
      </c>
      <c r="F29" s="297"/>
      <c r="G29" s="224"/>
      <c r="H29" s="227">
        <f t="shared" si="10"/>
        <v>0</v>
      </c>
      <c r="I29" s="297"/>
      <c r="J29" s="224"/>
      <c r="K29" s="227">
        <f t="shared" si="11"/>
        <v>0</v>
      </c>
      <c r="L29" s="297"/>
      <c r="M29" s="224"/>
      <c r="N29" s="862">
        <f t="shared" si="12"/>
        <v>0</v>
      </c>
      <c r="O29" s="1122"/>
      <c r="P29" s="381"/>
      <c r="Q29" s="1111">
        <f t="shared" si="13"/>
        <v>0</v>
      </c>
    </row>
    <row r="30" spans="1:17" ht="15.75" thickBot="1">
      <c r="A30" s="326" t="s">
        <v>192</v>
      </c>
      <c r="B30" s="156" t="s">
        <v>375</v>
      </c>
      <c r="C30" s="320"/>
      <c r="D30" s="312"/>
      <c r="E30" s="315">
        <f t="shared" si="9"/>
        <v>0</v>
      </c>
      <c r="F30" s="320"/>
      <c r="G30" s="312"/>
      <c r="H30" s="315">
        <f t="shared" si="10"/>
        <v>0</v>
      </c>
      <c r="I30" s="320"/>
      <c r="J30" s="312"/>
      <c r="K30" s="315">
        <f t="shared" si="11"/>
        <v>0</v>
      </c>
      <c r="L30" s="320"/>
      <c r="M30" s="312"/>
      <c r="N30" s="164">
        <f t="shared" si="12"/>
        <v>0</v>
      </c>
      <c r="O30" s="1125"/>
      <c r="P30" s="387"/>
      <c r="Q30" s="1113">
        <f t="shared" si="13"/>
        <v>0</v>
      </c>
    </row>
    <row r="31" spans="1:17" s="15" customFormat="1" ht="16.5" thickBot="1">
      <c r="A31" s="304">
        <v>8</v>
      </c>
      <c r="B31" s="296" t="s">
        <v>173</v>
      </c>
      <c r="C31" s="338">
        <f aca="true" t="shared" si="14" ref="C31:Q31">SUM(C26:C30)</f>
        <v>0</v>
      </c>
      <c r="D31" s="305">
        <f t="shared" si="14"/>
        <v>0</v>
      </c>
      <c r="E31" s="311">
        <f t="shared" si="14"/>
        <v>0</v>
      </c>
      <c r="F31" s="321">
        <f t="shared" si="14"/>
        <v>0</v>
      </c>
      <c r="G31" s="305">
        <f t="shared" si="14"/>
        <v>0</v>
      </c>
      <c r="H31" s="321">
        <f t="shared" si="14"/>
        <v>0</v>
      </c>
      <c r="I31" s="338">
        <f t="shared" si="14"/>
        <v>0</v>
      </c>
      <c r="J31" s="305">
        <f t="shared" si="14"/>
        <v>0</v>
      </c>
      <c r="K31" s="311">
        <f t="shared" si="14"/>
        <v>0</v>
      </c>
      <c r="L31" s="338">
        <f t="shared" si="14"/>
        <v>0</v>
      </c>
      <c r="M31" s="305">
        <f t="shared" si="14"/>
        <v>0</v>
      </c>
      <c r="N31" s="321">
        <f t="shared" si="14"/>
        <v>0</v>
      </c>
      <c r="O31" s="338">
        <f t="shared" si="14"/>
        <v>0</v>
      </c>
      <c r="P31" s="305">
        <f t="shared" si="14"/>
        <v>0</v>
      </c>
      <c r="Q31" s="311">
        <f t="shared" si="14"/>
        <v>0</v>
      </c>
    </row>
    <row r="32" spans="1:17" ht="16.5" thickBot="1">
      <c r="A32" s="304">
        <v>9</v>
      </c>
      <c r="B32" s="296" t="s">
        <v>179</v>
      </c>
      <c r="C32" s="309"/>
      <c r="D32" s="305"/>
      <c r="E32" s="311">
        <f>SUM(C32:D32)</f>
        <v>0</v>
      </c>
      <c r="F32" s="309"/>
      <c r="G32" s="305"/>
      <c r="H32" s="311">
        <f>SUM(F32:G32)</f>
        <v>0</v>
      </c>
      <c r="I32" s="309"/>
      <c r="J32" s="305"/>
      <c r="K32" s="311">
        <f>SUM(I32:J32)</f>
        <v>0</v>
      </c>
      <c r="L32" s="309"/>
      <c r="M32" s="305"/>
      <c r="N32" s="321">
        <f>SUM(L32:M32)</f>
        <v>0</v>
      </c>
      <c r="O32" s="1124"/>
      <c r="P32" s="378"/>
      <c r="Q32" s="1112">
        <f>SUM(O32:P32)</f>
        <v>0</v>
      </c>
    </row>
    <row r="33" spans="1:21" s="36" customFormat="1" ht="16.5" thickBot="1">
      <c r="A33" s="358">
        <v>10</v>
      </c>
      <c r="B33" s="908"/>
      <c r="C33" s="165"/>
      <c r="D33" s="360"/>
      <c r="E33" s="1102">
        <f>SUM(C33:D33)</f>
        <v>0</v>
      </c>
      <c r="F33" s="165"/>
      <c r="G33" s="360"/>
      <c r="H33" s="1102">
        <f>SUM(F33:G33)</f>
        <v>0</v>
      </c>
      <c r="I33" s="165"/>
      <c r="J33" s="360"/>
      <c r="K33" s="1102">
        <f>SUM(I33:J33)</f>
        <v>0</v>
      </c>
      <c r="L33" s="165"/>
      <c r="M33" s="360"/>
      <c r="N33" s="288">
        <f>SUM(L33:M33)</f>
        <v>0</v>
      </c>
      <c r="O33" s="165"/>
      <c r="P33" s="360"/>
      <c r="Q33" s="1102">
        <f>SUM(O33:P33)</f>
        <v>0</v>
      </c>
      <c r="R33" s="34"/>
      <c r="S33" s="34"/>
      <c r="T33" s="34"/>
      <c r="U33" s="34"/>
    </row>
    <row r="34" spans="1:93" s="37" customFormat="1" ht="17.25" thickBot="1" thickTop="1">
      <c r="A34" s="334" t="s">
        <v>108</v>
      </c>
      <c r="B34" s="357" t="s">
        <v>180</v>
      </c>
      <c r="C34" s="356">
        <f aca="true" t="shared" si="15" ref="C34:Q34">C11+C12+C13+C23+C14+C31+C25+C24+C32+C33</f>
        <v>376262</v>
      </c>
      <c r="D34" s="335">
        <f t="shared" si="15"/>
        <v>0</v>
      </c>
      <c r="E34" s="747">
        <f t="shared" si="15"/>
        <v>376262</v>
      </c>
      <c r="F34" s="356">
        <f t="shared" si="15"/>
        <v>2473</v>
      </c>
      <c r="G34" s="335">
        <f t="shared" si="15"/>
        <v>0</v>
      </c>
      <c r="H34" s="747">
        <f t="shared" si="15"/>
        <v>2473</v>
      </c>
      <c r="I34" s="356">
        <f t="shared" si="15"/>
        <v>2413</v>
      </c>
      <c r="J34" s="335">
        <f t="shared" si="15"/>
        <v>0</v>
      </c>
      <c r="K34" s="747">
        <f t="shared" si="15"/>
        <v>2413</v>
      </c>
      <c r="L34" s="356">
        <f t="shared" si="15"/>
        <v>114</v>
      </c>
      <c r="M34" s="335">
        <f t="shared" si="15"/>
        <v>0</v>
      </c>
      <c r="N34" s="747">
        <f t="shared" si="15"/>
        <v>114</v>
      </c>
      <c r="O34" s="356">
        <f t="shared" si="15"/>
        <v>308747</v>
      </c>
      <c r="P34" s="335">
        <f t="shared" si="15"/>
        <v>0</v>
      </c>
      <c r="Q34" s="365">
        <f t="shared" si="15"/>
        <v>308747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</row>
    <row r="35" spans="1:93" ht="17.25" thickBot="1" thickTop="1">
      <c r="A35" s="151"/>
      <c r="B35" s="337" t="s">
        <v>131</v>
      </c>
      <c r="C35" s="1072"/>
      <c r="D35" s="293"/>
      <c r="E35" s="1103"/>
      <c r="F35" s="863"/>
      <c r="G35" s="293"/>
      <c r="H35" s="1103"/>
      <c r="I35" s="910"/>
      <c r="J35" s="293"/>
      <c r="K35" s="1103"/>
      <c r="L35" s="910"/>
      <c r="M35" s="293"/>
      <c r="N35" s="863"/>
      <c r="O35" s="1072"/>
      <c r="P35" s="293"/>
      <c r="Q35" s="1103"/>
      <c r="R35" s="26"/>
      <c r="S35" s="26"/>
      <c r="T35" s="26"/>
      <c r="U35" s="26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</row>
    <row r="36" spans="1:17" s="731" customFormat="1" ht="15">
      <c r="A36" s="738" t="s">
        <v>98</v>
      </c>
      <c r="B36" s="739" t="s">
        <v>376</v>
      </c>
      <c r="C36" s="1080"/>
      <c r="D36" s="740"/>
      <c r="E36" s="745">
        <f>SUM(C36:D36)</f>
        <v>0</v>
      </c>
      <c r="F36" s="744"/>
      <c r="G36" s="740"/>
      <c r="H36" s="745">
        <f>SUM(F36:G36)</f>
        <v>0</v>
      </c>
      <c r="I36" s="1080"/>
      <c r="J36" s="740"/>
      <c r="K36" s="745">
        <f>SUM(I36:J36)</f>
        <v>0</v>
      </c>
      <c r="L36" s="1080"/>
      <c r="M36" s="740"/>
      <c r="N36" s="744">
        <f>SUM(L36:M36)</f>
        <v>0</v>
      </c>
      <c r="O36" s="1126"/>
      <c r="P36" s="743"/>
      <c r="Q36" s="1114">
        <f>SUM(O36:P36)</f>
        <v>0</v>
      </c>
    </row>
    <row r="37" spans="1:17" s="731" customFormat="1" ht="15">
      <c r="A37" s="160" t="s">
        <v>99</v>
      </c>
      <c r="B37" s="156" t="s">
        <v>235</v>
      </c>
      <c r="C37" s="881"/>
      <c r="D37" s="146"/>
      <c r="E37" s="169">
        <f>SUM(C37:D37)</f>
        <v>0</v>
      </c>
      <c r="F37" s="860"/>
      <c r="G37" s="146"/>
      <c r="H37" s="169">
        <f>SUM(F37:G37)</f>
        <v>0</v>
      </c>
      <c r="I37" s="881"/>
      <c r="J37" s="146"/>
      <c r="K37" s="169">
        <f>SUM(I37:J37)</f>
        <v>0</v>
      </c>
      <c r="L37" s="881"/>
      <c r="M37" s="146"/>
      <c r="N37" s="860">
        <f>SUM(L37:M37)</f>
        <v>0</v>
      </c>
      <c r="O37" s="1121"/>
      <c r="P37" s="383"/>
      <c r="Q37" s="1115">
        <f>SUM(O37:P37)</f>
        <v>0</v>
      </c>
    </row>
    <row r="38" spans="1:17" s="731" customFormat="1" ht="15">
      <c r="A38" s="326" t="s">
        <v>100</v>
      </c>
      <c r="B38" s="149" t="s">
        <v>377</v>
      </c>
      <c r="C38" s="1071"/>
      <c r="D38" s="312"/>
      <c r="E38" s="315">
        <f>SUM(C38:D38)</f>
        <v>0</v>
      </c>
      <c r="F38" s="164"/>
      <c r="G38" s="312"/>
      <c r="H38" s="315">
        <f>SUM(F38:G38)</f>
        <v>0</v>
      </c>
      <c r="I38" s="1071"/>
      <c r="J38" s="312"/>
      <c r="K38" s="315">
        <f>SUM(I38:J38)</f>
        <v>0</v>
      </c>
      <c r="L38" s="1071"/>
      <c r="M38" s="312"/>
      <c r="N38" s="164">
        <f>SUM(L38:M38)</f>
        <v>0</v>
      </c>
      <c r="O38" s="1125"/>
      <c r="P38" s="387"/>
      <c r="Q38" s="1113">
        <f>SUM(O38:P38)</f>
        <v>0</v>
      </c>
    </row>
    <row r="39" spans="1:17" s="731" customFormat="1" ht="15.75" thickBot="1">
      <c r="A39" s="161" t="s">
        <v>101</v>
      </c>
      <c r="B39" s="162" t="s">
        <v>381</v>
      </c>
      <c r="C39" s="882">
        <v>30761</v>
      </c>
      <c r="D39" s="158"/>
      <c r="E39" s="237">
        <f>SUM(C39:D39)</f>
        <v>30761</v>
      </c>
      <c r="F39" s="861"/>
      <c r="G39" s="158"/>
      <c r="H39" s="237">
        <f>SUM(F39:G39)</f>
        <v>0</v>
      </c>
      <c r="I39" s="882"/>
      <c r="J39" s="158"/>
      <c r="K39" s="237">
        <f>SUM(I39:J39)</f>
        <v>0</v>
      </c>
      <c r="L39" s="882"/>
      <c r="M39" s="158"/>
      <c r="N39" s="861">
        <f>SUM(L39:M39)</f>
        <v>0</v>
      </c>
      <c r="O39" s="1123"/>
      <c r="P39" s="384"/>
      <c r="Q39" s="1116">
        <f>SUM(O39:P39)</f>
        <v>0</v>
      </c>
    </row>
    <row r="40" spans="1:17" s="15" customFormat="1" ht="16.5" thickBot="1">
      <c r="A40" s="304">
        <v>1</v>
      </c>
      <c r="B40" s="296" t="s">
        <v>177</v>
      </c>
      <c r="C40" s="338">
        <f aca="true" t="shared" si="16" ref="C40:Q40">SUM(C36:C39)</f>
        <v>30761</v>
      </c>
      <c r="D40" s="305">
        <f t="shared" si="16"/>
        <v>0</v>
      </c>
      <c r="E40" s="311">
        <f t="shared" si="16"/>
        <v>30761</v>
      </c>
      <c r="F40" s="338">
        <f t="shared" si="16"/>
        <v>0</v>
      </c>
      <c r="G40" s="305">
        <f t="shared" si="16"/>
        <v>0</v>
      </c>
      <c r="H40" s="311">
        <f t="shared" si="16"/>
        <v>0</v>
      </c>
      <c r="I40" s="338">
        <f t="shared" si="16"/>
        <v>0</v>
      </c>
      <c r="J40" s="305">
        <f t="shared" si="16"/>
        <v>0</v>
      </c>
      <c r="K40" s="311">
        <f t="shared" si="16"/>
        <v>0</v>
      </c>
      <c r="L40" s="338">
        <f t="shared" si="16"/>
        <v>0</v>
      </c>
      <c r="M40" s="305">
        <f t="shared" si="16"/>
        <v>0</v>
      </c>
      <c r="N40" s="311">
        <f t="shared" si="16"/>
        <v>0</v>
      </c>
      <c r="O40" s="338">
        <f t="shared" si="16"/>
        <v>0</v>
      </c>
      <c r="P40" s="305">
        <f t="shared" si="16"/>
        <v>0</v>
      </c>
      <c r="Q40" s="311">
        <f t="shared" si="16"/>
        <v>0</v>
      </c>
    </row>
    <row r="41" spans="1:17" ht="15">
      <c r="A41" s="163" t="s">
        <v>98</v>
      </c>
      <c r="B41" s="152" t="s">
        <v>403</v>
      </c>
      <c r="C41" s="1070"/>
      <c r="D41" s="224"/>
      <c r="E41" s="227">
        <f>SUM(C41:D41)</f>
        <v>0</v>
      </c>
      <c r="F41" s="862"/>
      <c r="G41" s="224"/>
      <c r="H41" s="227">
        <f>SUM(F41:G41)</f>
        <v>0</v>
      </c>
      <c r="I41" s="1070"/>
      <c r="J41" s="224"/>
      <c r="K41" s="227">
        <f>SUM(I41:J41)</f>
        <v>0</v>
      </c>
      <c r="L41" s="1070"/>
      <c r="M41" s="224"/>
      <c r="N41" s="862">
        <f>SUM(L41:M41)</f>
        <v>0</v>
      </c>
      <c r="O41" s="1122"/>
      <c r="P41" s="381"/>
      <c r="Q41" s="1111">
        <f>SUM(O41:P41)</f>
        <v>0</v>
      </c>
    </row>
    <row r="42" spans="1:17" ht="15">
      <c r="A42" s="160" t="s">
        <v>99</v>
      </c>
      <c r="B42" s="156" t="s">
        <v>378</v>
      </c>
      <c r="C42" s="881"/>
      <c r="D42" s="146"/>
      <c r="E42" s="169">
        <f>SUM(C42:D42)</f>
        <v>0</v>
      </c>
      <c r="F42" s="860"/>
      <c r="G42" s="146"/>
      <c r="H42" s="169">
        <f>SUM(F42:G42)</f>
        <v>0</v>
      </c>
      <c r="I42" s="881"/>
      <c r="J42" s="146"/>
      <c r="K42" s="169">
        <f>SUM(I42:J42)</f>
        <v>0</v>
      </c>
      <c r="L42" s="881"/>
      <c r="M42" s="146"/>
      <c r="N42" s="860">
        <f>SUM(L42:M42)</f>
        <v>0</v>
      </c>
      <c r="O42" s="1121"/>
      <c r="P42" s="383"/>
      <c r="Q42" s="1115">
        <f>SUM(O42:P42)</f>
        <v>0</v>
      </c>
    </row>
    <row r="43" spans="1:17" ht="15">
      <c r="A43" s="160" t="s">
        <v>100</v>
      </c>
      <c r="B43" s="156" t="s">
        <v>379</v>
      </c>
      <c r="C43" s="881"/>
      <c r="D43" s="146"/>
      <c r="E43" s="169">
        <f>SUM(C43:D43)</f>
        <v>0</v>
      </c>
      <c r="F43" s="860"/>
      <c r="G43" s="146"/>
      <c r="H43" s="169">
        <f>SUM(F43:G43)</f>
        <v>0</v>
      </c>
      <c r="I43" s="881"/>
      <c r="J43" s="146"/>
      <c r="K43" s="169">
        <f>SUM(I43:J43)</f>
        <v>0</v>
      </c>
      <c r="L43" s="881"/>
      <c r="M43" s="146"/>
      <c r="N43" s="860">
        <f>SUM(L43:M43)</f>
        <v>0</v>
      </c>
      <c r="O43" s="1121"/>
      <c r="P43" s="383"/>
      <c r="Q43" s="1115">
        <f>SUM(O43:P43)</f>
        <v>0</v>
      </c>
    </row>
    <row r="44" spans="1:17" ht="15.75" thickBot="1">
      <c r="A44" s="161" t="s">
        <v>101</v>
      </c>
      <c r="B44" s="162" t="s">
        <v>175</v>
      </c>
      <c r="C44" s="882"/>
      <c r="D44" s="158"/>
      <c r="E44" s="237">
        <f>SUM(C44:D44)</f>
        <v>0</v>
      </c>
      <c r="F44" s="861"/>
      <c r="G44" s="158"/>
      <c r="H44" s="237">
        <f>SUM(F44:G44)</f>
        <v>0</v>
      </c>
      <c r="I44" s="882"/>
      <c r="J44" s="158"/>
      <c r="K44" s="237">
        <f>SUM(I44:J44)</f>
        <v>0</v>
      </c>
      <c r="L44" s="882"/>
      <c r="M44" s="158"/>
      <c r="N44" s="861">
        <f>SUM(L44:M44)</f>
        <v>0</v>
      </c>
      <c r="O44" s="1123"/>
      <c r="P44" s="384"/>
      <c r="Q44" s="1116">
        <f>SUM(O44:P44)</f>
        <v>0</v>
      </c>
    </row>
    <row r="45" spans="1:17" s="15" customFormat="1" ht="16.5" thickBot="1">
      <c r="A45" s="304">
        <v>2</v>
      </c>
      <c r="B45" s="296" t="s">
        <v>176</v>
      </c>
      <c r="C45" s="338">
        <f>SUM(C41:C44)</f>
        <v>0</v>
      </c>
      <c r="D45" s="305">
        <f aca="true" t="shared" si="17" ref="D45:Q45">SUM(D41:D44)</f>
        <v>0</v>
      </c>
      <c r="E45" s="307">
        <f t="shared" si="17"/>
        <v>0</v>
      </c>
      <c r="F45" s="338">
        <f t="shared" si="17"/>
        <v>0</v>
      </c>
      <c r="G45" s="305">
        <f t="shared" si="17"/>
        <v>0</v>
      </c>
      <c r="H45" s="307">
        <f t="shared" si="17"/>
        <v>0</v>
      </c>
      <c r="I45" s="338">
        <f t="shared" si="17"/>
        <v>0</v>
      </c>
      <c r="J45" s="305">
        <f t="shared" si="17"/>
        <v>0</v>
      </c>
      <c r="K45" s="307">
        <f t="shared" si="17"/>
        <v>0</v>
      </c>
      <c r="L45" s="338">
        <f t="shared" si="17"/>
        <v>0</v>
      </c>
      <c r="M45" s="305">
        <f t="shared" si="17"/>
        <v>0</v>
      </c>
      <c r="N45" s="321">
        <f t="shared" si="17"/>
        <v>0</v>
      </c>
      <c r="O45" s="338">
        <f t="shared" si="17"/>
        <v>0</v>
      </c>
      <c r="P45" s="305">
        <f t="shared" si="17"/>
        <v>0</v>
      </c>
      <c r="Q45" s="311">
        <f t="shared" si="17"/>
        <v>0</v>
      </c>
    </row>
    <row r="46" spans="1:17" s="15" customFormat="1" ht="16.5" thickBot="1">
      <c r="A46" s="304">
        <v>3</v>
      </c>
      <c r="B46" s="296" t="s">
        <v>254</v>
      </c>
      <c r="C46" s="338"/>
      <c r="D46" s="305"/>
      <c r="E46" s="307">
        <f>SUM(C46:D46)</f>
        <v>0</v>
      </c>
      <c r="F46" s="338"/>
      <c r="G46" s="305"/>
      <c r="H46" s="307">
        <f>SUM(F46:G46)</f>
        <v>0</v>
      </c>
      <c r="I46" s="338"/>
      <c r="J46" s="305"/>
      <c r="K46" s="307">
        <f>SUM(I46:J46)</f>
        <v>0</v>
      </c>
      <c r="L46" s="338"/>
      <c r="M46" s="305"/>
      <c r="N46" s="321">
        <f>SUM(L46:M46)</f>
        <v>0</v>
      </c>
      <c r="O46" s="338"/>
      <c r="P46" s="305"/>
      <c r="Q46" s="311">
        <f>SUM(O46:P46)</f>
        <v>0</v>
      </c>
    </row>
    <row r="47" spans="1:17" ht="16.5" thickBot="1">
      <c r="A47" s="304">
        <v>4</v>
      </c>
      <c r="B47" s="296" t="s">
        <v>275</v>
      </c>
      <c r="C47" s="338"/>
      <c r="D47" s="305"/>
      <c r="E47" s="307">
        <f>SUM(C47:D47)</f>
        <v>0</v>
      </c>
      <c r="F47" s="338"/>
      <c r="G47" s="305"/>
      <c r="H47" s="307">
        <f>SUM(F47:G47)</f>
        <v>0</v>
      </c>
      <c r="I47" s="338"/>
      <c r="J47" s="305"/>
      <c r="K47" s="307">
        <f>SUM(I47:J47)</f>
        <v>0</v>
      </c>
      <c r="L47" s="338"/>
      <c r="M47" s="305"/>
      <c r="N47" s="321">
        <f>SUM(L47:M47)</f>
        <v>0</v>
      </c>
      <c r="O47" s="338"/>
      <c r="P47" s="305"/>
      <c r="Q47" s="311">
        <f>SUM(O47:P47)</f>
        <v>0</v>
      </c>
    </row>
    <row r="48" spans="1:17" s="731" customFormat="1" ht="15">
      <c r="A48" s="163" t="s">
        <v>98</v>
      </c>
      <c r="B48" s="149" t="s">
        <v>281</v>
      </c>
      <c r="C48" s="1070"/>
      <c r="D48" s="224"/>
      <c r="E48" s="227">
        <f>SUM(C48:D48)</f>
        <v>0</v>
      </c>
      <c r="F48" s="862"/>
      <c r="G48" s="224"/>
      <c r="H48" s="227">
        <f>SUM(F48:G48)</f>
        <v>0</v>
      </c>
      <c r="I48" s="1070"/>
      <c r="J48" s="224"/>
      <c r="K48" s="227">
        <f>SUM(I48:J48)</f>
        <v>0</v>
      </c>
      <c r="L48" s="1070"/>
      <c r="M48" s="224"/>
      <c r="N48" s="862">
        <f>SUM(L48:M48)</f>
        <v>0</v>
      </c>
      <c r="O48" s="1122"/>
      <c r="P48" s="381"/>
      <c r="Q48" s="1111">
        <f>SUM(O48:P48)</f>
        <v>0</v>
      </c>
    </row>
    <row r="49" spans="1:17" ht="15">
      <c r="A49" s="161" t="s">
        <v>99</v>
      </c>
      <c r="B49" s="325" t="s">
        <v>380</v>
      </c>
      <c r="C49" s="881"/>
      <c r="D49" s="146"/>
      <c r="E49" s="169">
        <f>SUM(C49:D49)</f>
        <v>0</v>
      </c>
      <c r="F49" s="860"/>
      <c r="G49" s="146"/>
      <c r="H49" s="169">
        <f>SUM(F49:G49)</f>
        <v>0</v>
      </c>
      <c r="I49" s="881"/>
      <c r="J49" s="146"/>
      <c r="K49" s="169">
        <f>SUM(I49:J49)</f>
        <v>0</v>
      </c>
      <c r="L49" s="881"/>
      <c r="M49" s="146"/>
      <c r="N49" s="860">
        <f>SUM(L49:M49)</f>
        <v>0</v>
      </c>
      <c r="O49" s="1121"/>
      <c r="P49" s="383"/>
      <c r="Q49" s="1115">
        <f>SUM(O49:P49)</f>
        <v>0</v>
      </c>
    </row>
    <row r="50" spans="1:17" ht="15.75" thickBot="1">
      <c r="A50" s="161" t="s">
        <v>100</v>
      </c>
      <c r="B50" s="325" t="s">
        <v>413</v>
      </c>
      <c r="C50" s="881"/>
      <c r="D50" s="146"/>
      <c r="E50" s="169">
        <f>SUM(C50:D50)</f>
        <v>0</v>
      </c>
      <c r="F50" s="860">
        <v>89130</v>
      </c>
      <c r="G50" s="146"/>
      <c r="H50" s="169">
        <f>SUM(F50:G50)</f>
        <v>89130</v>
      </c>
      <c r="I50" s="881"/>
      <c r="J50" s="146"/>
      <c r="K50" s="169">
        <f>SUM(I50:J50)</f>
        <v>0</v>
      </c>
      <c r="L50" s="881"/>
      <c r="M50" s="146"/>
      <c r="N50" s="860">
        <f>SUM(L50:M50)</f>
        <v>0</v>
      </c>
      <c r="O50" s="1121"/>
      <c r="P50" s="383"/>
      <c r="Q50" s="1115">
        <f>SUM(O50:P50)</f>
        <v>0</v>
      </c>
    </row>
    <row r="51" spans="1:17" s="15" customFormat="1" ht="16.5" thickBot="1">
      <c r="A51" s="304">
        <v>5</v>
      </c>
      <c r="B51" s="296" t="s">
        <v>178</v>
      </c>
      <c r="C51" s="338">
        <f>SUM(C48:C50)</f>
        <v>0</v>
      </c>
      <c r="D51" s="305">
        <f>SUM(D48:D50)</f>
        <v>0</v>
      </c>
      <c r="E51" s="307">
        <f aca="true" t="shared" si="18" ref="E51:Q51">SUM(E48:E50)</f>
        <v>0</v>
      </c>
      <c r="F51" s="338">
        <f t="shared" si="18"/>
        <v>89130</v>
      </c>
      <c r="G51" s="305">
        <f t="shared" si="18"/>
        <v>0</v>
      </c>
      <c r="H51" s="307">
        <f t="shared" si="18"/>
        <v>89130</v>
      </c>
      <c r="I51" s="338">
        <f t="shared" si="18"/>
        <v>0</v>
      </c>
      <c r="J51" s="305">
        <f t="shared" si="18"/>
        <v>0</v>
      </c>
      <c r="K51" s="307">
        <f t="shared" si="18"/>
        <v>0</v>
      </c>
      <c r="L51" s="338">
        <f t="shared" si="18"/>
        <v>0</v>
      </c>
      <c r="M51" s="305">
        <f t="shared" si="18"/>
        <v>0</v>
      </c>
      <c r="N51" s="307">
        <f t="shared" si="18"/>
        <v>0</v>
      </c>
      <c r="O51" s="338">
        <f t="shared" si="18"/>
        <v>0</v>
      </c>
      <c r="P51" s="305">
        <f t="shared" si="18"/>
        <v>0</v>
      </c>
      <c r="Q51" s="311">
        <f t="shared" si="18"/>
        <v>0</v>
      </c>
    </row>
    <row r="52" spans="1:17" s="15" customFormat="1" ht="16.5" thickBot="1">
      <c r="A52" s="734">
        <v>6</v>
      </c>
      <c r="B52" s="735" t="s">
        <v>285</v>
      </c>
      <c r="C52" s="1073"/>
      <c r="D52" s="330"/>
      <c r="E52" s="323">
        <f>SUM(C52:D52)</f>
        <v>0</v>
      </c>
      <c r="F52" s="324"/>
      <c r="G52" s="330"/>
      <c r="H52" s="323">
        <f>SUM(F52:G52)</f>
        <v>0</v>
      </c>
      <c r="I52" s="1079"/>
      <c r="J52" s="330"/>
      <c r="K52" s="323">
        <f>SUM(I52:J52)</f>
        <v>0</v>
      </c>
      <c r="L52" s="1079"/>
      <c r="M52" s="330"/>
      <c r="N52" s="324">
        <f>SUM(L52:M52)</f>
        <v>0</v>
      </c>
      <c r="O52" s="1127"/>
      <c r="P52" s="728"/>
      <c r="Q52" s="1117">
        <f>SUM(O52:P52)</f>
        <v>0</v>
      </c>
    </row>
    <row r="53" spans="1:17" ht="15">
      <c r="A53" s="144" t="s">
        <v>98</v>
      </c>
      <c r="B53" s="145" t="s">
        <v>382</v>
      </c>
      <c r="C53" s="1074"/>
      <c r="D53" s="147"/>
      <c r="E53" s="203">
        <f>SUM(C53:D53)</f>
        <v>0</v>
      </c>
      <c r="F53" s="864"/>
      <c r="G53" s="147"/>
      <c r="H53" s="203">
        <f>SUM(F53:G53)</f>
        <v>0</v>
      </c>
      <c r="I53" s="1074"/>
      <c r="J53" s="147"/>
      <c r="K53" s="203">
        <f>SUM(I53:J53)</f>
        <v>0</v>
      </c>
      <c r="L53" s="1074"/>
      <c r="M53" s="147"/>
      <c r="N53" s="864">
        <f>SUM(L53:M53)</f>
        <v>0</v>
      </c>
      <c r="O53" s="1128"/>
      <c r="P53" s="392"/>
      <c r="Q53" s="1118">
        <f>SUM(O53:P53)</f>
        <v>0</v>
      </c>
    </row>
    <row r="54" spans="1:17" ht="15.75" thickBot="1">
      <c r="A54" s="326" t="s">
        <v>99</v>
      </c>
      <c r="B54" s="149" t="s">
        <v>383</v>
      </c>
      <c r="C54" s="1071"/>
      <c r="D54" s="312"/>
      <c r="E54" s="315">
        <f>SUM(C54:D54)</f>
        <v>0</v>
      </c>
      <c r="F54" s="164"/>
      <c r="G54" s="312"/>
      <c r="H54" s="315">
        <f>SUM(F54:G54)</f>
        <v>0</v>
      </c>
      <c r="I54" s="1071"/>
      <c r="J54" s="312"/>
      <c r="K54" s="315">
        <f>SUM(I54:J54)</f>
        <v>0</v>
      </c>
      <c r="L54" s="1071"/>
      <c r="M54" s="312"/>
      <c r="N54" s="164">
        <f>SUM(L54:M54)</f>
        <v>0</v>
      </c>
      <c r="O54" s="1125"/>
      <c r="P54" s="387"/>
      <c r="Q54" s="1113">
        <f>SUM(O54:P54)</f>
        <v>0</v>
      </c>
    </row>
    <row r="55" spans="1:17" s="15" customFormat="1" ht="17.25" customHeight="1" thickBot="1">
      <c r="A55" s="304">
        <v>7</v>
      </c>
      <c r="B55" s="296" t="s">
        <v>181</v>
      </c>
      <c r="C55" s="338">
        <f>SUM(C53:C54)</f>
        <v>0</v>
      </c>
      <c r="D55" s="305">
        <f aca="true" t="shared" si="19" ref="D55:Q55">SUM(D53:D54)</f>
        <v>0</v>
      </c>
      <c r="E55" s="307">
        <f t="shared" si="19"/>
        <v>0</v>
      </c>
      <c r="F55" s="338">
        <f t="shared" si="19"/>
        <v>0</v>
      </c>
      <c r="G55" s="305">
        <f t="shared" si="19"/>
        <v>0</v>
      </c>
      <c r="H55" s="307">
        <f t="shared" si="19"/>
        <v>0</v>
      </c>
      <c r="I55" s="338">
        <f t="shared" si="19"/>
        <v>0</v>
      </c>
      <c r="J55" s="305">
        <f t="shared" si="19"/>
        <v>0</v>
      </c>
      <c r="K55" s="307">
        <f t="shared" si="19"/>
        <v>0</v>
      </c>
      <c r="L55" s="338">
        <f t="shared" si="19"/>
        <v>0</v>
      </c>
      <c r="M55" s="305">
        <f t="shared" si="19"/>
        <v>0</v>
      </c>
      <c r="N55" s="307">
        <f t="shared" si="19"/>
        <v>0</v>
      </c>
      <c r="O55" s="1081">
        <f t="shared" si="19"/>
        <v>0</v>
      </c>
      <c r="P55" s="1083">
        <f t="shared" si="19"/>
        <v>0</v>
      </c>
      <c r="Q55" s="1085">
        <f t="shared" si="19"/>
        <v>0</v>
      </c>
    </row>
    <row r="56" spans="1:17" s="28" customFormat="1" ht="19.5" customHeight="1" thickBot="1">
      <c r="A56" s="691">
        <v>8</v>
      </c>
      <c r="B56" s="692" t="s">
        <v>46</v>
      </c>
      <c r="C56" s="1106">
        <f>C34-C40-C45-C46-C47-C51-C52-C55-C57-C58-C59</f>
        <v>345501</v>
      </c>
      <c r="D56" s="1107">
        <f>D34-D40-D45-D46-D47-D51-D52-D55-D57-D58-D59</f>
        <v>0</v>
      </c>
      <c r="E56" s="1104">
        <f aca="true" t="shared" si="20" ref="E56:Q56">E34-E40-E45-E46-E47-E51-E52-E55-E57-E58-E59</f>
        <v>345501</v>
      </c>
      <c r="F56" s="1106">
        <f t="shared" si="20"/>
        <v>-86657</v>
      </c>
      <c r="G56" s="1107">
        <f t="shared" si="20"/>
        <v>0</v>
      </c>
      <c r="H56" s="1104">
        <f t="shared" si="20"/>
        <v>-86657</v>
      </c>
      <c r="I56" s="1106">
        <f t="shared" si="20"/>
        <v>2413</v>
      </c>
      <c r="J56" s="1107">
        <f t="shared" si="20"/>
        <v>0</v>
      </c>
      <c r="K56" s="1104">
        <f t="shared" si="20"/>
        <v>2413</v>
      </c>
      <c r="L56" s="1106">
        <f t="shared" si="20"/>
        <v>114</v>
      </c>
      <c r="M56" s="1107">
        <f t="shared" si="20"/>
        <v>0</v>
      </c>
      <c r="N56" s="1104">
        <f t="shared" si="20"/>
        <v>114</v>
      </c>
      <c r="O56" s="1129">
        <f t="shared" si="20"/>
        <v>308747</v>
      </c>
      <c r="P56" s="1131">
        <f t="shared" si="20"/>
        <v>0</v>
      </c>
      <c r="Q56" s="1119">
        <f t="shared" si="20"/>
        <v>308747</v>
      </c>
    </row>
    <row r="57" spans="1:17" s="15" customFormat="1" ht="15.75">
      <c r="A57" s="327" t="s">
        <v>385</v>
      </c>
      <c r="B57" s="328" t="s">
        <v>184</v>
      </c>
      <c r="C57" s="1076"/>
      <c r="D57" s="318"/>
      <c r="E57" s="1105">
        <f>SUM(C57:D57)</f>
        <v>0</v>
      </c>
      <c r="F57" s="865"/>
      <c r="G57" s="318"/>
      <c r="H57" s="1105">
        <f>SUM(F57:G57)</f>
        <v>0</v>
      </c>
      <c r="I57" s="1076"/>
      <c r="J57" s="318"/>
      <c r="K57" s="1105">
        <f>SUM(I57:J57)</f>
        <v>0</v>
      </c>
      <c r="L57" s="1076"/>
      <c r="M57" s="318"/>
      <c r="N57" s="1105">
        <f>SUM(L57:M57)</f>
        <v>0</v>
      </c>
      <c r="O57" s="1130"/>
      <c r="P57" s="395"/>
      <c r="Q57" s="1120">
        <f>SUM(O57:P57)</f>
        <v>0</v>
      </c>
    </row>
    <row r="58" spans="1:17" s="15" customFormat="1" ht="15.75">
      <c r="A58" s="327" t="s">
        <v>183</v>
      </c>
      <c r="B58" s="328" t="s">
        <v>384</v>
      </c>
      <c r="C58" s="1076"/>
      <c r="D58" s="318"/>
      <c r="E58" s="1105">
        <f>SUM(C58:D58)</f>
        <v>0</v>
      </c>
      <c r="F58" s="865"/>
      <c r="G58" s="318"/>
      <c r="H58" s="1105">
        <f>SUM(F58:G58)</f>
        <v>0</v>
      </c>
      <c r="I58" s="317"/>
      <c r="J58" s="318"/>
      <c r="K58" s="393">
        <f>SUM(I58:J58)</f>
        <v>0</v>
      </c>
      <c r="L58" s="317"/>
      <c r="M58" s="318"/>
      <c r="N58" s="393">
        <f>SUM(L58:M58)</f>
        <v>0</v>
      </c>
      <c r="O58" s="1130"/>
      <c r="P58" s="395"/>
      <c r="Q58" s="1120">
        <f>SUM(O58:P58)</f>
        <v>0</v>
      </c>
    </row>
    <row r="59" spans="1:17" s="15" customFormat="1" ht="16.5" thickBot="1">
      <c r="A59" s="342">
        <v>10</v>
      </c>
      <c r="B59" s="343"/>
      <c r="C59" s="344"/>
      <c r="D59" s="345"/>
      <c r="E59" s="397">
        <f>SUM(C59:D59)</f>
        <v>0</v>
      </c>
      <c r="F59" s="347"/>
      <c r="G59" s="345"/>
      <c r="H59" s="398">
        <f>SUM(F59:G59)</f>
        <v>0</v>
      </c>
      <c r="I59" s="344"/>
      <c r="J59" s="345"/>
      <c r="K59" s="398">
        <f>SUM(I59:J59)</f>
        <v>0</v>
      </c>
      <c r="L59" s="344"/>
      <c r="M59" s="345"/>
      <c r="N59" s="398">
        <f>SUM(L59:M59)</f>
        <v>0</v>
      </c>
      <c r="O59" s="399"/>
      <c r="P59" s="400"/>
      <c r="Q59" s="401">
        <f>SUM(O59:P59)</f>
        <v>0</v>
      </c>
    </row>
    <row r="60" spans="1:17" s="34" customFormat="1" ht="17.25" thickBot="1" thickTop="1">
      <c r="A60" s="334" t="s">
        <v>109</v>
      </c>
      <c r="B60" s="336" t="s">
        <v>182</v>
      </c>
      <c r="C60" s="748">
        <f>C40+C45+C46+C47+C51+C52+C55+C56+C57+C58+C59</f>
        <v>376262</v>
      </c>
      <c r="D60" s="749">
        <f aca="true" t="shared" si="21" ref="D60:Q60">D40+D45+D46+D47+D51+D52+D55+D56+D57+D58+D59</f>
        <v>0</v>
      </c>
      <c r="E60" s="747">
        <f t="shared" si="21"/>
        <v>376262</v>
      </c>
      <c r="F60" s="355">
        <f t="shared" si="21"/>
        <v>2473</v>
      </c>
      <c r="G60" s="335">
        <f t="shared" si="21"/>
        <v>0</v>
      </c>
      <c r="H60" s="747">
        <f t="shared" si="21"/>
        <v>2473</v>
      </c>
      <c r="I60" s="748">
        <f t="shared" si="21"/>
        <v>2413</v>
      </c>
      <c r="J60" s="749">
        <f t="shared" si="21"/>
        <v>0</v>
      </c>
      <c r="K60" s="747">
        <f t="shared" si="21"/>
        <v>2413</v>
      </c>
      <c r="L60" s="355">
        <f t="shared" si="21"/>
        <v>114</v>
      </c>
      <c r="M60" s="335">
        <f t="shared" si="21"/>
        <v>0</v>
      </c>
      <c r="N60" s="747">
        <f t="shared" si="21"/>
        <v>114</v>
      </c>
      <c r="O60" s="355">
        <f t="shared" si="21"/>
        <v>308747</v>
      </c>
      <c r="P60" s="335">
        <f t="shared" si="21"/>
        <v>0</v>
      </c>
      <c r="Q60" s="365">
        <f t="shared" si="21"/>
        <v>308747</v>
      </c>
    </row>
    <row r="61" spans="1:17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402"/>
      <c r="P61" s="402"/>
      <c r="Q61" s="402"/>
    </row>
    <row r="62" spans="1:17" ht="16.5" thickBot="1" thickTop="1">
      <c r="A62" s="174"/>
      <c r="B62" s="175" t="s">
        <v>593</v>
      </c>
      <c r="C62" s="204"/>
      <c r="D62" s="403"/>
      <c r="E62" s="404">
        <f>SUM(C62:D62)</f>
        <v>0</v>
      </c>
      <c r="F62" s="204"/>
      <c r="G62" s="405"/>
      <c r="H62" s="404">
        <f>SUM(F62:G62)</f>
        <v>0</v>
      </c>
      <c r="I62" s="204"/>
      <c r="J62" s="405"/>
      <c r="K62" s="404">
        <f>SUM(I62:J62)</f>
        <v>0</v>
      </c>
      <c r="L62" s="204"/>
      <c r="M62" s="405"/>
      <c r="N62" s="404">
        <f>SUM(L62:M62)</f>
        <v>0</v>
      </c>
      <c r="O62" s="406"/>
      <c r="P62" s="407"/>
      <c r="Q62" s="408">
        <f>SUM(O62:P62)</f>
        <v>0</v>
      </c>
    </row>
    <row r="63" spans="1:17" ht="16.5" thickBot="1" thickTop="1">
      <c r="A63" s="174"/>
      <c r="B63" s="175" t="s">
        <v>594</v>
      </c>
      <c r="C63" s="204"/>
      <c r="D63" s="403"/>
      <c r="E63" s="404">
        <f>SUM(C63:D63)</f>
        <v>0</v>
      </c>
      <c r="F63" s="204"/>
      <c r="G63" s="405"/>
      <c r="H63" s="404">
        <f>SUM(F63:G63)</f>
        <v>0</v>
      </c>
      <c r="I63" s="204"/>
      <c r="J63" s="405"/>
      <c r="K63" s="404">
        <f>SUM(I63:J63)</f>
        <v>0</v>
      </c>
      <c r="L63" s="204"/>
      <c r="M63" s="405"/>
      <c r="N63" s="404">
        <f>SUM(L63:M63)</f>
        <v>0</v>
      </c>
      <c r="O63" s="406"/>
      <c r="P63" s="407"/>
      <c r="Q63" s="408">
        <f>SUM(O63:P63)</f>
        <v>0</v>
      </c>
    </row>
    <row r="64" ht="16.5" thickTop="1">
      <c r="A64" s="409"/>
    </row>
    <row r="65" ht="15.75">
      <c r="A65" s="409"/>
    </row>
  </sheetData>
  <sheetProtection/>
  <mergeCells count="7">
    <mergeCell ref="A4:Q4"/>
    <mergeCell ref="A5:Q5"/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10" customWidth="1"/>
    <col min="2" max="2" width="78.375" style="94" customWidth="1"/>
    <col min="3" max="17" width="16.625" style="94" customWidth="1"/>
    <col min="18" max="18" width="14.125" style="168" customWidth="1"/>
    <col min="19" max="20" width="9.375" style="168" customWidth="1"/>
  </cols>
  <sheetData>
    <row r="1" spans="1:17" ht="10.5" customHeight="1">
      <c r="A1" s="294"/>
      <c r="B1" s="295"/>
      <c r="C1" s="295"/>
      <c r="D1" s="295"/>
      <c r="E1" s="295"/>
      <c r="F1" s="295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867" t="s">
        <v>856</v>
      </c>
    </row>
    <row r="2" spans="1:17" ht="12.75" customHeight="1">
      <c r="A2" s="294"/>
      <c r="B2" s="295"/>
      <c r="C2" s="295"/>
      <c r="D2" s="295"/>
      <c r="E2" s="295"/>
      <c r="F2" s="295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867" t="s">
        <v>93</v>
      </c>
    </row>
    <row r="3" spans="1:17" ht="15">
      <c r="A3" s="294"/>
      <c r="B3" s="295"/>
      <c r="C3" s="295"/>
      <c r="D3" s="295"/>
      <c r="E3" s="295"/>
      <c r="F3" s="295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868" t="s">
        <v>145</v>
      </c>
    </row>
    <row r="4" spans="1:20" s="15" customFormat="1" ht="20.25">
      <c r="A4" s="1899" t="s">
        <v>574</v>
      </c>
      <c r="B4" s="1899"/>
      <c r="C4" s="1899"/>
      <c r="D4" s="1899"/>
      <c r="E4" s="1899"/>
      <c r="F4" s="1899"/>
      <c r="G4" s="1899"/>
      <c r="H4" s="1899"/>
      <c r="I4" s="1899"/>
      <c r="J4" s="1899"/>
      <c r="K4" s="1899"/>
      <c r="L4" s="1899"/>
      <c r="M4" s="1899"/>
      <c r="N4" s="1899"/>
      <c r="O4" s="1899"/>
      <c r="P4" s="1899"/>
      <c r="Q4" s="1899"/>
      <c r="R4" s="877"/>
      <c r="S4" s="877"/>
      <c r="T4" s="877"/>
    </row>
    <row r="5" spans="1:20" s="15" customFormat="1" ht="18">
      <c r="A5" s="1900" t="s">
        <v>585</v>
      </c>
      <c r="B5" s="1900"/>
      <c r="C5" s="1900"/>
      <c r="D5" s="1900"/>
      <c r="E5" s="1900"/>
      <c r="F5" s="1900"/>
      <c r="G5" s="1900"/>
      <c r="H5" s="1900"/>
      <c r="I5" s="1900"/>
      <c r="J5" s="1900"/>
      <c r="K5" s="1900"/>
      <c r="L5" s="1900"/>
      <c r="M5" s="1900"/>
      <c r="N5" s="1900"/>
      <c r="O5" s="1900"/>
      <c r="P5" s="1900"/>
      <c r="Q5" s="1900"/>
      <c r="R5" s="879"/>
      <c r="S5" s="879"/>
      <c r="T5" s="879"/>
    </row>
    <row r="6" spans="1:17" ht="29.25" customHeight="1" thickBot="1">
      <c r="A6" s="294"/>
      <c r="B6" s="295"/>
      <c r="C6" s="295"/>
      <c r="D6" s="295"/>
      <c r="E6" s="295"/>
      <c r="F6" s="295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880" t="s">
        <v>134</v>
      </c>
    </row>
    <row r="7" spans="1:20" s="94" customFormat="1" ht="30" customHeight="1">
      <c r="A7" s="229" t="s">
        <v>124</v>
      </c>
      <c r="B7" s="93" t="s">
        <v>125</v>
      </c>
      <c r="C7" s="1885" t="s">
        <v>756</v>
      </c>
      <c r="D7" s="1886"/>
      <c r="E7" s="1887"/>
      <c r="F7" s="99" t="s">
        <v>146</v>
      </c>
      <c r="G7" s="230"/>
      <c r="H7" s="231"/>
      <c r="I7" s="1299" t="s">
        <v>340</v>
      </c>
      <c r="J7" s="1300"/>
      <c r="K7" s="1301"/>
      <c r="L7" s="1916" t="s">
        <v>68</v>
      </c>
      <c r="M7" s="1917"/>
      <c r="N7" s="1918"/>
      <c r="O7" s="55" t="s">
        <v>147</v>
      </c>
      <c r="P7" s="14"/>
      <c r="Q7" s="54"/>
      <c r="R7" s="168"/>
      <c r="S7" s="168"/>
      <c r="T7" s="168"/>
    </row>
    <row r="8" spans="1:29" s="25" customFormat="1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24" t="s">
        <v>420</v>
      </c>
      <c r="M8" s="23" t="s">
        <v>128</v>
      </c>
      <c r="N8" s="11" t="s">
        <v>661</v>
      </c>
      <c r="O8" s="24" t="s">
        <v>420</v>
      </c>
      <c r="P8" s="23" t="s">
        <v>128</v>
      </c>
      <c r="Q8" s="11" t="s">
        <v>661</v>
      </c>
      <c r="R8" s="887"/>
      <c r="S8" s="887"/>
      <c r="T8" s="887"/>
      <c r="U8" s="65"/>
      <c r="V8" s="65"/>
      <c r="W8" s="65"/>
      <c r="X8" s="65"/>
      <c r="Y8" s="65"/>
      <c r="Z8" s="65"/>
      <c r="AA8" s="65"/>
      <c r="AB8" s="65"/>
      <c r="AC8" s="65"/>
    </row>
    <row r="9" spans="1:29" s="35" customFormat="1" ht="13.5" thickBot="1">
      <c r="A9" s="411">
        <v>1</v>
      </c>
      <c r="B9" s="411">
        <v>2</v>
      </c>
      <c r="C9" s="412">
        <v>3</v>
      </c>
      <c r="D9" s="413">
        <v>4</v>
      </c>
      <c r="E9" s="415">
        <v>5</v>
      </c>
      <c r="F9" s="412">
        <v>3</v>
      </c>
      <c r="G9" s="413">
        <v>4</v>
      </c>
      <c r="H9" s="415">
        <v>5</v>
      </c>
      <c r="I9" s="412">
        <v>6</v>
      </c>
      <c r="J9" s="413">
        <v>7</v>
      </c>
      <c r="K9" s="888">
        <v>8</v>
      </c>
      <c r="L9" s="889">
        <v>9</v>
      </c>
      <c r="M9" s="413">
        <v>10</v>
      </c>
      <c r="N9" s="415">
        <v>11</v>
      </c>
      <c r="O9" s="412">
        <v>12</v>
      </c>
      <c r="P9" s="413">
        <v>13</v>
      </c>
      <c r="Q9" s="415">
        <v>14</v>
      </c>
      <c r="R9" s="348"/>
      <c r="S9" s="348"/>
      <c r="T9" s="348"/>
      <c r="U9" s="31"/>
      <c r="V9" s="31"/>
      <c r="W9" s="31"/>
      <c r="X9" s="31"/>
      <c r="Y9" s="31"/>
      <c r="Z9" s="31"/>
      <c r="AA9" s="31"/>
      <c r="AB9" s="31"/>
      <c r="AC9" s="31"/>
    </row>
    <row r="10" spans="1:17" ht="18.75" thickBot="1">
      <c r="A10" s="371"/>
      <c r="B10" s="416" t="s">
        <v>129</v>
      </c>
      <c r="C10" s="372"/>
      <c r="D10" s="373"/>
      <c r="E10" s="418"/>
      <c r="F10" s="372"/>
      <c r="G10" s="373"/>
      <c r="H10" s="418"/>
      <c r="I10" s="375"/>
      <c r="J10" s="376"/>
      <c r="K10" s="890"/>
      <c r="L10" s="891"/>
      <c r="M10" s="376"/>
      <c r="N10" s="374"/>
      <c r="O10" s="375"/>
      <c r="P10" s="376"/>
      <c r="Q10" s="374"/>
    </row>
    <row r="11" spans="1:20" ht="16.5" thickBot="1">
      <c r="A11" s="304">
        <v>1</v>
      </c>
      <c r="B11" s="296" t="s">
        <v>113</v>
      </c>
      <c r="C11" s="305"/>
      <c r="D11" s="305"/>
      <c r="E11" s="349">
        <f>SUM(C11:D11)</f>
        <v>0</v>
      </c>
      <c r="F11" s="305"/>
      <c r="G11" s="305"/>
      <c r="H11" s="349">
        <f>SUM(F11:G11)</f>
        <v>0</v>
      </c>
      <c r="I11" s="310">
        <f>hivatal1!C11+hivatal1!F11+hivatal1!I11+hivatal1!L11+hivatal1!O11+hivatal2!C11+hivatal2!F11+hivatal2!I11+hivatal2!L11+hivatal2!O11+hivatal3!C11+hivatal3!F11+hivatal3!I11+hivatal3!L11+hivatal3!O11+hivatal4!C11+hivatal4!F11+hivatal4!I11+hivatal4!L11+hivatal4!O11+'hivatal5 '!C11+'hivatal5 '!F11+'hivatal5 '!I11+'hivatal5 '!L11+'hivatal5 '!O11+hivatal6!C11+hivatal6!F11+hivatal6!I11+hivatal6!L11+hivatal6!O11+hivatal7!F11+C11</f>
        <v>260898</v>
      </c>
      <c r="J11" s="305">
        <f>hivatal1!D11+hivatal1!G11+hivatal1!J11+hivatal1!M11+hivatal1!P11+hivatal2!D11+hivatal2!G11+hivatal2!J11+hivatal2!M11+hivatal2!P11+hivatal3!D11+hivatal3!G11+hivatal3!J11+hivatal3!M11+hivatal3!P11+hivatal4!D11+hivatal4!G11+hivatal4!J11+hivatal4!M11+hivatal4!P11+'hivatal5 '!D11+'hivatal5 '!G11+'hivatal5 '!J11+'hivatal5 '!M11+'hivatal5 '!P11+hivatal6!D11+hivatal6!G11+hivatal6!J11+hivatal6!M11+hivatal6!P11+hivatal7!G11+D11</f>
        <v>3021</v>
      </c>
      <c r="K11" s="311">
        <f>hivatal1!E11+hivatal1!H11+hivatal1!K11+hivatal1!N11+hivatal1!Q11+hivatal2!E11+hivatal2!H11+hivatal2!K11+hivatal2!N11+hivatal2!Q11+hivatal3!E11+hivatal3!H11+hivatal3!K11+hivatal3!N11+hivatal3!Q11+hivatal4!E11+hivatal4!H11+hivatal4!K11+hivatal4!N11+hivatal4!Q11+'hivatal5 '!E11+'hivatal5 '!H11+'hivatal5 '!K11+'hivatal5 '!N11+'hivatal5 '!Q11+hivatal6!E11+hivatal6!H11+hivatal6!K11+hivatal6!N11+hivatal6!Q11+hivatal7!H11+E11</f>
        <v>263919</v>
      </c>
      <c r="L11" s="307"/>
      <c r="M11" s="305"/>
      <c r="N11" s="349">
        <f aca="true" t="shared" si="0" ref="N11:N16">SUM(L11:M11)</f>
        <v>0</v>
      </c>
      <c r="O11" s="310"/>
      <c r="P11" s="305"/>
      <c r="Q11" s="349"/>
      <c r="R11" s="892">
        <f>SUM(O11:P11)</f>
        <v>0</v>
      </c>
      <c r="S11" s="332"/>
      <c r="T11" s="332"/>
    </row>
    <row r="12" spans="1:20" s="28" customFormat="1" ht="16.5" thickBot="1">
      <c r="A12" s="308">
        <v>2</v>
      </c>
      <c r="B12" s="296" t="s">
        <v>202</v>
      </c>
      <c r="C12" s="307"/>
      <c r="D12" s="305"/>
      <c r="E12" s="349">
        <f>SUM(C12:D12)</f>
        <v>0</v>
      </c>
      <c r="F12" s="307"/>
      <c r="G12" s="305"/>
      <c r="H12" s="349">
        <f>SUM(F12:G12)</f>
        <v>0</v>
      </c>
      <c r="I12" s="310">
        <f>hivatal1!C12+hivatal1!F12+hivatal1!I12+hivatal1!L12+hivatal1!O12+hivatal2!C12+hivatal2!F12+hivatal2!I12+hivatal2!L12+hivatal2!O12+hivatal3!C12+hivatal3!F12+hivatal3!I12+hivatal3!L12+hivatal3!O12+hivatal4!C12+hivatal4!F12+hivatal4!I12+hivatal4!L12+hivatal4!O12+'hivatal5 '!C12+'hivatal5 '!F12+'hivatal5 '!I12+'hivatal5 '!L12+'hivatal5 '!O12+hivatal6!C12+hivatal6!F12+hivatal6!I12+hivatal6!L12+hivatal6!O12+hivatal7!F12+C12</f>
        <v>53012</v>
      </c>
      <c r="J12" s="305">
        <f>hivatal1!D12+hivatal1!G12+hivatal1!J12+hivatal1!M12+hivatal1!P12+hivatal2!D12+hivatal2!G12+hivatal2!J12+hivatal2!M12+hivatal2!P12+hivatal3!D12+hivatal3!G12+hivatal3!J12+hivatal3!M12+hivatal3!P12+hivatal4!D12+hivatal4!G12+hivatal4!J12+hivatal4!M12+hivatal4!P12+'hivatal5 '!D12+'hivatal5 '!G12+'hivatal5 '!J12+'hivatal5 '!M12+'hivatal5 '!P12+hivatal6!D12+hivatal6!G12+hivatal6!J12+hivatal6!M12+hivatal6!P12+hivatal7!G12+D12</f>
        <v>101</v>
      </c>
      <c r="K12" s="311">
        <f>hivatal1!E12+hivatal1!H12+hivatal1!K12+hivatal1!N12+hivatal1!Q12+hivatal2!E12+hivatal2!H12+hivatal2!K12+hivatal2!N12+hivatal2!Q12+hivatal3!E12+hivatal3!H12+hivatal3!K12+hivatal3!N12+hivatal3!Q12+hivatal4!E12+hivatal4!H12+hivatal4!K12+hivatal4!N12+hivatal4!Q12+'hivatal5 '!E12+'hivatal5 '!H12+'hivatal5 '!K12+'hivatal5 '!N12+'hivatal5 '!Q12+hivatal6!E12+hivatal6!H12+hivatal6!K12+hivatal6!N12+hivatal6!Q12+hivatal7!H12+E12</f>
        <v>53113</v>
      </c>
      <c r="L12" s="307"/>
      <c r="M12" s="305"/>
      <c r="N12" s="349">
        <f t="shared" si="0"/>
        <v>0</v>
      </c>
      <c r="O12" s="307"/>
      <c r="P12" s="305"/>
      <c r="Q12" s="349"/>
      <c r="R12" s="892"/>
      <c r="S12" s="332"/>
      <c r="T12" s="893">
        <f>SUM(R12:S12)</f>
        <v>0</v>
      </c>
    </row>
    <row r="13" spans="1:20" s="15" customFormat="1" ht="16.5" thickBot="1">
      <c r="A13" s="308">
        <v>3</v>
      </c>
      <c r="B13" s="296" t="s">
        <v>116</v>
      </c>
      <c r="C13" s="307">
        <v>105453</v>
      </c>
      <c r="D13" s="305">
        <v>4175</v>
      </c>
      <c r="E13" s="349">
        <f>SUM(C13:D13)</f>
        <v>109628</v>
      </c>
      <c r="F13" s="307"/>
      <c r="G13" s="305"/>
      <c r="H13" s="349">
        <f>SUM(F13:G13)</f>
        <v>0</v>
      </c>
      <c r="I13" s="310">
        <f>hivatal1!C13+hivatal1!F13+hivatal1!I13+hivatal1!L13+hivatal1!O13+hivatal2!C13+hivatal2!F13+hivatal2!I13+hivatal2!L13+hivatal2!O13+hivatal3!C13+hivatal3!F13+hivatal3!I13+hivatal3!L13+hivatal3!O13+hivatal4!C13+hivatal4!F13+hivatal4!I13+hivatal4!L13+hivatal4!O13+'hivatal5 '!C13+'hivatal5 '!F13+'hivatal5 '!I13+'hivatal5 '!L13+'hivatal5 '!O13+hivatal6!C13+hivatal6!F13+hivatal6!I13+hivatal6!L13+hivatal6!O13+hivatal7!F13+C13</f>
        <v>3261281</v>
      </c>
      <c r="J13" s="305">
        <f>hivatal1!D13+hivatal1!G13+hivatal1!J13+hivatal1!M13+hivatal1!P13+hivatal2!D13+hivatal2!G13+hivatal2!J13+hivatal2!M13+hivatal2!P13+hivatal3!D13+hivatal3!G13+hivatal3!J13+hivatal3!M13+hivatal3!P13+hivatal4!D13+hivatal4!G13+hivatal4!J13+hivatal4!M13+hivatal4!P13+'hivatal5 '!D13+'hivatal5 '!G13+'hivatal5 '!J13+'hivatal5 '!M13+'hivatal5 '!P13+hivatal6!D13+hivatal6!G13+hivatal6!J13+hivatal6!M13+hivatal6!P13+hivatal7!G13+D13</f>
        <v>172556</v>
      </c>
      <c r="K13" s="311">
        <f>hivatal1!E13+hivatal1!H13+hivatal1!K13+hivatal1!N13+hivatal1!Q13+hivatal2!E13+hivatal2!H13+hivatal2!K13+hivatal2!N13+hivatal2!Q13+hivatal3!E13+hivatal3!H13+hivatal3!K13+hivatal3!N13+hivatal3!Q13+hivatal4!E13+hivatal4!H13+hivatal4!K13+hivatal4!N13+hivatal4!Q13+'hivatal5 '!E13+'hivatal5 '!H13+'hivatal5 '!K13+'hivatal5 '!N13+'hivatal5 '!Q13+hivatal6!E13+hivatal6!H13+hivatal6!K13+hivatal6!N13+hivatal6!Q13+hivatal7!H13+E13</f>
        <v>3433837</v>
      </c>
      <c r="L13" s="307"/>
      <c r="M13" s="305"/>
      <c r="N13" s="349">
        <f t="shared" si="0"/>
        <v>0</v>
      </c>
      <c r="O13" s="310"/>
      <c r="P13" s="305"/>
      <c r="Q13" s="349"/>
      <c r="R13" s="892">
        <f aca="true" t="shared" si="1" ref="R13:R21">SUM(O13:P13)</f>
        <v>0</v>
      </c>
      <c r="S13" s="332"/>
      <c r="T13" s="332"/>
    </row>
    <row r="14" spans="1:20" s="15" customFormat="1" ht="16.5" thickBot="1">
      <c r="A14" s="308">
        <v>4</v>
      </c>
      <c r="B14" s="296" t="s">
        <v>172</v>
      </c>
      <c r="C14" s="307"/>
      <c r="D14" s="307"/>
      <c r="E14" s="311">
        <f>SUM(C14:D14)</f>
        <v>0</v>
      </c>
      <c r="F14" s="307"/>
      <c r="G14" s="307"/>
      <c r="H14" s="311">
        <f>SUM(F14:G14)</f>
        <v>0</v>
      </c>
      <c r="I14" s="281">
        <f>hivatal1!C14+hivatal1!F14+hivatal1!I14+hivatal1!L14+hivatal1!O14+hivatal2!C14+hivatal2!F14+hivatal2!I14+hivatal2!L14+hivatal2!O14+hivatal3!C14+hivatal3!F14+hivatal3!I14+hivatal3!L14+hivatal3!O14+hivatal4!C14+hivatal4!F14+hivatal4!I14+hivatal4!L14+hivatal4!O14+'hivatal5 '!C14+'hivatal5 '!F14+'hivatal5 '!I14+'hivatal5 '!L14+'hivatal5 '!O14+hivatal6!C14+hivatal6!F14+hivatal6!I14+hivatal6!L14+hivatal6!O14+hivatal7!F14+C14</f>
        <v>91423</v>
      </c>
      <c r="J14" s="285">
        <f>hivatal1!D14+hivatal1!G14+hivatal1!J14+hivatal1!M14+hivatal1!P14+hivatal2!D14+hivatal2!G14+hivatal2!J14+hivatal2!M14+hivatal2!P14+hivatal3!D14+hivatal3!G14+hivatal3!J14+hivatal3!M14+hivatal3!P14+hivatal4!D14+hivatal4!G14+hivatal4!J14+hivatal4!M14+hivatal4!P14+'hivatal5 '!D14+'hivatal5 '!G14+'hivatal5 '!J14+'hivatal5 '!M14+'hivatal5 '!P14+hivatal6!D14+hivatal6!G14+hivatal6!J14+hivatal6!M14+hivatal6!P14+hivatal7!G14+D14</f>
        <v>0</v>
      </c>
      <c r="K14" s="283">
        <f>hivatal1!E14+hivatal1!H14+hivatal1!K14+hivatal1!N14+hivatal1!Q14+hivatal2!E14+hivatal2!H14+hivatal2!K14+hivatal2!N14+hivatal2!Q14+hivatal3!E14+hivatal3!H14+hivatal3!K14+hivatal3!N14+hivatal3!Q14+hivatal4!E14+hivatal4!H14+hivatal4!K14+hivatal4!N14+hivatal4!Q14+'hivatal5 '!E14+'hivatal5 '!H14+'hivatal5 '!K14+'hivatal5 '!N14+'hivatal5 '!Q14+hivatal6!E14+hivatal6!H14+hivatal6!K14+hivatal6!N14+hivatal6!Q14+hivatal7!H14+E14</f>
        <v>91423</v>
      </c>
      <c r="L14" s="307"/>
      <c r="M14" s="307"/>
      <c r="N14" s="311">
        <f t="shared" si="0"/>
        <v>0</v>
      </c>
      <c r="O14" s="310"/>
      <c r="P14" s="307"/>
      <c r="Q14" s="311"/>
      <c r="R14" s="324"/>
      <c r="S14" s="324"/>
      <c r="T14" s="324"/>
    </row>
    <row r="15" spans="1:18" ht="15">
      <c r="A15" s="163" t="s">
        <v>98</v>
      </c>
      <c r="B15" s="152" t="s">
        <v>370</v>
      </c>
      <c r="C15" s="224"/>
      <c r="D15" s="224"/>
      <c r="E15" s="380">
        <f aca="true" t="shared" si="2" ref="E15:E22">C15+D15</f>
        <v>0</v>
      </c>
      <c r="F15" s="224"/>
      <c r="G15" s="224"/>
      <c r="H15" s="380">
        <f aca="true" t="shared" si="3" ref="H15:H22">F15+G15</f>
        <v>0</v>
      </c>
      <c r="I15" s="226">
        <f>hivatal1!C15+hivatal1!F15+hivatal1!I15+hivatal1!L15+hivatal1!O15+hivatal2!C15+hivatal2!F15+hivatal2!I15+hivatal2!L15+hivatal2!O15+hivatal3!C15+hivatal3!F15+hivatal3!I15+hivatal3!L15+hivatal3!O15+hivatal4!C15+hivatal4!F15+hivatal4!I15+hivatal4!L15+hivatal4!O15+'hivatal5 '!C15+'hivatal5 '!F15+'hivatal5 '!I15+'hivatal5 '!L15+'hivatal5 '!O15+hivatal6!C15+hivatal6!F15+hivatal6!I15+hivatal6!L15+hivatal6!O15+hivatal7!F15+C15</f>
        <v>141742</v>
      </c>
      <c r="J15" s="224">
        <f>hivatal1!D15+hivatal1!G15+hivatal1!J15+hivatal1!M15+hivatal1!P15+hivatal2!D15+hivatal2!G15+hivatal2!J15+hivatal2!M15+hivatal2!P15+hivatal3!D15+hivatal3!G15+hivatal3!J15+hivatal3!M15+hivatal3!P15+hivatal4!D15+hivatal4!G15+hivatal4!J15+hivatal4!M15+hivatal4!P15+'hivatal5 '!D15+'hivatal5 '!G15+'hivatal5 '!J15+'hivatal5 '!M15+'hivatal5 '!P15+hivatal6!D15+hivatal6!G15+hivatal6!J15+hivatal6!M15+hivatal6!P15+hivatal7!G15+D15</f>
        <v>0</v>
      </c>
      <c r="K15" s="227">
        <f>hivatal1!E15+hivatal1!H15+hivatal1!K15+hivatal1!N15+hivatal1!Q15+hivatal2!E15+hivatal2!H15+hivatal2!K15+hivatal2!N15+hivatal2!Q15+hivatal3!E15+hivatal3!H15+hivatal3!K15+hivatal3!N15+hivatal3!Q15+hivatal4!E15+hivatal4!H15+hivatal4!K15+hivatal4!N15+hivatal4!Q15+'hivatal5 '!E15+'hivatal5 '!H15+'hivatal5 '!K15+'hivatal5 '!N15+'hivatal5 '!Q15+hivatal6!E15+hivatal6!H15+hivatal6!K15+hivatal6!N15+hivatal6!Q15+hivatal7!H15+E15</f>
        <v>141742</v>
      </c>
      <c r="L15" s="238"/>
      <c r="M15" s="224"/>
      <c r="N15" s="380">
        <f t="shared" si="0"/>
        <v>0</v>
      </c>
      <c r="O15" s="226"/>
      <c r="P15" s="224"/>
      <c r="Q15" s="380"/>
      <c r="R15" s="892">
        <f t="shared" si="1"/>
        <v>0</v>
      </c>
    </row>
    <row r="16" spans="1:18" ht="15">
      <c r="A16" s="160" t="s">
        <v>99</v>
      </c>
      <c r="B16" s="156" t="s">
        <v>554</v>
      </c>
      <c r="C16" s="146"/>
      <c r="D16" s="146"/>
      <c r="E16" s="380">
        <f t="shared" si="2"/>
        <v>0</v>
      </c>
      <c r="F16" s="146"/>
      <c r="G16" s="146"/>
      <c r="H16" s="380">
        <f t="shared" si="3"/>
        <v>0</v>
      </c>
      <c r="I16" s="226">
        <f>hivatal1!C16+hivatal1!F16+hivatal1!I16+hivatal1!L16+hivatal1!O16+hivatal2!C16+hivatal2!F16+hivatal2!I16+hivatal2!L16+hivatal2!O16+hivatal3!C16+hivatal3!F16+hivatal3!I16+hivatal3!L16+hivatal3!O16+hivatal4!C16+hivatal4!F16+hivatal4!I16+hivatal4!L16+hivatal4!O16+'hivatal5 '!C16+'hivatal5 '!F16+'hivatal5 '!I16+'hivatal5 '!L16+'hivatal5 '!O16+hivatal6!C16+hivatal6!F16+hivatal6!I16+hivatal6!L16+hivatal6!O16+hivatal7!F16+C16</f>
        <v>0</v>
      </c>
      <c r="J16" s="224">
        <f>hivatal1!D16+hivatal1!G16+hivatal1!J16+hivatal1!M16+hivatal1!P16+hivatal2!D16+hivatal2!G16+hivatal2!J16+hivatal2!M16+hivatal2!P16+hivatal3!D16+hivatal3!G16+hivatal3!J16+hivatal3!M16+hivatal3!P16+hivatal4!D16+hivatal4!G16+hivatal4!J16+hivatal4!M16+hivatal4!P16+'hivatal5 '!D16+'hivatal5 '!G16+'hivatal5 '!J16+'hivatal5 '!M16+'hivatal5 '!P16+hivatal6!D16+hivatal6!G16+hivatal6!J16+hivatal6!M16+hivatal6!P16+hivatal7!G16+D16</f>
        <v>0</v>
      </c>
      <c r="K16" s="227">
        <f>hivatal1!E16+hivatal1!H16+hivatal1!K16+hivatal1!N16+hivatal1!Q16+hivatal2!E16+hivatal2!H16+hivatal2!K16+hivatal2!N16+hivatal2!Q16+hivatal3!E16+hivatal3!H16+hivatal3!K16+hivatal3!N16+hivatal3!Q16+hivatal4!E16+hivatal4!H16+hivatal4!K16+hivatal4!N16+hivatal4!Q16+'hivatal5 '!E16+'hivatal5 '!H16+'hivatal5 '!K16+'hivatal5 '!N16+'hivatal5 '!Q16+hivatal6!E16+hivatal6!H16+hivatal6!K16+hivatal6!N16+hivatal6!Q16+hivatal7!H16+E16</f>
        <v>0</v>
      </c>
      <c r="L16" s="148"/>
      <c r="M16" s="146"/>
      <c r="N16" s="380">
        <f t="shared" si="0"/>
        <v>0</v>
      </c>
      <c r="O16" s="150"/>
      <c r="P16" s="146"/>
      <c r="Q16" s="380"/>
      <c r="R16" s="892">
        <f>SUM(O16:P16)</f>
        <v>0</v>
      </c>
    </row>
    <row r="17" spans="1:18" ht="15">
      <c r="A17" s="160" t="s">
        <v>100</v>
      </c>
      <c r="B17" s="156" t="s">
        <v>555</v>
      </c>
      <c r="C17" s="146"/>
      <c r="D17" s="146"/>
      <c r="E17" s="380">
        <f t="shared" si="2"/>
        <v>0</v>
      </c>
      <c r="F17" s="146"/>
      <c r="G17" s="146"/>
      <c r="H17" s="380">
        <f t="shared" si="3"/>
        <v>0</v>
      </c>
      <c r="I17" s="226">
        <f>hivatal1!C17+hivatal1!F17+hivatal1!I17+hivatal1!L17+hivatal1!O17+hivatal2!C17+hivatal2!F17+hivatal2!I17+hivatal2!L17+hivatal2!O17+hivatal3!C17+hivatal3!F17+hivatal3!I17+hivatal3!L17+hivatal3!O17+hivatal4!C17+hivatal4!F17+hivatal4!I17+hivatal4!L17+hivatal4!O17+'hivatal5 '!C17+'hivatal5 '!F17+'hivatal5 '!I17+'hivatal5 '!L17+'hivatal5 '!O17+hivatal6!C17+hivatal6!F17+hivatal6!I17+hivatal6!L17+hivatal6!O17+hivatal7!F17+C17</f>
        <v>0</v>
      </c>
      <c r="J17" s="224">
        <f>hivatal1!D17+hivatal1!G17+hivatal1!J17+hivatal1!M17+hivatal1!P17+hivatal2!D17+hivatal2!G17+hivatal2!J17+hivatal2!M17+hivatal2!P17+hivatal3!D17+hivatal3!G17+hivatal3!J17+hivatal3!M17+hivatal3!P17+hivatal4!D17+hivatal4!G17+hivatal4!J17+hivatal4!M17+hivatal4!P17+'hivatal5 '!D17+'hivatal5 '!G17+'hivatal5 '!J17+'hivatal5 '!M17+'hivatal5 '!P17+hivatal6!D17+hivatal6!G17+hivatal6!J17+hivatal6!M17+hivatal6!P17+hivatal7!G17+D17</f>
        <v>0</v>
      </c>
      <c r="K17" s="227">
        <f>hivatal1!E17+hivatal1!H17+hivatal1!K17+hivatal1!N17+hivatal1!Q17+hivatal2!E17+hivatal2!H17+hivatal2!K17+hivatal2!N17+hivatal2!Q17+hivatal3!E17+hivatal3!H17+hivatal3!K17+hivatal3!N17+hivatal3!Q17+hivatal4!E17+hivatal4!H17+hivatal4!K17+hivatal4!N17+hivatal4!Q17+'hivatal5 '!E17+'hivatal5 '!H17+'hivatal5 '!K17+'hivatal5 '!N17+'hivatal5 '!Q17+hivatal6!E17+hivatal6!H17+hivatal6!K17+hivatal6!N17+hivatal6!Q17+hivatal7!H17+E17</f>
        <v>0</v>
      </c>
      <c r="L17" s="148"/>
      <c r="M17" s="146"/>
      <c r="N17" s="380">
        <f aca="true" t="shared" si="4" ref="N17:N22">SUM(L17:M17)</f>
        <v>0</v>
      </c>
      <c r="O17" s="150"/>
      <c r="P17" s="146"/>
      <c r="Q17" s="380"/>
      <c r="R17" s="892">
        <f t="shared" si="1"/>
        <v>0</v>
      </c>
    </row>
    <row r="18" spans="1:18" ht="15">
      <c r="A18" s="160" t="s">
        <v>101</v>
      </c>
      <c r="B18" s="156" t="s">
        <v>371</v>
      </c>
      <c r="C18" s="146"/>
      <c r="D18" s="146"/>
      <c r="E18" s="380">
        <f t="shared" si="2"/>
        <v>0</v>
      </c>
      <c r="F18" s="146"/>
      <c r="G18" s="146"/>
      <c r="H18" s="380">
        <f t="shared" si="3"/>
        <v>0</v>
      </c>
      <c r="I18" s="226">
        <f>hivatal1!C18+hivatal1!F18+hivatal1!I18+hivatal1!L18+hivatal1!O18+hivatal2!C18+hivatal2!F18+hivatal2!I18+hivatal2!L18+hivatal2!O18+hivatal3!C18+hivatal3!F18+hivatal3!I18+hivatal3!L18+hivatal3!O18+hivatal4!C18+hivatal4!F18+hivatal4!I18+hivatal4!L18+hivatal4!O18+'hivatal5 '!C18+'hivatal5 '!F18+'hivatal5 '!I18+'hivatal5 '!L18+'hivatal5 '!O18+hivatal6!C18+hivatal6!F18+hivatal6!I18+hivatal6!L18+hivatal6!O18+hivatal7!F18+C18</f>
        <v>32676</v>
      </c>
      <c r="J18" s="224">
        <f>hivatal1!D18+hivatal1!G18+hivatal1!J18+hivatal1!M18+hivatal1!P18+hivatal2!D18+hivatal2!G18+hivatal2!J18+hivatal2!M18+hivatal2!P18+hivatal3!D18+hivatal3!G18+hivatal3!J18+hivatal3!M18+hivatal3!P18+hivatal4!D18+hivatal4!G18+hivatal4!J18+hivatal4!M18+hivatal4!P18+'hivatal5 '!D18+'hivatal5 '!G18+'hivatal5 '!J18+'hivatal5 '!M18+'hivatal5 '!P18+hivatal6!D18+hivatal6!G18+hivatal6!J18+hivatal6!M18+hivatal6!P18+hivatal7!G18+D18</f>
        <v>4977</v>
      </c>
      <c r="K18" s="227">
        <f>hivatal1!E18+hivatal1!H18+hivatal1!K18+hivatal1!N18+hivatal1!Q18+hivatal2!E18+hivatal2!H18+hivatal2!K18+hivatal2!N18+hivatal2!Q18+hivatal3!E18+hivatal3!H18+hivatal3!K18+hivatal3!N18+hivatal3!Q18+hivatal4!E18+hivatal4!H18+hivatal4!K18+hivatal4!N18+hivatal4!Q18+'hivatal5 '!E18+'hivatal5 '!H18+'hivatal5 '!K18+'hivatal5 '!N18+'hivatal5 '!Q18+hivatal6!E18+hivatal6!H18+hivatal6!K18+hivatal6!N18+hivatal6!Q18+hivatal7!H18+E18</f>
        <v>37653</v>
      </c>
      <c r="L18" s="148"/>
      <c r="M18" s="146"/>
      <c r="N18" s="380">
        <f t="shared" si="4"/>
        <v>0</v>
      </c>
      <c r="O18" s="236"/>
      <c r="P18" s="158"/>
      <c r="Q18" s="380"/>
      <c r="R18" s="892">
        <f t="shared" si="1"/>
        <v>0</v>
      </c>
    </row>
    <row r="19" spans="1:18" ht="15">
      <c r="A19" s="155" t="s">
        <v>192</v>
      </c>
      <c r="B19" s="156" t="s">
        <v>556</v>
      </c>
      <c r="C19" s="148"/>
      <c r="D19" s="146"/>
      <c r="E19" s="380">
        <f t="shared" si="2"/>
        <v>0</v>
      </c>
      <c r="F19" s="148"/>
      <c r="G19" s="146"/>
      <c r="H19" s="380">
        <f t="shared" si="3"/>
        <v>0</v>
      </c>
      <c r="I19" s="226">
        <f>hivatal1!C19+hivatal1!F19+hivatal1!I19+hivatal1!L19+hivatal1!O19+hivatal2!C19+hivatal2!F19+hivatal2!I19+hivatal2!L19+hivatal2!O19+hivatal3!C19+hivatal3!F19+hivatal3!I19+hivatal3!L19+hivatal3!O19+hivatal4!C19+hivatal4!F19+hivatal4!I19+hivatal4!L19+hivatal4!O19+'hivatal5 '!C19+'hivatal5 '!F19+'hivatal5 '!I19+'hivatal5 '!L19+'hivatal5 '!O19+hivatal6!C19+hivatal6!F19+hivatal6!I19+hivatal6!L19+hivatal6!O19+hivatal7!F19+C19</f>
        <v>10000</v>
      </c>
      <c r="J19" s="224">
        <f>hivatal1!D19+hivatal1!G19+hivatal1!J19+hivatal1!M19+hivatal1!P19+hivatal2!D19+hivatal2!G19+hivatal2!J19+hivatal2!M19+hivatal2!P19+hivatal3!D19+hivatal3!G19+hivatal3!J19+hivatal3!M19+hivatal3!P19+hivatal4!D19+hivatal4!G19+hivatal4!J19+hivatal4!M19+hivatal4!P19+'hivatal5 '!D19+'hivatal5 '!G19+'hivatal5 '!J19+'hivatal5 '!M19+'hivatal5 '!P19+hivatal6!D19+hivatal6!G19+hivatal6!J19+hivatal6!M19+hivatal6!P19+hivatal7!G19+D19</f>
        <v>0</v>
      </c>
      <c r="K19" s="227">
        <f>hivatal1!E19+hivatal1!H19+hivatal1!K19+hivatal1!N19+hivatal1!Q19+hivatal2!E19+hivatal2!H19+hivatal2!K19+hivatal2!N19+hivatal2!Q19+hivatal3!E19+hivatal3!H19+hivatal3!K19+hivatal3!N19+hivatal3!Q19+hivatal4!E19+hivatal4!H19+hivatal4!K19+hivatal4!N19+hivatal4!Q19+'hivatal5 '!E19+'hivatal5 '!H19+'hivatal5 '!K19+'hivatal5 '!N19+'hivatal5 '!Q19+hivatal6!E19+hivatal6!H19+hivatal6!K19+hivatal6!N19+hivatal6!Q19+hivatal7!H19+E19</f>
        <v>10000</v>
      </c>
      <c r="L19" s="148"/>
      <c r="M19" s="146"/>
      <c r="N19" s="380">
        <f>SUM(L19:M19)</f>
        <v>0</v>
      </c>
      <c r="O19" s="150"/>
      <c r="P19" s="146"/>
      <c r="Q19" s="380"/>
      <c r="R19" s="892">
        <f>SUM(O19:P19)</f>
        <v>0</v>
      </c>
    </row>
    <row r="20" spans="1:18" ht="15">
      <c r="A20" s="155" t="s">
        <v>327</v>
      </c>
      <c r="B20" s="156" t="s">
        <v>557</v>
      </c>
      <c r="C20" s="148"/>
      <c r="D20" s="146"/>
      <c r="E20" s="380">
        <f t="shared" si="2"/>
        <v>0</v>
      </c>
      <c r="F20" s="148"/>
      <c r="G20" s="146"/>
      <c r="H20" s="380">
        <f t="shared" si="3"/>
        <v>0</v>
      </c>
      <c r="I20" s="226">
        <f>hivatal1!C20+hivatal1!F20+hivatal1!I20+hivatal1!L20+hivatal1!O20+hivatal2!C20+hivatal2!F20+hivatal2!I20+hivatal2!L20+hivatal2!O20+hivatal3!C20+hivatal3!F20+hivatal3!I20+hivatal3!L20+hivatal3!O20+hivatal4!C20+hivatal4!F20+hivatal4!I20+hivatal4!L20+hivatal4!O20+'hivatal5 '!C20+'hivatal5 '!F20+'hivatal5 '!I20+'hivatal5 '!L20+'hivatal5 '!O20+hivatal6!C20+hivatal6!F20+hivatal6!I20+hivatal6!L20+hivatal6!O20+hivatal7!F20+C20</f>
        <v>0</v>
      </c>
      <c r="J20" s="224">
        <f>hivatal1!D20+hivatal1!G20+hivatal1!J20+hivatal1!M20+hivatal1!P20+hivatal2!D20+hivatal2!G20+hivatal2!J20+hivatal2!M20+hivatal2!P20+hivatal3!D20+hivatal3!G20+hivatal3!J20+hivatal3!M20+hivatal3!P20+hivatal4!D20+hivatal4!G20+hivatal4!J20+hivatal4!M20+hivatal4!P20+'hivatal5 '!D20+'hivatal5 '!G20+'hivatal5 '!J20+'hivatal5 '!M20+'hivatal5 '!P20+hivatal6!D20+hivatal6!G20+hivatal6!J20+hivatal6!M20+hivatal6!P20+hivatal7!G20+D20</f>
        <v>0</v>
      </c>
      <c r="K20" s="227">
        <f>hivatal1!E20+hivatal1!H20+hivatal1!K20+hivatal1!N20+hivatal1!Q20+hivatal2!E20+hivatal2!H20+hivatal2!K20+hivatal2!N20+hivatal2!Q20+hivatal3!E20+hivatal3!H20+hivatal3!K20+hivatal3!N20+hivatal3!Q20+hivatal4!E20+hivatal4!H20+hivatal4!K20+hivatal4!N20+hivatal4!Q20+'hivatal5 '!E20+'hivatal5 '!H20+'hivatal5 '!K20+'hivatal5 '!N20+'hivatal5 '!Q20+hivatal6!E20+hivatal6!H20+hivatal6!K20+hivatal6!N20+hivatal6!Q20+hivatal7!H20+E20</f>
        <v>0</v>
      </c>
      <c r="L20" s="148"/>
      <c r="M20" s="146"/>
      <c r="N20" s="380">
        <f t="shared" si="4"/>
        <v>0</v>
      </c>
      <c r="O20" s="150"/>
      <c r="P20" s="146"/>
      <c r="Q20" s="380"/>
      <c r="R20" s="892">
        <f t="shared" si="1"/>
        <v>0</v>
      </c>
    </row>
    <row r="21" spans="1:18" ht="15">
      <c r="A21" s="155" t="s">
        <v>328</v>
      </c>
      <c r="B21" s="156" t="s">
        <v>372</v>
      </c>
      <c r="C21" s="238">
        <v>500</v>
      </c>
      <c r="D21" s="224"/>
      <c r="E21" s="380">
        <f t="shared" si="2"/>
        <v>500</v>
      </c>
      <c r="F21" s="238"/>
      <c r="G21" s="224"/>
      <c r="H21" s="380">
        <f t="shared" si="3"/>
        <v>0</v>
      </c>
      <c r="I21" s="226">
        <f>hivatal1!C21+hivatal1!F21+hivatal1!I21+hivatal1!L21+hivatal1!O21+hivatal2!C21+hivatal2!F21+hivatal2!I21+hivatal2!L21+hivatal2!O21+hivatal3!C21+hivatal3!F21+hivatal3!I21+hivatal3!L21+hivatal3!O21+hivatal4!C21+hivatal4!F21+hivatal4!I21+hivatal4!L21+hivatal4!O21+'hivatal5 '!C21+'hivatal5 '!F21+'hivatal5 '!I21+'hivatal5 '!L21+'hivatal5 '!O21+hivatal6!C21+hivatal6!F21+hivatal6!I21+hivatal6!L21+hivatal6!O21+hivatal7!F21+C21</f>
        <v>154596</v>
      </c>
      <c r="J21" s="224">
        <f>hivatal1!D21+hivatal1!G21+hivatal1!J21+hivatal1!M21+hivatal1!P21+hivatal2!D21+hivatal2!G21+hivatal2!J21+hivatal2!M21+hivatal2!P21+hivatal3!D21+hivatal3!G21+hivatal3!J21+hivatal3!M21+hivatal3!P21+hivatal4!D21+hivatal4!G21+hivatal4!J21+hivatal4!M21+hivatal4!P21+'hivatal5 '!D21+'hivatal5 '!G21+'hivatal5 '!J21+'hivatal5 '!M21+'hivatal5 '!P21+hivatal6!D21+hivatal6!G21+hivatal6!J21+hivatal6!M21+hivatal6!P21+hivatal7!G21+D21</f>
        <v>12255</v>
      </c>
      <c r="K21" s="227">
        <f>hivatal1!E21+hivatal1!H21+hivatal1!K21+hivatal1!N21+hivatal1!Q21+hivatal2!E21+hivatal2!H21+hivatal2!K21+hivatal2!N21+hivatal2!Q21+hivatal3!E21+hivatal3!H21+hivatal3!K21+hivatal3!N21+hivatal3!Q21+hivatal4!E21+hivatal4!H21+hivatal4!K21+hivatal4!N21+hivatal4!Q21+'hivatal5 '!E21+'hivatal5 '!H21+'hivatal5 '!K21+'hivatal5 '!N21+'hivatal5 '!Q21+hivatal6!E21+hivatal6!H21+hivatal6!K21+hivatal6!N21+hivatal6!Q21+hivatal7!H21+E21</f>
        <v>166851</v>
      </c>
      <c r="L21" s="238"/>
      <c r="M21" s="224"/>
      <c r="N21" s="380">
        <f t="shared" si="4"/>
        <v>0</v>
      </c>
      <c r="O21" s="226"/>
      <c r="P21" s="224"/>
      <c r="Q21" s="380"/>
      <c r="R21" s="892">
        <f t="shared" si="1"/>
        <v>0</v>
      </c>
    </row>
    <row r="22" spans="1:18" ht="15" customHeight="1" thickBot="1">
      <c r="A22" s="16" t="s">
        <v>69</v>
      </c>
      <c r="B22" s="894" t="s">
        <v>373</v>
      </c>
      <c r="C22" s="157"/>
      <c r="D22" s="157"/>
      <c r="E22" s="380">
        <f t="shared" si="2"/>
        <v>0</v>
      </c>
      <c r="F22" s="157">
        <f>+tartalék!D38</f>
        <v>1905401</v>
      </c>
      <c r="G22" s="157">
        <f>tartalék!E38</f>
        <v>-236309</v>
      </c>
      <c r="H22" s="380">
        <f t="shared" si="3"/>
        <v>1669092</v>
      </c>
      <c r="I22" s="226">
        <f>hivatal1!C22+hivatal1!F22+hivatal1!I22+hivatal1!L22+hivatal1!O22+hivatal2!C22+hivatal2!F22+hivatal2!I22+hivatal2!L22+hivatal2!O22+hivatal3!C22+hivatal3!F22+hivatal3!I22+hivatal3!L22+hivatal3!O22+hivatal4!C22+hivatal4!F22+hivatal4!I22+hivatal4!L22+hivatal4!O22+'hivatal5 '!C22+'hivatal5 '!F22+'hivatal5 '!I22+'hivatal5 '!L22+'hivatal5 '!O22+hivatal6!C22+hivatal6!F22+hivatal6!I22+hivatal6!L22+hivatal6!O22+hivatal7!F22+C22</f>
        <v>1905401</v>
      </c>
      <c r="J22" s="224">
        <f>hivatal1!D22+hivatal1!G22+hivatal1!J22+hivatal1!M22+hivatal1!P22+hivatal2!D22+hivatal2!G22+hivatal2!J22+hivatal2!M22+hivatal2!P22+hivatal3!D22+hivatal3!G22+hivatal3!J22+hivatal3!M22+hivatal3!P22+hivatal4!D22+hivatal4!G22+hivatal4!J22+hivatal4!M22+hivatal4!P22+'hivatal5 '!D22+'hivatal5 '!G22+'hivatal5 '!J22+'hivatal5 '!M22+'hivatal5 '!P22+hivatal6!D22+hivatal6!G22+hivatal6!J22+hivatal6!M22+hivatal6!P22+hivatal7!G22+D22</f>
        <v>-236309</v>
      </c>
      <c r="K22" s="227">
        <f>hivatal1!E22+hivatal1!H22+hivatal1!K22+hivatal1!N22+hivatal1!Q22+hivatal2!E22+hivatal2!H22+hivatal2!K22+hivatal2!N22+hivatal2!Q22+hivatal3!E22+hivatal3!H22+hivatal3!K22+hivatal3!N22+hivatal3!Q22+hivatal4!E22+hivatal4!H22+hivatal4!K22+hivatal4!N22+hivatal4!Q22+'hivatal5 '!E22+'hivatal5 '!H22+'hivatal5 '!K22+'hivatal5 '!N22+'hivatal5 '!Q22+hivatal6!E22+hivatal6!H22+hivatal6!K22+hivatal6!N22+hivatal6!Q22+hivatal7!H22+E22</f>
        <v>1669092</v>
      </c>
      <c r="L22" s="157"/>
      <c r="M22" s="158"/>
      <c r="N22" s="380">
        <f t="shared" si="4"/>
        <v>0</v>
      </c>
      <c r="O22" s="236"/>
      <c r="P22" s="158"/>
      <c r="Q22" s="380"/>
      <c r="R22" s="892"/>
    </row>
    <row r="23" spans="1:20" s="15" customFormat="1" ht="16.5" thickBot="1">
      <c r="A23" s="308">
        <v>5</v>
      </c>
      <c r="B23" s="296" t="s">
        <v>171</v>
      </c>
      <c r="C23" s="310">
        <f>SUM(C15:C22)</f>
        <v>500</v>
      </c>
      <c r="D23" s="307">
        <f>SUM(D15:D22)</f>
        <v>0</v>
      </c>
      <c r="E23" s="311">
        <f>SUM(E15:E22)</f>
        <v>500</v>
      </c>
      <c r="F23" s="310">
        <f aca="true" t="shared" si="5" ref="F23:S23">SUM(F15:F22)</f>
        <v>1905401</v>
      </c>
      <c r="G23" s="307">
        <f t="shared" si="5"/>
        <v>-236309</v>
      </c>
      <c r="H23" s="311">
        <f t="shared" si="5"/>
        <v>1669092</v>
      </c>
      <c r="I23" s="307">
        <f t="shared" si="5"/>
        <v>2244415</v>
      </c>
      <c r="J23" s="307">
        <f t="shared" si="5"/>
        <v>-219077</v>
      </c>
      <c r="K23" s="321">
        <f t="shared" si="5"/>
        <v>2025338</v>
      </c>
      <c r="L23" s="310">
        <f t="shared" si="5"/>
        <v>0</v>
      </c>
      <c r="M23" s="307">
        <f t="shared" si="5"/>
        <v>0</v>
      </c>
      <c r="N23" s="311">
        <f t="shared" si="5"/>
        <v>0</v>
      </c>
      <c r="O23" s="310"/>
      <c r="P23" s="307"/>
      <c r="Q23" s="311"/>
      <c r="R23" s="324">
        <f t="shared" si="5"/>
        <v>0</v>
      </c>
      <c r="S23" s="324">
        <f t="shared" si="5"/>
        <v>0</v>
      </c>
      <c r="T23" s="324"/>
    </row>
    <row r="24" spans="1:20" ht="16.5" thickBot="1">
      <c r="A24" s="304">
        <v>6</v>
      </c>
      <c r="B24" s="296" t="s">
        <v>174</v>
      </c>
      <c r="C24" s="305">
        <v>1048</v>
      </c>
      <c r="D24" s="305"/>
      <c r="E24" s="349">
        <f aca="true" t="shared" si="6" ref="E24:E30">SUM(C24:D24)</f>
        <v>1048</v>
      </c>
      <c r="F24" s="305"/>
      <c r="G24" s="305"/>
      <c r="H24" s="349">
        <f aca="true" t="shared" si="7" ref="H24:H30">SUM(F24:G24)</f>
        <v>0</v>
      </c>
      <c r="I24" s="281">
        <f>hivatal1!C24+hivatal1!F24+hivatal1!I24+hivatal1!L24+hivatal1!O24+hivatal2!C24+hivatal2!F24+hivatal2!I24+hivatal2!L24+hivatal2!O24+hivatal3!C24+hivatal3!F24+hivatal3!I24+hivatal3!L24+hivatal3!O24+hivatal4!C24+hivatal4!F24+hivatal4!I24+hivatal4!L24+hivatal4!O24+'hivatal5 '!C24+'hivatal5 '!F24+'hivatal5 '!I24+'hivatal5 '!L24+'hivatal5 '!O24+hivatal6!C24+hivatal6!F24+hivatal6!I24+hivatal6!L24+hivatal6!O24+hivatal7!F24+C24</f>
        <v>3213769</v>
      </c>
      <c r="J24" s="285">
        <f>hivatal1!D24+hivatal1!G24+hivatal1!J24+hivatal1!M24+hivatal1!P24+hivatal2!D24+hivatal2!G24+hivatal2!J24+hivatal2!M24+hivatal2!P24+hivatal3!D24+hivatal3!G24+hivatal3!J24+hivatal3!M24+hivatal3!P24+hivatal4!D24+hivatal4!G24+hivatal4!J24+hivatal4!M24+hivatal4!P24+'hivatal5 '!D24+'hivatal5 '!G24+'hivatal5 '!J24+'hivatal5 '!M24+'hivatal5 '!P24+hivatal6!D24+hivatal6!G24+hivatal6!J24+hivatal6!M24+hivatal6!P24+hivatal7!G24+D24</f>
        <v>648291</v>
      </c>
      <c r="K24" s="283">
        <f>hivatal1!E24+hivatal1!H24+hivatal1!K24+hivatal1!N24+hivatal1!Q24+hivatal2!E24+hivatal2!H24+hivatal2!K24+hivatal2!N24+hivatal2!Q24+hivatal3!E24+hivatal3!H24+hivatal3!K24+hivatal3!N24+hivatal3!Q24+hivatal4!E24+hivatal4!H24+hivatal4!K24+hivatal4!N24+hivatal4!Q24+'hivatal5 '!E24+'hivatal5 '!H24+'hivatal5 '!K24+'hivatal5 '!N24+'hivatal5 '!Q24+hivatal6!E24+hivatal6!H24+hivatal6!K24+hivatal6!N24+hivatal6!Q24+hivatal7!H24+E24</f>
        <v>3862060</v>
      </c>
      <c r="L24" s="307"/>
      <c r="M24" s="305"/>
      <c r="N24" s="349">
        <f aca="true" t="shared" si="8" ref="N24:N33">SUM(L24:M24)</f>
        <v>0</v>
      </c>
      <c r="O24" s="310"/>
      <c r="P24" s="305"/>
      <c r="Q24" s="349"/>
      <c r="R24" s="892">
        <f aca="true" t="shared" si="9" ref="R24:R34">SUM(O24:P24)</f>
        <v>0</v>
      </c>
      <c r="S24" s="332"/>
      <c r="T24" s="332"/>
    </row>
    <row r="25" spans="1:20" s="15" customFormat="1" ht="16.5" thickBot="1">
      <c r="A25" s="304">
        <v>7</v>
      </c>
      <c r="B25" s="296" t="s">
        <v>421</v>
      </c>
      <c r="C25" s="305"/>
      <c r="D25" s="305"/>
      <c r="E25" s="349">
        <f t="shared" si="6"/>
        <v>0</v>
      </c>
      <c r="F25" s="305"/>
      <c r="G25" s="305"/>
      <c r="H25" s="349">
        <f t="shared" si="7"/>
        <v>0</v>
      </c>
      <c r="I25" s="281">
        <f>hivatal1!C25+hivatal1!F25+hivatal1!I25+hivatal1!L25+hivatal1!O25+hivatal2!C25+hivatal2!F25+hivatal2!I25+hivatal2!L25+hivatal2!O25+hivatal3!C25+hivatal3!F25+hivatal3!I25+hivatal3!L25+hivatal3!O25+hivatal4!C25+hivatal4!F25+hivatal4!I25+hivatal4!L25+hivatal4!O25+'hivatal5 '!C25+'hivatal5 '!F25+'hivatal5 '!I25+'hivatal5 '!L25+'hivatal5 '!O25+hivatal6!C25+hivatal6!F25+hivatal6!I25+hivatal6!L25+hivatal6!O25+hivatal7!F25+C25</f>
        <v>439205</v>
      </c>
      <c r="J25" s="285">
        <f>hivatal1!D25+hivatal1!G25+hivatal1!J25+hivatal1!M25+hivatal1!P25+hivatal2!D25+hivatal2!G25+hivatal2!J25+hivatal2!M25+hivatal2!P25+hivatal3!D25+hivatal3!G25+hivatal3!J25+hivatal3!M25+hivatal3!P25+hivatal4!D25+hivatal4!G25+hivatal4!J25+hivatal4!M25+hivatal4!P25+'hivatal5 '!D25+'hivatal5 '!G25+'hivatal5 '!J25+'hivatal5 '!M25+'hivatal5 '!P25+hivatal6!D25+hivatal6!G25+hivatal6!J25+hivatal6!M25+hivatal6!P25+hivatal7!G25+D25</f>
        <v>104237</v>
      </c>
      <c r="K25" s="283">
        <f>hivatal1!E25+hivatal1!H25+hivatal1!K25+hivatal1!N25+hivatal1!Q25+hivatal2!E25+hivatal2!H25+hivatal2!K25+hivatal2!N25+hivatal2!Q25+hivatal3!E25+hivatal3!H25+hivatal3!K25+hivatal3!N25+hivatal3!Q25+hivatal4!E25+hivatal4!H25+hivatal4!K25+hivatal4!N25+hivatal4!Q25+'hivatal5 '!E25+'hivatal5 '!H25+'hivatal5 '!K25+'hivatal5 '!N25+'hivatal5 '!Q25+hivatal6!E25+hivatal6!H25+hivatal6!K25+hivatal6!N25+hivatal6!Q25+hivatal7!H25+E25</f>
        <v>543442</v>
      </c>
      <c r="L25" s="307"/>
      <c r="M25" s="305"/>
      <c r="N25" s="349">
        <f t="shared" si="8"/>
        <v>0</v>
      </c>
      <c r="O25" s="310"/>
      <c r="P25" s="305"/>
      <c r="Q25" s="349"/>
      <c r="R25" s="892">
        <f t="shared" si="9"/>
        <v>0</v>
      </c>
      <c r="S25" s="332"/>
      <c r="T25" s="332"/>
    </row>
    <row r="26" spans="1:18" ht="15">
      <c r="A26" s="163" t="s">
        <v>98</v>
      </c>
      <c r="B26" s="156" t="s">
        <v>560</v>
      </c>
      <c r="C26" s="224"/>
      <c r="D26" s="224"/>
      <c r="E26" s="380">
        <f t="shared" si="6"/>
        <v>0</v>
      </c>
      <c r="F26" s="224"/>
      <c r="G26" s="224"/>
      <c r="H26" s="380">
        <f t="shared" si="7"/>
        <v>0</v>
      </c>
      <c r="I26" s="226">
        <f>hivatal1!C26+hivatal1!F26+hivatal1!I26+hivatal1!L26+hivatal1!O26+hivatal2!C26+hivatal2!F26+hivatal2!I26+hivatal2!L26+hivatal2!O26+hivatal3!C26+hivatal3!F26+hivatal3!I26+hivatal3!L26+hivatal3!O26+hivatal4!C26+hivatal4!F26+hivatal4!I26+hivatal4!L26+hivatal4!O26+'hivatal5 '!C26+'hivatal5 '!F26+'hivatal5 '!I26+'hivatal5 '!L26+'hivatal5 '!O26+hivatal6!C26+hivatal6!F26+hivatal6!I26+hivatal6!L26+hivatal6!O26+hivatal7!F26+C26</f>
        <v>0</v>
      </c>
      <c r="J26" s="224">
        <f>hivatal1!D26+hivatal1!G26+hivatal1!J26+hivatal1!M26+hivatal1!P26+hivatal2!D26+hivatal2!G26+hivatal2!J26+hivatal2!M26+hivatal2!P26+hivatal3!D26+hivatal3!G26+hivatal3!J26+hivatal3!M26+hivatal3!P26+hivatal4!D26+hivatal4!G26+hivatal4!J26+hivatal4!M26+hivatal4!P26+'hivatal5 '!D26+'hivatal5 '!G26+'hivatal5 '!J26+'hivatal5 '!M26+'hivatal5 '!P26+hivatal6!D26+hivatal6!G26+hivatal6!J26+hivatal6!M26+hivatal6!P26+hivatal7!G26+D26</f>
        <v>0</v>
      </c>
      <c r="K26" s="227">
        <f>hivatal1!E26+hivatal1!H26+hivatal1!K26+hivatal1!N26+hivatal1!Q26+hivatal2!E26+hivatal2!H26+hivatal2!K26+hivatal2!N26+hivatal2!Q26+hivatal3!E26+hivatal3!H26+hivatal3!K26+hivatal3!N26+hivatal3!Q26+hivatal4!E26+hivatal4!H26+hivatal4!K26+hivatal4!N26+hivatal4!Q26+'hivatal5 '!E26+'hivatal5 '!H26+'hivatal5 '!K26+'hivatal5 '!N26+'hivatal5 '!Q26+hivatal6!E26+hivatal6!H26+hivatal6!K26+hivatal6!N26+hivatal6!Q26+hivatal7!H26+E26</f>
        <v>0</v>
      </c>
      <c r="L26" s="238"/>
      <c r="M26" s="224"/>
      <c r="N26" s="380">
        <f t="shared" si="8"/>
        <v>0</v>
      </c>
      <c r="O26" s="226"/>
      <c r="P26" s="224"/>
      <c r="Q26" s="380"/>
      <c r="R26" s="892">
        <f t="shared" si="9"/>
        <v>0</v>
      </c>
    </row>
    <row r="27" spans="1:18" ht="15">
      <c r="A27" s="163" t="s">
        <v>99</v>
      </c>
      <c r="B27" s="156" t="s">
        <v>558</v>
      </c>
      <c r="C27" s="224"/>
      <c r="D27" s="224"/>
      <c r="E27" s="380">
        <f t="shared" si="6"/>
        <v>0</v>
      </c>
      <c r="F27" s="224"/>
      <c r="G27" s="224"/>
      <c r="H27" s="380">
        <f t="shared" si="7"/>
        <v>0</v>
      </c>
      <c r="I27" s="226">
        <f>hivatal1!C27+hivatal1!F27+hivatal1!I27+hivatal1!L27+hivatal1!O27+hivatal2!C27+hivatal2!F27+hivatal2!I27+hivatal2!L27+hivatal2!O27+hivatal3!C27+hivatal3!F27+hivatal3!I27+hivatal3!L27+hivatal3!O27+hivatal4!C27+hivatal4!F27+hivatal4!I27+hivatal4!L27+hivatal4!O27+'hivatal5 '!C27+'hivatal5 '!F27+'hivatal5 '!I27+'hivatal5 '!L27+'hivatal5 '!O27+hivatal6!C27+hivatal6!F27+hivatal6!I27+hivatal6!L27+hivatal6!O27+hivatal7!F27+C27</f>
        <v>0</v>
      </c>
      <c r="J27" s="224">
        <f>hivatal1!D27+hivatal1!G27+hivatal1!J27+hivatal1!M27+hivatal1!P27+hivatal2!D27+hivatal2!G27+hivatal2!J27+hivatal2!M27+hivatal2!P27+hivatal3!D27+hivatal3!G27+hivatal3!J27+hivatal3!M27+hivatal3!P27+hivatal4!D27+hivatal4!G27+hivatal4!J27+hivatal4!M27+hivatal4!P27+'hivatal5 '!D27+'hivatal5 '!G27+'hivatal5 '!J27+'hivatal5 '!M27+'hivatal5 '!P27+hivatal6!D27+hivatal6!G27+hivatal6!J27+hivatal6!M27+hivatal6!P27+hivatal7!G27+D27</f>
        <v>0</v>
      </c>
      <c r="K27" s="227">
        <f>hivatal1!E27+hivatal1!H27+hivatal1!K27+hivatal1!N27+hivatal1!Q27+hivatal2!E27+hivatal2!H27+hivatal2!K27+hivatal2!N27+hivatal2!Q27+hivatal3!E27+hivatal3!H27+hivatal3!K27+hivatal3!N27+hivatal3!Q27+hivatal4!E27+hivatal4!H27+hivatal4!K27+hivatal4!N27+hivatal4!Q27+'hivatal5 '!E27+'hivatal5 '!H27+'hivatal5 '!K27+'hivatal5 '!N27+'hivatal5 '!Q27+hivatal6!E27+hivatal6!H27+hivatal6!K27+hivatal6!N27+hivatal6!Q27+hivatal7!H27+E27</f>
        <v>0</v>
      </c>
      <c r="L27" s="238"/>
      <c r="M27" s="224"/>
      <c r="N27" s="380">
        <f t="shared" si="8"/>
        <v>0</v>
      </c>
      <c r="O27" s="226"/>
      <c r="P27" s="224"/>
      <c r="Q27" s="380"/>
      <c r="R27" s="892">
        <f t="shared" si="9"/>
        <v>0</v>
      </c>
    </row>
    <row r="28" spans="1:18" ht="15">
      <c r="A28" s="163" t="s">
        <v>100</v>
      </c>
      <c r="B28" s="156" t="s">
        <v>374</v>
      </c>
      <c r="C28" s="224"/>
      <c r="D28" s="224"/>
      <c r="E28" s="380">
        <f t="shared" si="6"/>
        <v>0</v>
      </c>
      <c r="F28" s="224"/>
      <c r="G28" s="224"/>
      <c r="H28" s="380">
        <f t="shared" si="7"/>
        <v>0</v>
      </c>
      <c r="I28" s="226">
        <f>hivatal1!C28+hivatal1!F28+hivatal1!I28+hivatal1!L28+hivatal1!O28+hivatal2!C28+hivatal2!F28+hivatal2!I28+hivatal2!L28+hivatal2!O28+hivatal3!C28+hivatal3!F28+hivatal3!I28+hivatal3!L28+hivatal3!O28+hivatal4!C28+hivatal4!F28+hivatal4!I28+hivatal4!L28+hivatal4!O28+'hivatal5 '!C28+'hivatal5 '!F28+'hivatal5 '!I28+'hivatal5 '!L28+'hivatal5 '!O28+hivatal6!C28+hivatal6!F28+hivatal6!I28+hivatal6!L28+hivatal6!O28+hivatal7!F28+C28</f>
        <v>0</v>
      </c>
      <c r="J28" s="224">
        <f>hivatal1!D28+hivatal1!G28+hivatal1!J28+hivatal1!M28+hivatal1!P28+hivatal2!D28+hivatal2!G28+hivatal2!J28+hivatal2!M28+hivatal2!P28+hivatal3!D28+hivatal3!G28+hivatal3!J28+hivatal3!M28+hivatal3!P28+hivatal4!D28+hivatal4!G28+hivatal4!J28+hivatal4!M28+hivatal4!P28+'hivatal5 '!D28+'hivatal5 '!G28+'hivatal5 '!J28+'hivatal5 '!M28+'hivatal5 '!P28+hivatal6!D28+hivatal6!G28+hivatal6!J28+hivatal6!M28+hivatal6!P28+hivatal7!G28+D28</f>
        <v>1165</v>
      </c>
      <c r="K28" s="227">
        <f>hivatal1!E28+hivatal1!H28+hivatal1!K28+hivatal1!N28+hivatal1!Q28+hivatal2!E28+hivatal2!H28+hivatal2!K28+hivatal2!N28+hivatal2!Q28+hivatal3!E28+hivatal3!H28+hivatal3!K28+hivatal3!N28+hivatal3!Q28+hivatal4!E28+hivatal4!H28+hivatal4!K28+hivatal4!N28+hivatal4!Q28+'hivatal5 '!E28+'hivatal5 '!H28+'hivatal5 '!K28+'hivatal5 '!N28+'hivatal5 '!Q28+hivatal6!E28+hivatal6!H28+hivatal6!K28+hivatal6!N28+hivatal6!Q28+hivatal7!H28+E28</f>
        <v>1165</v>
      </c>
      <c r="L28" s="238"/>
      <c r="M28" s="224"/>
      <c r="N28" s="380">
        <f t="shared" si="8"/>
        <v>0</v>
      </c>
      <c r="O28" s="1070"/>
      <c r="P28" s="146"/>
      <c r="Q28" s="227"/>
      <c r="R28" s="892">
        <f t="shared" si="9"/>
        <v>0</v>
      </c>
    </row>
    <row r="29" spans="1:18" ht="15">
      <c r="A29" s="163" t="s">
        <v>101</v>
      </c>
      <c r="B29" s="156" t="s">
        <v>559</v>
      </c>
      <c r="C29" s="297"/>
      <c r="D29" s="146"/>
      <c r="E29" s="227">
        <f t="shared" si="6"/>
        <v>0</v>
      </c>
      <c r="F29" s="297"/>
      <c r="G29" s="146"/>
      <c r="H29" s="227">
        <f t="shared" si="7"/>
        <v>0</v>
      </c>
      <c r="I29" s="1070">
        <f>hivatal1!C29+hivatal1!F29+hivatal1!I29+hivatal1!L29+hivatal1!O29+hivatal2!C29+hivatal2!F29+hivatal2!I29+hivatal2!L29+hivatal2!O29+hivatal3!C29+hivatal3!F29+hivatal3!I29+hivatal3!L29+hivatal3!O29+hivatal4!C29+hivatal4!F29+hivatal4!I29+hivatal4!L29+hivatal4!O29+'hivatal5 '!C29+'hivatal5 '!F29+'hivatal5 '!I29+'hivatal5 '!L29+'hivatal5 '!O29+hivatal6!C29+hivatal6!F29+hivatal6!I29+hivatal6!L29+hivatal6!O29+hivatal7!F29+C29</f>
        <v>11637</v>
      </c>
      <c r="J29" s="146">
        <f>hivatal1!D29+hivatal1!G29+hivatal1!J29+hivatal1!M29+hivatal1!P29+hivatal2!D29+hivatal2!G29+hivatal2!J29+hivatal2!M29+hivatal2!P29+hivatal3!D29+hivatal3!G29+hivatal3!J29+hivatal3!M29+hivatal3!P29+hivatal4!D29+hivatal4!G29+hivatal4!J29+hivatal4!M29+hivatal4!P29+'hivatal5 '!D29+'hivatal5 '!G29+'hivatal5 '!J29+'hivatal5 '!M29+'hivatal5 '!P29+hivatal6!D29+hivatal6!G29+hivatal6!J29+hivatal6!M29+hivatal6!P29+hivatal7!G29+D29</f>
        <v>1222</v>
      </c>
      <c r="K29" s="227">
        <f>hivatal1!E29+hivatal1!H29+hivatal1!K29+hivatal1!N29+hivatal1!Q29+hivatal2!E29+hivatal2!H29+hivatal2!K29+hivatal2!N29+hivatal2!Q29+hivatal3!E29+hivatal3!H29+hivatal3!K29+hivatal3!N29+hivatal3!Q29+hivatal4!E29+hivatal4!H29+hivatal4!K29+hivatal4!N29+hivatal4!Q29+'hivatal5 '!E29+'hivatal5 '!H29+'hivatal5 '!K29+'hivatal5 '!N29+'hivatal5 '!Q29+hivatal6!E29+hivatal6!H29+hivatal6!K29+hivatal6!N29+hivatal6!Q29+hivatal7!H29+E29</f>
        <v>12859</v>
      </c>
      <c r="L29" s="862"/>
      <c r="M29" s="146"/>
      <c r="N29" s="227">
        <f t="shared" si="8"/>
        <v>0</v>
      </c>
      <c r="O29" s="1070"/>
      <c r="P29" s="224"/>
      <c r="Q29" s="227"/>
      <c r="R29" s="892">
        <f t="shared" si="9"/>
        <v>0</v>
      </c>
    </row>
    <row r="30" spans="1:18" ht="15.75" thickBot="1">
      <c r="A30" s="326" t="s">
        <v>192</v>
      </c>
      <c r="B30" s="156" t="s">
        <v>375</v>
      </c>
      <c r="C30" s="320"/>
      <c r="D30" s="312"/>
      <c r="E30" s="227">
        <f t="shared" si="6"/>
        <v>0</v>
      </c>
      <c r="F30" s="320"/>
      <c r="G30" s="312"/>
      <c r="H30" s="227">
        <f t="shared" si="7"/>
        <v>0</v>
      </c>
      <c r="I30" s="1071">
        <f>hivatal1!C30+hivatal1!F30+hivatal1!I30+hivatal1!L30+hivatal1!O30+hivatal2!C30+hivatal2!F30+hivatal2!I30+hivatal2!L30+hivatal2!O30+hivatal3!C30+hivatal3!F30+hivatal3!I30+hivatal3!L30+hivatal3!O30+hivatal4!C30+hivatal4!F30+hivatal4!I30+hivatal4!L30+hivatal4!O30+'hivatal5 '!C30+'hivatal5 '!F30+'hivatal5 '!I30+'hivatal5 '!L30+'hivatal5 '!O30+hivatal6!C30+hivatal6!F30+hivatal6!I30+hivatal6!L30+hivatal6!O30+hivatal7!F30+C30</f>
        <v>88079</v>
      </c>
      <c r="J30" s="312">
        <f>hivatal1!D30+hivatal1!G30+hivatal1!J30+hivatal1!M30+hivatal1!P30+hivatal2!D30+hivatal2!G30+hivatal2!J30+hivatal2!M30+hivatal2!P30+hivatal3!D30+hivatal3!G30+hivatal3!J30+hivatal3!M30+hivatal3!P30+hivatal4!D30+hivatal4!G30+hivatal4!J30+hivatal4!M30+hivatal4!P30+'hivatal5 '!D30+'hivatal5 '!G30+'hivatal5 '!J30+'hivatal5 '!M30+'hivatal5 '!P30+hivatal6!D30+hivatal6!G30+hivatal6!J30+hivatal6!M30+hivatal6!P30+hivatal7!G30+D30</f>
        <v>-2185</v>
      </c>
      <c r="K30" s="315">
        <f>hivatal1!E30+hivatal1!H30+hivatal1!K30+hivatal1!N30+hivatal1!Q30+hivatal2!E30+hivatal2!H30+hivatal2!K30+hivatal2!N30+hivatal2!Q30+hivatal3!E30+hivatal3!H30+hivatal3!K30+hivatal3!N30+hivatal3!Q30+hivatal4!E30+hivatal4!H30+hivatal4!K30+hivatal4!N30+hivatal4!Q30+'hivatal5 '!E30+'hivatal5 '!H30+'hivatal5 '!K30+'hivatal5 '!N30+'hivatal5 '!Q30+hivatal6!E30+hivatal6!H30+hivatal6!K30+hivatal6!N30+hivatal6!Q30+hivatal7!H30+E30</f>
        <v>85894</v>
      </c>
      <c r="L30" s="164"/>
      <c r="M30" s="312"/>
      <c r="N30" s="315">
        <f t="shared" si="8"/>
        <v>0</v>
      </c>
      <c r="O30" s="1071"/>
      <c r="P30" s="312"/>
      <c r="Q30" s="315"/>
      <c r="R30" s="892">
        <f t="shared" si="9"/>
        <v>0</v>
      </c>
    </row>
    <row r="31" spans="1:20" s="15" customFormat="1" ht="16.5" thickBot="1">
      <c r="A31" s="304">
        <v>8</v>
      </c>
      <c r="B31" s="296" t="s">
        <v>173</v>
      </c>
      <c r="C31" s="309">
        <f>SUM(C26:C30)</f>
        <v>0</v>
      </c>
      <c r="D31" s="305">
        <f>SUM(D27:D30)</f>
        <v>0</v>
      </c>
      <c r="E31" s="307">
        <f>SUM(E27:E30)</f>
        <v>0</v>
      </c>
      <c r="F31" s="309">
        <f>SUM(F26:F30)</f>
        <v>0</v>
      </c>
      <c r="G31" s="305">
        <f>SUM(G27:G30)</f>
        <v>0</v>
      </c>
      <c r="H31" s="307">
        <f>SUM(H27:H30)</f>
        <v>0</v>
      </c>
      <c r="I31" s="1090">
        <f>hivatal1!C31+hivatal1!F31+hivatal1!I31+hivatal1!L31+hivatal1!O31+hivatal2!C31+hivatal2!F31+hivatal2!I31+hivatal2!L31+hivatal2!O31+hivatal3!C31+hivatal3!F31+hivatal3!I31+hivatal3!L31+hivatal3!O31+hivatal4!C31+hivatal4!F31+hivatal4!I31+hivatal4!L31+hivatal4!O31+'hivatal5 '!C31+'hivatal5 '!F31+'hivatal5 '!I31+'hivatal5 '!L31+'hivatal5 '!O31+hivatal6!C31+hivatal6!F31+hivatal6!I31+hivatal6!L31+hivatal6!O31+hivatal7!F31</f>
        <v>99716</v>
      </c>
      <c r="J31" s="285">
        <f>hivatal1!D31+hivatal1!G31+hivatal1!J31+hivatal1!M31+hivatal1!P31+hivatal2!D31+hivatal2!G31+hivatal2!J31+hivatal2!M31+hivatal2!P31+hivatal3!D31+hivatal3!G31+hivatal3!J31+hivatal3!M31+hivatal3!P31+hivatal4!D31+hivatal4!G31+hivatal4!J31+hivatal4!M31+hivatal4!P31+'hivatal5 '!D31+'hivatal5 '!G31+'hivatal5 '!J31+'hivatal5 '!M31+'hivatal5 '!P31+hivatal6!D31+hivatal6!G31+hivatal6!J31+hivatal6!M31+hivatal6!P31+hivatal7!G31</f>
        <v>202</v>
      </c>
      <c r="K31" s="283">
        <f>I31+J31</f>
        <v>99918</v>
      </c>
      <c r="L31" s="321"/>
      <c r="M31" s="305"/>
      <c r="N31" s="311">
        <f t="shared" si="8"/>
        <v>0</v>
      </c>
      <c r="O31" s="338"/>
      <c r="P31" s="305"/>
      <c r="Q31" s="311"/>
      <c r="R31" s="892">
        <f t="shared" si="9"/>
        <v>0</v>
      </c>
      <c r="S31" s="332"/>
      <c r="T31" s="332"/>
    </row>
    <row r="32" spans="1:20" ht="16.5" thickBot="1">
      <c r="A32" s="304">
        <v>9</v>
      </c>
      <c r="B32" s="296" t="s">
        <v>179</v>
      </c>
      <c r="C32" s="309"/>
      <c r="D32" s="305"/>
      <c r="E32" s="311">
        <f>SUM(C32:D32)</f>
        <v>0</v>
      </c>
      <c r="F32" s="309"/>
      <c r="G32" s="305"/>
      <c r="H32" s="311">
        <f>SUM(F32:G32)</f>
        <v>0</v>
      </c>
      <c r="I32" s="1090">
        <f>hivatal1!C32+hivatal1!F32+hivatal1!I32+hivatal1!L32+hivatal1!O32+hivatal2!C32+hivatal2!F32+hivatal2!I32+hivatal2!L32+hivatal2!O32+hivatal3!C32+hivatal3!F32+hivatal3!I32+hivatal3!L32+hivatal3!O32+hivatal4!C32+hivatal4!F32+hivatal4!I32+hivatal4!L32+hivatal4!O32+'hivatal5 '!C32+'hivatal5 '!F32+'hivatal5 '!I32+'hivatal5 '!L32+'hivatal5 '!O32+hivatal6!C32+hivatal6!F32+hivatal6!I32+hivatal6!L32+hivatal6!O32+hivatal7!F32+C32</f>
        <v>72111</v>
      </c>
      <c r="J32" s="285">
        <f>hivatal1!D32+hivatal1!G32+hivatal1!J32+hivatal1!M32+hivatal1!P32+hivatal2!D32+hivatal2!G32+hivatal2!J32+hivatal2!M32+hivatal2!P32+hivatal3!D32+hivatal3!G32+hivatal3!J32+hivatal3!M32+hivatal3!P32+hivatal4!D32+hivatal4!G32+hivatal4!J32+hivatal4!M32+hivatal4!P32+'hivatal5 '!D32+'hivatal5 '!G32+'hivatal5 '!J32+'hivatal5 '!M32+'hivatal5 '!P32+hivatal6!D32+hivatal6!G32+hivatal6!J32+hivatal6!M32+hivatal6!P32+hivatal7!G32+D32</f>
        <v>0</v>
      </c>
      <c r="K32" s="283">
        <f>hivatal1!E32+hivatal1!H32+hivatal1!K32+hivatal1!N32+hivatal1!Q32+hivatal2!E32+hivatal2!H32+hivatal2!K32+hivatal2!N32+hivatal2!Q32+hivatal3!E32+hivatal3!H32+hivatal3!K32+hivatal3!N32+hivatal3!Q32+hivatal4!E32+hivatal4!H32+hivatal4!K32+hivatal4!N32+hivatal4!Q32+'hivatal5 '!E32+'hivatal5 '!H32+'hivatal5 '!K32+'hivatal5 '!N32+'hivatal5 '!Q32+hivatal6!E32+hivatal6!H32+hivatal6!K32+hivatal6!N32+hivatal6!Q32+hivatal7!H32+E32</f>
        <v>72111</v>
      </c>
      <c r="L32" s="321"/>
      <c r="M32" s="305"/>
      <c r="N32" s="311">
        <f t="shared" si="8"/>
        <v>0</v>
      </c>
      <c r="O32" s="338"/>
      <c r="P32" s="305"/>
      <c r="Q32" s="311"/>
      <c r="R32" s="892">
        <f t="shared" si="9"/>
        <v>0</v>
      </c>
      <c r="S32" s="332"/>
      <c r="T32" s="332"/>
    </row>
    <row r="33" spans="1:20" s="34" customFormat="1" ht="16.5" thickBot="1">
      <c r="A33" s="358">
        <v>10</v>
      </c>
      <c r="B33" s="359"/>
      <c r="C33" s="909"/>
      <c r="D33" s="360"/>
      <c r="E33" s="1102">
        <f>SUM(C33:D33)</f>
        <v>0</v>
      </c>
      <c r="F33" s="909"/>
      <c r="G33" s="360"/>
      <c r="H33" s="1102">
        <f>SUM(F33:G33)</f>
        <v>0</v>
      </c>
      <c r="I33" s="1092">
        <f>hivatal1!C33+hivatal1!F33+hivatal1!I33+hivatal1!L33+hivatal1!O33+hivatal2!C33+hivatal2!F33+hivatal2!I33+hivatal2!L33+hivatal2!O33+hivatal3!C33+hivatal3!F33+hivatal3!I33+hivatal3!L33+hivatal3!O33+hivatal4!C33+hivatal4!F33+hivatal4!I33+hivatal4!L33+hivatal4!O33+'hivatal5 '!C33+'hivatal5 '!F33+'hivatal5 '!I33+'hivatal5 '!L33+'hivatal5 '!O33+hivatal6!C33+hivatal6!F33+hivatal6!I33+hivatal6!L33+hivatal6!O33+hivatal7!F33+C33</f>
        <v>0</v>
      </c>
      <c r="J33" s="361">
        <f>hivatal1!D33+hivatal1!G33+hivatal1!J33+hivatal1!M33+hivatal1!P33+hivatal2!D33+hivatal2!G33+hivatal2!J33+hivatal2!M33+hivatal2!P33+hivatal3!D33+hivatal3!G33+hivatal3!J33+hivatal3!M33+hivatal3!P33+hivatal4!D33+hivatal4!G33+hivatal4!J33+hivatal4!M33+hivatal4!P33+'hivatal5 '!D33+'hivatal5 '!G33+'hivatal5 '!J33+'hivatal5 '!M33+'hivatal5 '!P33+hivatal6!D33+hivatal6!G33+hivatal6!J33+hivatal6!M33+hivatal6!P33+hivatal7!G33+D33</f>
        <v>0</v>
      </c>
      <c r="K33" s="362">
        <f>hivatal1!E33+hivatal1!H33+hivatal1!K33+hivatal1!N33+hivatal1!Q33+hivatal2!E33+hivatal2!H33+hivatal2!K33+hivatal2!N33+hivatal2!Q33+hivatal3!E33+hivatal3!H33+hivatal3!K33+hivatal3!N33+hivatal3!Q33+hivatal4!E33+hivatal4!H33+hivatal4!K33+hivatal4!N33+hivatal4!Q33+'hivatal5 '!E33+'hivatal5 '!H33+'hivatal5 '!K33+'hivatal5 '!N33+'hivatal5 '!Q33+hivatal6!E33+hivatal6!H33+hivatal6!K33+hivatal6!N33+hivatal6!Q33+hivatal7!H33+E33</f>
        <v>0</v>
      </c>
      <c r="L33" s="288"/>
      <c r="M33" s="360"/>
      <c r="N33" s="1102">
        <f t="shared" si="8"/>
        <v>0</v>
      </c>
      <c r="O33" s="1086"/>
      <c r="P33" s="366"/>
      <c r="Q33" s="367"/>
      <c r="R33" s="892">
        <f t="shared" si="9"/>
        <v>0</v>
      </c>
      <c r="S33" s="419"/>
      <c r="T33" s="419"/>
    </row>
    <row r="34" spans="1:20" s="37" customFormat="1" ht="17.25" thickBot="1" thickTop="1">
      <c r="A34" s="334" t="s">
        <v>108</v>
      </c>
      <c r="B34" s="357" t="s">
        <v>180</v>
      </c>
      <c r="C34" s="356">
        <f>C11+C12+C13+C23+C14+C31+C25+C24+C32+C33</f>
        <v>107001</v>
      </c>
      <c r="D34" s="335">
        <f>D11+D12+D13+D23+D14+D31+D25+D24+D32+D33</f>
        <v>4175</v>
      </c>
      <c r="E34" s="747">
        <f>E11+E12+E13+E23+E14+E31+E25+E24+E32+E33</f>
        <v>111176</v>
      </c>
      <c r="F34" s="356">
        <f aca="true" t="shared" si="10" ref="F34:Q34">F11+F12+F13+F23+F14+F31+F25+F24+F32+F33</f>
        <v>1905401</v>
      </c>
      <c r="G34" s="335">
        <f t="shared" si="10"/>
        <v>-236309</v>
      </c>
      <c r="H34" s="747">
        <f t="shared" si="10"/>
        <v>1669092</v>
      </c>
      <c r="I34" s="356">
        <f t="shared" si="10"/>
        <v>9735830</v>
      </c>
      <c r="J34" s="335">
        <f t="shared" si="10"/>
        <v>709331</v>
      </c>
      <c r="K34" s="747">
        <f t="shared" si="10"/>
        <v>10445161</v>
      </c>
      <c r="L34" s="356">
        <f t="shared" si="10"/>
        <v>0</v>
      </c>
      <c r="M34" s="335">
        <f t="shared" si="10"/>
        <v>0</v>
      </c>
      <c r="N34" s="747">
        <f t="shared" si="10"/>
        <v>0</v>
      </c>
      <c r="O34" s="356">
        <f t="shared" si="10"/>
        <v>0</v>
      </c>
      <c r="P34" s="335">
        <f t="shared" si="10"/>
        <v>0</v>
      </c>
      <c r="Q34" s="365">
        <f t="shared" si="10"/>
        <v>0</v>
      </c>
      <c r="R34" s="892">
        <f t="shared" si="9"/>
        <v>0</v>
      </c>
      <c r="S34" s="423"/>
      <c r="T34" s="423"/>
    </row>
    <row r="35" spans="1:17" ht="17.25" thickBot="1" thickTop="1">
      <c r="A35" s="151"/>
      <c r="B35" s="337" t="s">
        <v>131</v>
      </c>
      <c r="C35" s="1072"/>
      <c r="D35" s="293"/>
      <c r="E35" s="1103"/>
      <c r="F35" s="1072"/>
      <c r="G35" s="293"/>
      <c r="H35" s="1103"/>
      <c r="I35" s="1087"/>
      <c r="J35" s="364"/>
      <c r="K35" s="895"/>
      <c r="L35" s="863"/>
      <c r="M35" s="293"/>
      <c r="N35" s="1103"/>
      <c r="O35" s="1087"/>
      <c r="P35" s="364"/>
      <c r="Q35" s="895"/>
    </row>
    <row r="36" spans="1:20" s="731" customFormat="1" ht="15">
      <c r="A36" s="738" t="s">
        <v>98</v>
      </c>
      <c r="B36" s="739" t="s">
        <v>376</v>
      </c>
      <c r="C36" s="1080"/>
      <c r="D36" s="740"/>
      <c r="E36" s="745"/>
      <c r="F36" s="1080"/>
      <c r="G36" s="740"/>
      <c r="H36" s="745"/>
      <c r="I36" s="1080">
        <f>hivatal1!C36+hivatal1!F36+hivatal1!I36+hivatal1!L36+hivatal1!O36+hivatal2!C36+hivatal2!F36+hivatal2!I36+hivatal2!L36+hivatal2!O36+hivatal3!C36+hivatal3!F36+hivatal3!I36+hivatal3!L36+hivatal3!O36+hivatal4!C36+hivatal4!F36+hivatal4!I36+hivatal4!L36+hivatal4!O36+'hivatal5 '!C36+'hivatal5 '!F36+'hivatal5 '!I36+'hivatal5 '!L36+'hivatal5 '!O36+hivatal6!C36+hivatal6!F36+hivatal6!I36+hivatal6!L36+hivatal6!O36+hivatal7!F36+C36</f>
        <v>0</v>
      </c>
      <c r="J36" s="740">
        <f>hivatal1!D36+hivatal1!G36+hivatal1!J36+hivatal1!M36+hivatal1!P36+hivatal2!D36+hivatal2!G36+hivatal2!J36+hivatal2!M36+hivatal2!P36+hivatal3!D36+hivatal3!G36+hivatal3!J36+hivatal3!M36+hivatal3!P36+hivatal4!D36+hivatal4!G36+hivatal4!J36+hivatal4!M36+hivatal4!P36+'hivatal5 '!D36+'hivatal5 '!G36+'hivatal5 '!J36+'hivatal5 '!M36+'hivatal5 '!P36+hivatal6!D36+hivatal6!G36+hivatal6!J36+hivatal6!M36+hivatal6!P36+hivatal7!G36+D36</f>
        <v>0</v>
      </c>
      <c r="K36" s="745">
        <f>hivatal1!E36+hivatal1!H36+hivatal1!K36+hivatal1!N36+hivatal1!Q36+hivatal2!E36+hivatal2!H36+hivatal2!K36+hivatal2!N36+hivatal2!Q36+hivatal3!E36+hivatal3!H36+hivatal3!K36+hivatal3!N36+hivatal3!Q36+hivatal4!E36+hivatal4!H36+hivatal4!K36+hivatal4!N36+hivatal4!Q36+'hivatal5 '!E36+'hivatal5 '!H36+'hivatal5 '!K36+'hivatal5 '!N36+'hivatal5 '!Q36+hivatal6!E36+hivatal6!H36+hivatal6!K36+hivatal6!N36+hivatal6!Q36+hivatal7!H36+E36</f>
        <v>0</v>
      </c>
      <c r="L36" s="744">
        <v>1871622</v>
      </c>
      <c r="M36" s="740">
        <v>107955</v>
      </c>
      <c r="N36" s="745">
        <f>SUM(L36:M36)</f>
        <v>1979577</v>
      </c>
      <c r="O36" s="1080"/>
      <c r="P36" s="740"/>
      <c r="Q36" s="745"/>
      <c r="R36" s="896">
        <f>SUM(O36:P36)</f>
        <v>0</v>
      </c>
      <c r="S36" s="732"/>
      <c r="T36" s="732"/>
    </row>
    <row r="37" spans="1:20" s="731" customFormat="1" ht="15">
      <c r="A37" s="160" t="s">
        <v>99</v>
      </c>
      <c r="B37" s="156" t="s">
        <v>235</v>
      </c>
      <c r="C37" s="881"/>
      <c r="D37" s="146"/>
      <c r="E37" s="169"/>
      <c r="F37" s="881"/>
      <c r="G37" s="146"/>
      <c r="H37" s="169"/>
      <c r="I37" s="881">
        <f>hivatal1!C37+hivatal1!F37+hivatal1!I37+hivatal1!L37+hivatal1!O37+hivatal2!C37+hivatal2!F37+hivatal2!I37+hivatal2!L37+hivatal2!O37+hivatal3!C37+hivatal3!F37+hivatal3!I37+hivatal3!L37+hivatal3!O37+hivatal4!C37+hivatal4!F37+hivatal4!I37+hivatal4!L37+hivatal4!O37+'hivatal5 '!C37+'hivatal5 '!F37+'hivatal5 '!I37+'hivatal5 '!L37+'hivatal5 '!O37+hivatal6!C37+hivatal6!F37+hivatal6!I37+hivatal6!L37+hivatal6!O37+hivatal7!F37+C37</f>
        <v>20693</v>
      </c>
      <c r="J37" s="146">
        <f>hivatal1!D37+hivatal1!G37+hivatal1!J37+hivatal1!M37+hivatal1!P37+hivatal2!D37+hivatal2!G37+hivatal2!J37+hivatal2!M37+hivatal2!P37+hivatal3!D37+hivatal3!G37+hivatal3!J37+hivatal3!M37+hivatal3!P37+hivatal4!D37+hivatal4!G37+hivatal4!J37+hivatal4!M37+hivatal4!P37+'hivatal5 '!D37+'hivatal5 '!G37+'hivatal5 '!J37+'hivatal5 '!M37+'hivatal5 '!P37+hivatal6!D37+hivatal6!G37+hivatal6!J37+hivatal6!M37+hivatal6!P37+hivatal7!G37+D37</f>
        <v>0</v>
      </c>
      <c r="K37" s="169">
        <f>hivatal1!E37+hivatal1!H37+hivatal1!K37+hivatal1!N37+hivatal1!Q37+hivatal2!E37+hivatal2!H37+hivatal2!K37+hivatal2!N37+hivatal2!Q37+hivatal3!E37+hivatal3!H37+hivatal3!K37+hivatal3!N37+hivatal3!Q37+hivatal4!E37+hivatal4!H37+hivatal4!K37+hivatal4!N37+hivatal4!Q37+'hivatal5 '!E37+'hivatal5 '!H37+'hivatal5 '!K37+'hivatal5 '!N37+'hivatal5 '!Q37+hivatal6!E37+hivatal6!H37+hivatal6!K37+hivatal6!N37+hivatal6!Q37+hivatal7!H37+E37</f>
        <v>20693</v>
      </c>
      <c r="L37" s="860"/>
      <c r="M37" s="146"/>
      <c r="N37" s="169">
        <f>SUM(L37:M37)</f>
        <v>0</v>
      </c>
      <c r="O37" s="881"/>
      <c r="P37" s="146"/>
      <c r="Q37" s="169"/>
      <c r="R37" s="897">
        <f>SUM(O37:P37)</f>
        <v>0</v>
      </c>
      <c r="S37" s="898"/>
      <c r="T37" s="746"/>
    </row>
    <row r="38" spans="1:20" s="731" customFormat="1" ht="15">
      <c r="A38" s="326" t="s">
        <v>100</v>
      </c>
      <c r="B38" s="149" t="s">
        <v>377</v>
      </c>
      <c r="C38" s="1071"/>
      <c r="D38" s="312"/>
      <c r="E38" s="315"/>
      <c r="F38" s="1071"/>
      <c r="G38" s="312"/>
      <c r="H38" s="315"/>
      <c r="I38" s="1071">
        <f>hivatal1!C38+hivatal1!F38+hivatal1!I38+hivatal1!L38+hivatal1!O38+hivatal2!C38+hivatal2!F38+hivatal2!I38+hivatal2!L38+hivatal2!O38+hivatal3!C38+hivatal3!F38+hivatal3!I38+hivatal3!L38+hivatal3!O38+hivatal4!C38+hivatal4!F38+hivatal4!I38+hivatal4!L38+hivatal4!O38+'hivatal5 '!C38+'hivatal5 '!F38+'hivatal5 '!I38+'hivatal5 '!L38+'hivatal5 '!O38+hivatal6!C38+hivatal6!F38+hivatal6!I38+hivatal6!L38+hivatal6!O38+hivatal7!F38+C38</f>
        <v>0</v>
      </c>
      <c r="J38" s="312">
        <f>hivatal1!D38+hivatal1!G38+hivatal1!J38+hivatal1!M38+hivatal1!P38+hivatal2!D38+hivatal2!G38+hivatal2!J38+hivatal2!M38+hivatal2!P38+hivatal3!D38+hivatal3!G38+hivatal3!J38+hivatal3!M38+hivatal3!P38+hivatal4!D38+hivatal4!G38+hivatal4!J38+hivatal4!M38+hivatal4!P38+'hivatal5 '!D38+'hivatal5 '!G38+'hivatal5 '!J38+'hivatal5 '!M38+'hivatal5 '!P38+hivatal6!D38+hivatal6!G38+hivatal6!J38+hivatal6!M38+hivatal6!P38+hivatal7!G38+D38</f>
        <v>0</v>
      </c>
      <c r="K38" s="315">
        <f>hivatal1!E38+hivatal1!H38+hivatal1!K38+hivatal1!N38+hivatal1!Q38+hivatal2!E38+hivatal2!H38+hivatal2!K38+hivatal2!N38+hivatal2!Q38+hivatal3!E38+hivatal3!H38+hivatal3!K38+hivatal3!N38+hivatal3!Q38+hivatal4!E38+hivatal4!H38+hivatal4!K38+hivatal4!N38+hivatal4!Q38+'hivatal5 '!E38+'hivatal5 '!H38+'hivatal5 '!K38+'hivatal5 '!N38+'hivatal5 '!Q38+hivatal6!E38+hivatal6!H38+hivatal6!K38+hivatal6!N38+hivatal6!Q38+hivatal7!H38+E38</f>
        <v>0</v>
      </c>
      <c r="L38" s="164"/>
      <c r="M38" s="312"/>
      <c r="N38" s="315">
        <f aca="true" t="shared" si="11" ref="N38:N44">SUM(L38:M38)</f>
        <v>0</v>
      </c>
      <c r="O38" s="1071"/>
      <c r="P38" s="312"/>
      <c r="Q38" s="315"/>
      <c r="R38" s="729"/>
      <c r="S38" s="729"/>
      <c r="T38" s="729"/>
    </row>
    <row r="39" spans="1:20" s="731" customFormat="1" ht="15.75" thickBot="1">
      <c r="A39" s="161" t="s">
        <v>101</v>
      </c>
      <c r="B39" s="162" t="s">
        <v>381</v>
      </c>
      <c r="C39" s="882"/>
      <c r="D39" s="158"/>
      <c r="E39" s="237"/>
      <c r="F39" s="882"/>
      <c r="G39" s="158"/>
      <c r="H39" s="237"/>
      <c r="I39" s="882">
        <f>hivatal1!C39+hivatal1!F39+hivatal1!I39+hivatal1!L39+hivatal1!O39+hivatal2!C39+hivatal2!F39+hivatal2!I39+hivatal2!L39+hivatal2!O39+hivatal3!C39+hivatal3!F39+hivatal3!I39+hivatal3!L39+hivatal3!O39+hivatal4!C39+hivatal4!F39+hivatal4!I39+hivatal4!L39+hivatal4!O39+'hivatal5 '!C39+'hivatal5 '!F39+'hivatal5 '!I39+'hivatal5 '!L39+'hivatal5 '!O39+hivatal6!C39+hivatal6!F39+hivatal6!I39+hivatal6!L39+hivatal6!O39+hivatal7!F39+C39</f>
        <v>53995</v>
      </c>
      <c r="J39" s="158">
        <f>hivatal1!D39+hivatal1!G39+hivatal1!J39+hivatal1!M39+hivatal1!P39+hivatal2!D39+hivatal2!G39+hivatal2!J39+hivatal2!M39+hivatal2!P39+hivatal3!D39+hivatal3!G39+hivatal3!J39+hivatal3!M39+hivatal3!P39+hivatal4!D39+hivatal4!G39+hivatal4!J39+hivatal4!M39+hivatal4!P39+'hivatal5 '!D39+'hivatal5 '!G39+'hivatal5 '!J39+'hivatal5 '!M39+'hivatal5 '!P39+hivatal6!D39+hivatal6!G39+hivatal6!J39+hivatal6!M39+hivatal6!P39+hivatal7!G39+D39</f>
        <v>74882</v>
      </c>
      <c r="K39" s="237">
        <f>hivatal1!E39+hivatal1!H39+hivatal1!K39+hivatal1!N39+hivatal1!Q39+hivatal2!E39+hivatal2!H39+hivatal2!K39+hivatal2!N39+hivatal2!Q39+hivatal3!E39+hivatal3!H39+hivatal3!K39+hivatal3!N39+hivatal3!Q39+hivatal4!E39+hivatal4!H39+hivatal4!K39+hivatal4!N39+hivatal4!Q39+'hivatal5 '!E39+'hivatal5 '!H39+'hivatal5 '!K39+'hivatal5 '!N39+'hivatal5 '!Q39+hivatal6!E39+hivatal6!H39+hivatal6!K39+hivatal6!N39+hivatal6!Q39+hivatal7!H39+E39</f>
        <v>128877</v>
      </c>
      <c r="L39" s="861">
        <v>185033</v>
      </c>
      <c r="M39" s="158">
        <v>-23932</v>
      </c>
      <c r="N39" s="237">
        <f t="shared" si="11"/>
        <v>161101</v>
      </c>
      <c r="O39" s="882"/>
      <c r="P39" s="158"/>
      <c r="Q39" s="237"/>
      <c r="R39" s="729"/>
      <c r="S39" s="729"/>
      <c r="T39" s="729"/>
    </row>
    <row r="40" spans="1:20" s="15" customFormat="1" ht="16.5" thickBot="1">
      <c r="A40" s="304">
        <v>1</v>
      </c>
      <c r="B40" s="296" t="s">
        <v>177</v>
      </c>
      <c r="C40" s="338">
        <f>SUM(C36:C39)</f>
        <v>0</v>
      </c>
      <c r="D40" s="305">
        <f>SUM(D36:D39)</f>
        <v>0</v>
      </c>
      <c r="E40" s="311">
        <f>SUM(E36:E39)</f>
        <v>0</v>
      </c>
      <c r="F40" s="338">
        <f aca="true" t="shared" si="12" ref="F40:N40">SUM(F36:F39)</f>
        <v>0</v>
      </c>
      <c r="G40" s="305">
        <f t="shared" si="12"/>
        <v>0</v>
      </c>
      <c r="H40" s="311">
        <f t="shared" si="12"/>
        <v>0</v>
      </c>
      <c r="I40" s="338">
        <f t="shared" si="12"/>
        <v>74688</v>
      </c>
      <c r="J40" s="305">
        <f t="shared" si="12"/>
        <v>74882</v>
      </c>
      <c r="K40" s="311">
        <f t="shared" si="12"/>
        <v>149570</v>
      </c>
      <c r="L40" s="338">
        <f t="shared" si="12"/>
        <v>2056655</v>
      </c>
      <c r="M40" s="305">
        <f t="shared" si="12"/>
        <v>84023</v>
      </c>
      <c r="N40" s="311">
        <f t="shared" si="12"/>
        <v>2140678</v>
      </c>
      <c r="O40" s="338"/>
      <c r="P40" s="305"/>
      <c r="Q40" s="311"/>
      <c r="R40" s="208"/>
      <c r="S40" s="208"/>
      <c r="T40" s="208"/>
    </row>
    <row r="41" spans="1:20" ht="15">
      <c r="A41" s="163" t="s">
        <v>98</v>
      </c>
      <c r="B41" s="152" t="s">
        <v>403</v>
      </c>
      <c r="C41" s="1070"/>
      <c r="D41" s="224"/>
      <c r="E41" s="227"/>
      <c r="F41" s="1070"/>
      <c r="G41" s="224"/>
      <c r="H41" s="227"/>
      <c r="I41" s="1070">
        <f>hivatal1!C41+hivatal1!F41+hivatal1!I41+hivatal1!L41+hivatal1!O41+hivatal2!C41+hivatal2!F41+hivatal2!I41+hivatal2!L41+hivatal2!O41+hivatal3!C41+hivatal3!F41+hivatal3!I41+hivatal3!L41+hivatal3!O41+hivatal4!C41+hivatal4!F41+hivatal4!I41+hivatal4!L41+hivatal4!O41+'hivatal5 '!C41+'hivatal5 '!F41+'hivatal5 '!I41+'hivatal5 '!L41+'hivatal5 '!O41+hivatal6!C41+hivatal6!F41+hivatal6!I41+hivatal6!L41+hivatal6!O41+hivatal7!F41+C41</f>
        <v>0</v>
      </c>
      <c r="J41" s="224">
        <f>hivatal1!D41+hivatal1!G41+hivatal1!J41+hivatal1!M41+hivatal1!P41+hivatal2!D41+hivatal2!G41+hivatal2!J41+hivatal2!M41+hivatal2!P41+hivatal3!D41+hivatal3!G41+hivatal3!J41+hivatal3!M41+hivatal3!P41+hivatal4!D41+hivatal4!G41+hivatal4!J41+hivatal4!M41+hivatal4!P41+'hivatal5 '!D41+'hivatal5 '!G41+'hivatal5 '!J41+'hivatal5 '!M41+'hivatal5 '!P41+hivatal6!D41+hivatal6!G41+hivatal6!J41+hivatal6!M41+hivatal6!P41+hivatal7!G41+D41</f>
        <v>0</v>
      </c>
      <c r="K41" s="227">
        <f>hivatal1!E41+hivatal1!H41+hivatal1!K41+hivatal1!N41+hivatal1!Q41+hivatal2!E41+hivatal2!H41+hivatal2!K41+hivatal2!N41+hivatal2!Q41+hivatal3!E41+hivatal3!H41+hivatal3!K41+hivatal3!N41+hivatal3!Q41+hivatal4!E41+hivatal4!H41+hivatal4!K41+hivatal4!N41+hivatal4!Q41+'hivatal5 '!E41+'hivatal5 '!H41+'hivatal5 '!K41+'hivatal5 '!N41+'hivatal5 '!Q41+hivatal6!E41+hivatal6!H41+hivatal6!K41+hivatal6!N41+hivatal6!Q41+hivatal7!H41+E41</f>
        <v>0</v>
      </c>
      <c r="L41" s="862"/>
      <c r="M41" s="224"/>
      <c r="N41" s="227">
        <f t="shared" si="11"/>
        <v>0</v>
      </c>
      <c r="O41" s="1070"/>
      <c r="P41" s="224"/>
      <c r="Q41" s="227"/>
      <c r="R41" s="94"/>
      <c r="S41" s="94"/>
      <c r="T41" s="94"/>
    </row>
    <row r="42" spans="1:20" ht="15">
      <c r="A42" s="160" t="s">
        <v>99</v>
      </c>
      <c r="B42" s="156" t="s">
        <v>378</v>
      </c>
      <c r="C42" s="881"/>
      <c r="D42" s="146"/>
      <c r="E42" s="169"/>
      <c r="F42" s="881"/>
      <c r="G42" s="146"/>
      <c r="H42" s="169"/>
      <c r="I42" s="1070">
        <f>hivatal1!C42+hivatal1!F42+hivatal1!I42+hivatal1!L42+hivatal1!O42+hivatal2!C42+hivatal2!F42+hivatal2!I42+hivatal2!L42+hivatal2!O42+hivatal3!C42+hivatal3!F42+hivatal3!I42+hivatal3!L42+hivatal3!O42+hivatal4!C42+hivatal4!F42+hivatal4!I42+hivatal4!L42+hivatal4!O42+'hivatal5 '!C42+'hivatal5 '!F42+'hivatal5 '!I42+'hivatal5 '!L42+'hivatal5 '!O42+hivatal6!C42+hivatal6!F42+hivatal6!I42+hivatal6!L42+hivatal6!O42+hivatal7!F42+C42</f>
        <v>0</v>
      </c>
      <c r="J42" s="224">
        <f>hivatal1!D42+hivatal1!G42+hivatal1!J42+hivatal1!M42+hivatal1!P42+hivatal2!D42+hivatal2!G42+hivatal2!J42+hivatal2!M42+hivatal2!P42+hivatal3!D42+hivatal3!G42+hivatal3!J42+hivatal3!M42+hivatal3!P42+hivatal4!D42+hivatal4!G42+hivatal4!J42+hivatal4!M42+hivatal4!P42+'hivatal5 '!D42+'hivatal5 '!G42+'hivatal5 '!J42+'hivatal5 '!M42+'hivatal5 '!P42+hivatal6!D42+hivatal6!G42+hivatal6!J42+hivatal6!M42+hivatal6!P42+hivatal7!G42+D42</f>
        <v>0</v>
      </c>
      <c r="K42" s="227">
        <f>hivatal1!E42+hivatal1!H42+hivatal1!K42+hivatal1!N42+hivatal1!Q42+hivatal2!E42+hivatal2!H42+hivatal2!K42+hivatal2!N42+hivatal2!Q42+hivatal3!E42+hivatal3!H42+hivatal3!K42+hivatal3!N42+hivatal3!Q42+hivatal4!E42+hivatal4!H42+hivatal4!K42+hivatal4!N42+hivatal4!Q42+'hivatal5 '!E42+'hivatal5 '!H42+'hivatal5 '!K42+'hivatal5 '!N42+'hivatal5 '!Q42+hivatal6!E42+hivatal6!H42+hivatal6!K42+hivatal6!N42+hivatal6!Q42+hivatal7!H42+E42</f>
        <v>0</v>
      </c>
      <c r="L42" s="860">
        <v>1613000</v>
      </c>
      <c r="M42" s="146"/>
      <c r="N42" s="169">
        <f>SUM(L42:M42)</f>
        <v>1613000</v>
      </c>
      <c r="O42" s="881"/>
      <c r="P42" s="146"/>
      <c r="Q42" s="169"/>
      <c r="R42" s="94"/>
      <c r="S42" s="94"/>
      <c r="T42" s="94"/>
    </row>
    <row r="43" spans="1:20" ht="15">
      <c r="A43" s="160" t="s">
        <v>100</v>
      </c>
      <c r="B43" s="156" t="s">
        <v>379</v>
      </c>
      <c r="C43" s="881"/>
      <c r="D43" s="146"/>
      <c r="E43" s="169"/>
      <c r="F43" s="881"/>
      <c r="G43" s="146"/>
      <c r="H43" s="169"/>
      <c r="I43" s="1070">
        <f>hivatal1!C43+hivatal1!F43+hivatal1!I43+hivatal1!L43+hivatal1!O43+hivatal2!C43+hivatal2!F43+hivatal2!I43+hivatal2!L43+hivatal2!O43+hivatal3!C43+hivatal3!F43+hivatal3!I43+hivatal3!L43+hivatal3!O43+hivatal4!C43+hivatal4!F43+hivatal4!I43+hivatal4!L43+hivatal4!O43+'hivatal5 '!C43+'hivatal5 '!F43+'hivatal5 '!I43+'hivatal5 '!L43+'hivatal5 '!O43+hivatal6!C43+hivatal6!F43+hivatal6!I43+hivatal6!L43+hivatal6!O43+hivatal7!F43+C43</f>
        <v>0</v>
      </c>
      <c r="J43" s="224">
        <f>hivatal1!D43+hivatal1!G43+hivatal1!J43+hivatal1!M43+hivatal1!P43+hivatal2!D43+hivatal2!G43+hivatal2!J43+hivatal2!M43+hivatal2!P43+hivatal3!D43+hivatal3!G43+hivatal3!J43+hivatal3!M43+hivatal3!P43+hivatal4!D43+hivatal4!G43+hivatal4!J43+hivatal4!M43+hivatal4!P43+'hivatal5 '!D43+'hivatal5 '!G43+'hivatal5 '!J43+'hivatal5 '!M43+'hivatal5 '!P43+hivatal6!D43+hivatal6!G43+hivatal6!J43+hivatal6!M43+hivatal6!P43+hivatal7!G43+D43</f>
        <v>0</v>
      </c>
      <c r="K43" s="227">
        <f>hivatal1!E43+hivatal1!H43+hivatal1!K43+hivatal1!N43+hivatal1!Q43+hivatal2!E43+hivatal2!H43+hivatal2!K43+hivatal2!N43+hivatal2!Q43+hivatal3!E43+hivatal3!H43+hivatal3!K43+hivatal3!N43+hivatal3!Q43+hivatal4!E43+hivatal4!H43+hivatal4!K43+hivatal4!N43+hivatal4!Q43+'hivatal5 '!E43+'hivatal5 '!H43+'hivatal5 '!K43+'hivatal5 '!N43+'hivatal5 '!Q43+hivatal6!E43+hivatal6!H43+hivatal6!K43+hivatal6!N43+hivatal6!Q43+hivatal7!H43+E43</f>
        <v>0</v>
      </c>
      <c r="L43" s="860">
        <v>4868450</v>
      </c>
      <c r="M43" s="146"/>
      <c r="N43" s="169">
        <f>SUM(L43:M43)</f>
        <v>4868450</v>
      </c>
      <c r="O43" s="881"/>
      <c r="P43" s="146"/>
      <c r="Q43" s="169"/>
      <c r="R43" s="94"/>
      <c r="S43" s="94"/>
      <c r="T43" s="94"/>
    </row>
    <row r="44" spans="1:20" ht="15.75" thickBot="1">
      <c r="A44" s="161" t="s">
        <v>101</v>
      </c>
      <c r="B44" s="162" t="s">
        <v>175</v>
      </c>
      <c r="C44" s="882"/>
      <c r="D44" s="158"/>
      <c r="E44" s="237"/>
      <c r="F44" s="882"/>
      <c r="G44" s="158"/>
      <c r="H44" s="237"/>
      <c r="I44" s="1071">
        <f>hivatal1!C44+hivatal1!F44+hivatal1!I44+hivatal1!L44+hivatal1!O44+hivatal2!C44+hivatal2!F44+hivatal2!I44+hivatal2!L44+hivatal2!O44+hivatal3!C44+hivatal3!F44+hivatal3!I44+hivatal3!L44+hivatal3!O44+hivatal4!C44+hivatal4!F44+hivatal4!I44+hivatal4!L44+hivatal4!O44+'hivatal5 '!C44+'hivatal5 '!F44+'hivatal5 '!I44+'hivatal5 '!L44+'hivatal5 '!O44+hivatal6!C44+hivatal6!F44+hivatal6!I44+hivatal6!L44+hivatal6!O44+hivatal7!F44+C44</f>
        <v>7336</v>
      </c>
      <c r="J44" s="312">
        <f>hivatal1!D44+hivatal1!G44+hivatal1!J44+hivatal1!M44+hivatal1!P44+hivatal2!D44+hivatal2!G44+hivatal2!J44+hivatal2!M44+hivatal2!P44+hivatal3!D44+hivatal3!G44+hivatal3!J44+hivatal3!M44+hivatal3!P44+hivatal4!D44+hivatal4!G44+hivatal4!J44+hivatal4!M44+hivatal4!P44+'hivatal5 '!D44+'hivatal5 '!G44+'hivatal5 '!J44+'hivatal5 '!M44+'hivatal5 '!P44+hivatal6!D44+hivatal6!G44+hivatal6!J44+hivatal6!M44+hivatal6!P44+hivatal7!G44+D44</f>
        <v>1607</v>
      </c>
      <c r="K44" s="315">
        <f>hivatal1!E44+hivatal1!H44+hivatal1!K44+hivatal1!N44+hivatal1!Q44+hivatal2!E44+hivatal2!H44+hivatal2!K44+hivatal2!N44+hivatal2!Q44+hivatal3!E44+hivatal3!H44+hivatal3!K44+hivatal3!N44+hivatal3!Q44+hivatal4!E44+hivatal4!H44+hivatal4!K44+hivatal4!N44+hivatal4!Q44+'hivatal5 '!E44+'hivatal5 '!H44+'hivatal5 '!K44+'hivatal5 '!N44+'hivatal5 '!Q44+hivatal6!E44+hivatal6!H44+hivatal6!K44+hivatal6!N44+hivatal6!Q44+hivatal7!H44+E44</f>
        <v>8943</v>
      </c>
      <c r="L44" s="861">
        <v>24782</v>
      </c>
      <c r="M44" s="158"/>
      <c r="N44" s="237">
        <f t="shared" si="11"/>
        <v>24782</v>
      </c>
      <c r="O44" s="882"/>
      <c r="P44" s="158"/>
      <c r="Q44" s="237"/>
      <c r="R44" s="94"/>
      <c r="S44" s="94"/>
      <c r="T44" s="94"/>
    </row>
    <row r="45" spans="1:20" s="15" customFormat="1" ht="16.5" thickBot="1">
      <c r="A45" s="304">
        <v>2</v>
      </c>
      <c r="B45" s="296" t="s">
        <v>176</v>
      </c>
      <c r="C45" s="338">
        <f>SUM(C41:C44)</f>
        <v>0</v>
      </c>
      <c r="D45" s="305">
        <f>SUM(D41:D44)</f>
        <v>0</v>
      </c>
      <c r="E45" s="321">
        <f>SUM(E41:E44)</f>
        <v>0</v>
      </c>
      <c r="F45" s="338">
        <f>SUM(F41:F44)</f>
        <v>0</v>
      </c>
      <c r="G45" s="305">
        <f aca="true" t="shared" si="13" ref="G45:N45">SUM(G41:G44)</f>
        <v>0</v>
      </c>
      <c r="H45" s="321">
        <f t="shared" si="13"/>
        <v>0</v>
      </c>
      <c r="I45" s="338">
        <f>SUM(I41:I44)</f>
        <v>7336</v>
      </c>
      <c r="J45" s="305">
        <f t="shared" si="13"/>
        <v>1607</v>
      </c>
      <c r="K45" s="321">
        <f t="shared" si="13"/>
        <v>8943</v>
      </c>
      <c r="L45" s="338">
        <f t="shared" si="13"/>
        <v>6506232</v>
      </c>
      <c r="M45" s="305">
        <f t="shared" si="13"/>
        <v>0</v>
      </c>
      <c r="N45" s="321">
        <f t="shared" si="13"/>
        <v>6506232</v>
      </c>
      <c r="O45" s="338"/>
      <c r="P45" s="305"/>
      <c r="Q45" s="311"/>
      <c r="R45" s="208"/>
      <c r="S45" s="208"/>
      <c r="T45" s="208"/>
    </row>
    <row r="46" spans="1:20" s="15" customFormat="1" ht="16.5" thickBot="1">
      <c r="A46" s="304">
        <v>3</v>
      </c>
      <c r="B46" s="296" t="s">
        <v>254</v>
      </c>
      <c r="C46" s="338">
        <v>537</v>
      </c>
      <c r="D46" s="305">
        <v>5270</v>
      </c>
      <c r="E46" s="311">
        <f>SUM(C46:D46)</f>
        <v>5807</v>
      </c>
      <c r="F46" s="338"/>
      <c r="G46" s="305"/>
      <c r="H46" s="311">
        <f>SUM(F46:G46)</f>
        <v>0</v>
      </c>
      <c r="I46" s="338">
        <f>hivatal1!C46+hivatal1!F46+hivatal1!I46+hivatal1!L46+hivatal1!O46+hivatal2!C46+hivatal2!F46+hivatal2!I46+hivatal2!L46+hivatal2!O46+hivatal3!C46+hivatal3!F46+hivatal3!I46+hivatal3!L46+hivatal3!O46+hivatal4!C46+hivatal4!F46+hivatal4!I46+hivatal4!L46+hivatal4!O46+'hivatal5 '!C46+'hivatal5 '!F46+'hivatal5 '!I46+'hivatal5 '!L46+'hivatal5 '!O46+hivatal6!C46+hivatal6!F46+hivatal6!I46+hivatal6!L46+hivatal6!O46+hivatal7!F46+C46</f>
        <v>838375</v>
      </c>
      <c r="J46" s="305">
        <f>hivatal1!D46+hivatal1!G46+hivatal1!J46+hivatal1!M46+hivatal1!P46+hivatal2!D46+hivatal2!G46+hivatal2!J46+hivatal2!M46+hivatal2!P46+hivatal3!D46+hivatal3!G46+hivatal3!J46+hivatal3!M46+hivatal3!P46+hivatal4!D46+hivatal4!G46+hivatal4!J46+hivatal4!M46+hivatal4!P46+'hivatal5 '!D46+'hivatal5 '!G46+'hivatal5 '!J46+'hivatal5 '!M46+'hivatal5 '!P46+hivatal6!D46+hivatal6!G46+hivatal6!J46+hivatal6!M46+hivatal6!P46+hivatal7!G46+D46</f>
        <v>40770</v>
      </c>
      <c r="K46" s="311">
        <f>hivatal1!E46+hivatal1!H46+hivatal1!K46+hivatal1!N46+hivatal1!Q46+hivatal2!E46+hivatal2!H46+hivatal2!K46+hivatal2!N46+hivatal2!Q46+hivatal3!E46+hivatal3!H46+hivatal3!K46+hivatal3!N46+hivatal3!Q46+hivatal4!E46+hivatal4!H46+hivatal4!K46+hivatal4!N46+hivatal4!Q46+'hivatal5 '!E46+'hivatal5 '!H46+'hivatal5 '!K46+'hivatal5 '!N46+'hivatal5 '!Q46+hivatal6!E46+hivatal6!H46+hivatal6!K46+hivatal6!N46+hivatal6!Q46+hivatal7!H46+E46</f>
        <v>879145</v>
      </c>
      <c r="L46" s="338"/>
      <c r="M46" s="305"/>
      <c r="N46" s="311">
        <f>SUM(L46:M46)</f>
        <v>0</v>
      </c>
      <c r="O46" s="338"/>
      <c r="P46" s="305"/>
      <c r="Q46" s="311"/>
      <c r="R46" s="208"/>
      <c r="S46" s="208"/>
      <c r="T46" s="208"/>
    </row>
    <row r="47" spans="1:20" s="15" customFormat="1" ht="16.5" thickBot="1">
      <c r="A47" s="304">
        <v>4</v>
      </c>
      <c r="B47" s="296" t="s">
        <v>275</v>
      </c>
      <c r="C47" s="338">
        <v>7174</v>
      </c>
      <c r="D47" s="305">
        <v>25</v>
      </c>
      <c r="E47" s="311">
        <f>SUM(C47:D47)</f>
        <v>7199</v>
      </c>
      <c r="F47" s="338"/>
      <c r="G47" s="305"/>
      <c r="H47" s="311">
        <f>SUM(F47:G47)</f>
        <v>0</v>
      </c>
      <c r="I47" s="1141">
        <f>hivatal1!C47+hivatal1!F47+hivatal1!I47+hivatal1!L47+hivatal1!O47+hivatal2!C47+hivatal2!F47+hivatal2!I47+hivatal2!L47+hivatal2!O47+hivatal3!C47+hivatal3!F47+hivatal3!I47+hivatal3!L47+hivatal3!O47+hivatal4!C47+hivatal4!F47+hivatal4!I47+hivatal4!L47+hivatal4!O47+'hivatal5 '!C47+'hivatal5 '!F47+'hivatal5 '!I47+'hivatal5 '!L47+'hivatal5 '!O47+hivatal6!C47+hivatal6!F47+hivatal6!I47+hivatal6!L47+hivatal6!O47+hivatal7!F47+C47</f>
        <v>17541</v>
      </c>
      <c r="J47" s="772">
        <f>hivatal1!D47+hivatal1!G47+hivatal1!J47+hivatal1!M47+hivatal1!P47+hivatal2!D47+hivatal2!G47+hivatal2!J47+hivatal2!M47+hivatal2!P47+hivatal3!D47+hivatal3!G47+hivatal3!J47+hivatal3!M47+hivatal3!P47+hivatal4!D47+hivatal4!G47+hivatal4!J47+hivatal4!M47+hivatal4!P47+'hivatal5 '!D47+'hivatal5 '!G47+'hivatal5 '!J47+'hivatal5 '!M47+'hivatal5 '!P47+hivatal6!D47+hivatal6!G47+hivatal6!J47+hivatal6!M47+hivatal6!P47+hivatal7!G47+D47</f>
        <v>25</v>
      </c>
      <c r="K47" s="899">
        <f>hivatal1!E47+hivatal1!H47+hivatal1!K47+hivatal1!N47+hivatal1!Q47+hivatal2!E47+hivatal2!H47+hivatal2!K47+hivatal2!N47+hivatal2!Q47+hivatal3!E47+hivatal3!H47+hivatal3!K47+hivatal3!N47+hivatal3!Q47+hivatal4!E47+hivatal4!H47+hivatal4!K47+hivatal4!N47+hivatal4!Q47+'hivatal5 '!E47+'hivatal5 '!H47+'hivatal5 '!K47+'hivatal5 '!N47+'hivatal5 '!Q47+hivatal6!E47+hivatal6!H47+hivatal6!K47+hivatal6!N47+hivatal6!Q47+hivatal7!H47+E47</f>
        <v>17566</v>
      </c>
      <c r="L47" s="338"/>
      <c r="M47" s="305"/>
      <c r="N47" s="311">
        <f>SUM(L47:M47)</f>
        <v>0</v>
      </c>
      <c r="O47" s="338"/>
      <c r="P47" s="305"/>
      <c r="Q47" s="311"/>
      <c r="R47" s="208"/>
      <c r="S47" s="208"/>
      <c r="T47" s="208"/>
    </row>
    <row r="48" spans="1:20" s="731" customFormat="1" ht="15">
      <c r="A48" s="163" t="s">
        <v>98</v>
      </c>
      <c r="B48" s="149" t="s">
        <v>281</v>
      </c>
      <c r="C48" s="1070"/>
      <c r="D48" s="224"/>
      <c r="E48" s="227"/>
      <c r="F48" s="1070"/>
      <c r="G48" s="224"/>
      <c r="H48" s="227"/>
      <c r="I48" s="1070">
        <f>hivatal1!C48+hivatal1!F48+hivatal1!I48+hivatal1!L48+hivatal1!O48+hivatal2!C48+hivatal2!F48+hivatal2!I48+hivatal2!L48+hivatal2!O48+hivatal3!C48+hivatal3!F48+hivatal3!I48+hivatal3!L48+hivatal3!O48+hivatal4!C48+hivatal4!F48+hivatal4!I48+hivatal4!L48+hivatal4!O48+'hivatal5 '!C48+'hivatal5 '!F48+'hivatal5 '!I48+'hivatal5 '!L48+'hivatal5 '!O48+hivatal6!C48+hivatal6!F48+hivatal6!I48+hivatal6!L48+hivatal6!O48+hivatal7!F48+C48</f>
        <v>0</v>
      </c>
      <c r="J48" s="224">
        <f>hivatal1!D48+hivatal1!G48+hivatal1!J48+hivatal1!M48+hivatal1!P48+hivatal2!D48+hivatal2!G48+hivatal2!J48+hivatal2!M48+hivatal2!P48+hivatal3!D48+hivatal3!G48+hivatal3!J48+hivatal3!M48+hivatal3!P48+hivatal4!D48+hivatal4!G48+hivatal4!J48+hivatal4!M48+hivatal4!P48+'hivatal5 '!D48+'hivatal5 '!G48+'hivatal5 '!J48+'hivatal5 '!M48+'hivatal5 '!P48+hivatal6!D48+hivatal6!G48+hivatal6!J48+hivatal6!M48+hivatal6!P48+hivatal7!G48+D48</f>
        <v>300000</v>
      </c>
      <c r="K48" s="227">
        <f>hivatal1!E48+hivatal1!H48+hivatal1!K48+hivatal1!N48+hivatal1!Q48+hivatal2!E48+hivatal2!H48+hivatal2!K48+hivatal2!N48+hivatal2!Q48+hivatal3!E48+hivatal3!H48+hivatal3!K48+hivatal3!N48+hivatal3!Q48+hivatal4!E48+hivatal4!H48+hivatal4!K48+hivatal4!N48+hivatal4!Q48+'hivatal5 '!E48+'hivatal5 '!H48+'hivatal5 '!K48+'hivatal5 '!N48+'hivatal5 '!Q48+hivatal6!E48+hivatal6!H48+hivatal6!K48+hivatal6!N48+hivatal6!Q48+hivatal7!H48+E48</f>
        <v>300000</v>
      </c>
      <c r="L48" s="862"/>
      <c r="M48" s="224"/>
      <c r="N48" s="227">
        <f aca="true" t="shared" si="14" ref="N48:N55">SUM(L48:M48)</f>
        <v>0</v>
      </c>
      <c r="O48" s="1070"/>
      <c r="P48" s="224"/>
      <c r="Q48" s="227"/>
      <c r="R48" s="729"/>
      <c r="S48" s="729"/>
      <c r="T48" s="729"/>
    </row>
    <row r="49" spans="1:20" ht="15">
      <c r="A49" s="161" t="s">
        <v>99</v>
      </c>
      <c r="B49" s="325" t="s">
        <v>380</v>
      </c>
      <c r="C49" s="881"/>
      <c r="D49" s="146"/>
      <c r="E49" s="169"/>
      <c r="F49" s="881"/>
      <c r="G49" s="146"/>
      <c r="H49" s="169"/>
      <c r="I49" s="1070">
        <f>hivatal1!C49+hivatal1!F49+hivatal1!I49+hivatal1!L49+hivatal1!O49+hivatal2!C49+hivatal2!F49+hivatal2!I49+hivatal2!L49+hivatal2!O49+hivatal3!C49+hivatal3!F49+hivatal3!I49+hivatal3!L49+hivatal3!O49+hivatal4!C49+hivatal4!F49+hivatal4!I49+hivatal4!L49+hivatal4!O49+'hivatal5 '!C49+'hivatal5 '!F49+'hivatal5 '!I49+'hivatal5 '!L49+'hivatal5 '!O49+hivatal6!C49+hivatal6!F49+hivatal6!I49+hivatal6!L49+hivatal6!O49+hivatal7!F49+C49</f>
        <v>0</v>
      </c>
      <c r="J49" s="224">
        <f>hivatal1!D49+hivatal1!G49+hivatal1!J49+hivatal1!M49+hivatal1!P49+hivatal2!D49+hivatal2!G49+hivatal2!J49+hivatal2!M49+hivatal2!P49+hivatal3!D49+hivatal3!G49+hivatal3!J49+hivatal3!M49+hivatal3!P49+hivatal4!D49+hivatal4!G49+hivatal4!J49+hivatal4!M49+hivatal4!P49+'hivatal5 '!D49+'hivatal5 '!G49+'hivatal5 '!J49+'hivatal5 '!M49+'hivatal5 '!P49+hivatal6!D49+hivatal6!G49+hivatal6!J49+hivatal6!M49+hivatal6!P49+hivatal7!G49+D49</f>
        <v>0</v>
      </c>
      <c r="K49" s="227">
        <f>hivatal1!E49+hivatal1!H49+hivatal1!K49+hivatal1!N49+hivatal1!Q49+hivatal2!E49+hivatal2!H49+hivatal2!K49+hivatal2!N49+hivatal2!Q49+hivatal3!E49+hivatal3!H49+hivatal3!K49+hivatal3!N49+hivatal3!Q49+hivatal4!E49+hivatal4!H49+hivatal4!K49+hivatal4!N49+hivatal4!Q49+'hivatal5 '!E49+'hivatal5 '!H49+'hivatal5 '!K49+'hivatal5 '!N49+'hivatal5 '!Q49+hivatal6!E49+hivatal6!H49+hivatal6!K49+hivatal6!N49+hivatal6!Q49+hivatal7!H49+E49</f>
        <v>0</v>
      </c>
      <c r="L49" s="860"/>
      <c r="M49" s="146"/>
      <c r="N49" s="169">
        <f t="shared" si="14"/>
        <v>0</v>
      </c>
      <c r="O49" s="881"/>
      <c r="P49" s="146"/>
      <c r="Q49" s="169"/>
      <c r="R49" s="94"/>
      <c r="S49" s="94"/>
      <c r="T49" s="94"/>
    </row>
    <row r="50" spans="1:20" ht="15.75" thickBot="1">
      <c r="A50" s="161" t="s">
        <v>100</v>
      </c>
      <c r="B50" s="325" t="s">
        <v>413</v>
      </c>
      <c r="C50" s="881"/>
      <c r="D50" s="146"/>
      <c r="E50" s="169"/>
      <c r="F50" s="881"/>
      <c r="G50" s="146"/>
      <c r="H50" s="169"/>
      <c r="I50" s="1070">
        <f>hivatal1!C50+hivatal1!F50+hivatal1!I50+hivatal1!L50+hivatal1!O50+hivatal2!C50+hivatal2!F50+hivatal2!I50+hivatal2!L50+hivatal2!O50+hivatal3!C50+hivatal3!F50+hivatal3!I50+hivatal3!L50+hivatal3!O50+hivatal4!C50+hivatal4!F50+hivatal4!I50+hivatal4!L50+hivatal4!O50+'hivatal5 '!C50+'hivatal5 '!F50+'hivatal5 '!I50+'hivatal5 '!L50+'hivatal5 '!O50+hivatal6!C50+hivatal6!F50+hivatal6!I50+hivatal6!L50+hivatal6!O50+hivatal7!F50+C50</f>
        <v>99130</v>
      </c>
      <c r="J50" s="224">
        <f>hivatal1!D50+hivatal1!G50+hivatal1!J50+hivatal1!M50+hivatal1!P50+hivatal2!D50+hivatal2!G50+hivatal2!J50+hivatal2!M50+hivatal2!P50+hivatal3!D50+hivatal3!G50+hivatal3!J50+hivatal3!M50+hivatal3!P50+hivatal4!D50+hivatal4!G50+hivatal4!J50+hivatal4!M50+hivatal4!P50+'hivatal5 '!D50+'hivatal5 '!G50+'hivatal5 '!J50+'hivatal5 '!M50+'hivatal5 '!P50+hivatal6!D50+hivatal6!G50+hivatal6!J50+hivatal6!M50+hivatal6!P50+hivatal7!G50+D50</f>
        <v>317343</v>
      </c>
      <c r="K50" s="227">
        <f>hivatal1!E50+hivatal1!H50+hivatal1!K50+hivatal1!N50+hivatal1!Q50+hivatal2!E50+hivatal2!H50+hivatal2!K50+hivatal2!N50+hivatal2!Q50+hivatal3!E50+hivatal3!H50+hivatal3!K50+hivatal3!N50+hivatal3!Q50+hivatal4!E50+hivatal4!H50+hivatal4!K50+hivatal4!N50+hivatal4!Q50+'hivatal5 '!E50+'hivatal5 '!H50+'hivatal5 '!K50+'hivatal5 '!N50+'hivatal5 '!Q50+hivatal6!E50+hivatal6!H50+hivatal6!K50+hivatal6!N50+hivatal6!Q50+hivatal7!H50+E50</f>
        <v>416473</v>
      </c>
      <c r="L50" s="860"/>
      <c r="M50" s="146"/>
      <c r="N50" s="169">
        <f>SUM(L50:M50)</f>
        <v>0</v>
      </c>
      <c r="O50" s="881"/>
      <c r="P50" s="146"/>
      <c r="Q50" s="169"/>
      <c r="R50" s="94"/>
      <c r="S50" s="94"/>
      <c r="T50" s="94"/>
    </row>
    <row r="51" spans="1:20" s="15" customFormat="1" ht="16.5" thickBot="1">
      <c r="A51" s="304">
        <v>5</v>
      </c>
      <c r="B51" s="296" t="s">
        <v>178</v>
      </c>
      <c r="C51" s="338">
        <f>SUM(C48:C50)</f>
        <v>0</v>
      </c>
      <c r="D51" s="305">
        <f>SUM(D48:D50)</f>
        <v>0</v>
      </c>
      <c r="E51" s="311"/>
      <c r="F51" s="338">
        <f>SUM(F48:F50)</f>
        <v>0</v>
      </c>
      <c r="G51" s="305">
        <f>SUM(G48:G50)</f>
        <v>0</v>
      </c>
      <c r="H51" s="311"/>
      <c r="I51" s="338">
        <f>hivatal1!C51+hivatal1!F51+hivatal1!I51+hivatal1!L51+hivatal1!O51+hivatal2!C51+hivatal2!F51+hivatal2!I51+hivatal2!L51+hivatal2!O51+hivatal3!C51+hivatal3!F51+hivatal3!I51+hivatal3!L51+hivatal3!O51+hivatal4!C51+hivatal4!F51+hivatal4!I51+hivatal4!L51+hivatal4!O51+'hivatal5 '!C51+'hivatal5 '!F51+'hivatal5 '!I51+'hivatal5 '!L51+'hivatal5 '!O51+hivatal6!C51+hivatal6!F51+hivatal6!I51+hivatal6!L51+hivatal6!O51+hivatal7!F51</f>
        <v>99130</v>
      </c>
      <c r="J51" s="305">
        <f>hivatal1!D51+hivatal1!G51+hivatal1!J51+hivatal1!M51+hivatal1!P51+hivatal2!D51+hivatal2!G51+hivatal2!J51+hivatal2!M51+hivatal2!P51+hivatal3!D51+hivatal3!G51+hivatal3!J51+hivatal3!M51+hivatal3!P51+hivatal4!D51+hivatal4!G51+hivatal4!J51+hivatal4!M51+hivatal4!P51+'hivatal5 '!D51+'hivatal5 '!G51+'hivatal5 '!J51+'hivatal5 '!M51+'hivatal5 '!P51+hivatal6!D51+hivatal6!G51+hivatal6!J51+hivatal6!M51+hivatal6!P51+hivatal7!G51</f>
        <v>617343</v>
      </c>
      <c r="K51" s="311">
        <f>hivatal1!E51+hivatal1!H51+hivatal1!K51+hivatal1!N51+hivatal1!Q51+hivatal2!E51+hivatal2!H51+hivatal2!K51+hivatal2!N51+hivatal2!Q51+hivatal3!E51+hivatal3!H51+hivatal3!K51+hivatal3!N51+hivatal3!Q51+hivatal4!E51+hivatal4!H51+hivatal4!K51+hivatal4!N51+hivatal4!Q51+'hivatal5 '!E51+'hivatal5 '!H51+'hivatal5 '!K51+'hivatal5 '!N51+'hivatal5 '!Q51+hivatal6!E51+hivatal6!H51+hivatal6!K51+hivatal6!N51+hivatal6!Q51+hivatal7!H51</f>
        <v>716473</v>
      </c>
      <c r="L51" s="321">
        <f>SUM(L48:L50)</f>
        <v>0</v>
      </c>
      <c r="M51" s="305">
        <f>SUM(M48:M50)</f>
        <v>0</v>
      </c>
      <c r="N51" s="311">
        <f t="shared" si="14"/>
        <v>0</v>
      </c>
      <c r="O51" s="338"/>
      <c r="P51" s="305"/>
      <c r="Q51" s="311"/>
      <c r="R51" s="208"/>
      <c r="S51" s="208"/>
      <c r="T51" s="208"/>
    </row>
    <row r="52" spans="1:20" s="15" customFormat="1" ht="16.5" thickBot="1">
      <c r="A52" s="734">
        <v>6</v>
      </c>
      <c r="B52" s="735" t="s">
        <v>285</v>
      </c>
      <c r="C52" s="1073"/>
      <c r="D52" s="330"/>
      <c r="E52" s="323"/>
      <c r="F52" s="1073"/>
      <c r="G52" s="330"/>
      <c r="H52" s="323"/>
      <c r="I52" s="338">
        <f>hivatal1!C52+hivatal1!F52+hivatal1!I52+hivatal1!L52+hivatal1!O52+hivatal2!C52+hivatal2!F52+hivatal2!I52+hivatal2!L52+hivatal2!O52+hivatal3!C52+hivatal3!F52+hivatal3!I52+hivatal3!L52+hivatal3!O52+hivatal4!C52+hivatal4!F52+hivatal4!I52+hivatal4!L52+hivatal4!O52+'hivatal5 '!C52+'hivatal5 '!F52+'hivatal5 '!I52+'hivatal5 '!L52+'hivatal5 '!O52+hivatal6!C52+hivatal6!F52+hivatal6!I52+hivatal6!L52+hivatal6!O52+hivatal7!F52</f>
        <v>704108</v>
      </c>
      <c r="J52" s="305">
        <f>hivatal1!D52+hivatal1!G52+hivatal1!J52+hivatal1!M52+hivatal1!P52+hivatal2!D52+hivatal2!G52+hivatal2!J52+hivatal2!M52+hivatal2!P52+hivatal3!D52+hivatal3!G52+hivatal3!J52+hivatal3!M52+hivatal3!P52+hivatal4!D52+hivatal4!G52+hivatal4!J52+hivatal4!M52+hivatal4!P52+'hivatal5 '!D52+'hivatal5 '!G52+'hivatal5 '!J52+'hivatal5 '!M52+'hivatal5 '!P52+hivatal6!D52+hivatal6!G52+hivatal6!J52+hivatal6!M52+hivatal6!P52+hivatal7!G52</f>
        <v>-277</v>
      </c>
      <c r="K52" s="311">
        <f>hivatal1!E52+hivatal1!H52+hivatal1!K52+hivatal1!N52+hivatal1!Q52+hivatal2!E52+hivatal2!H52+hivatal2!K52+hivatal2!N52+hivatal2!Q52+hivatal3!E52+hivatal3!H52+hivatal3!K52+hivatal3!N52+hivatal3!Q52+hivatal4!E52+hivatal4!H52+hivatal4!K52+hivatal4!N52+hivatal4!Q52+'hivatal5 '!E52+'hivatal5 '!H52+'hivatal5 '!K52+'hivatal5 '!N52+'hivatal5 '!Q52+hivatal6!E52+hivatal6!H52+hivatal6!K52+hivatal6!N52+hivatal6!Q52+hivatal7!H52</f>
        <v>703831</v>
      </c>
      <c r="L52" s="324"/>
      <c r="M52" s="330"/>
      <c r="N52" s="323">
        <f t="shared" si="14"/>
        <v>0</v>
      </c>
      <c r="O52" s="1079"/>
      <c r="P52" s="330"/>
      <c r="Q52" s="323"/>
      <c r="R52" s="208"/>
      <c r="S52" s="208"/>
      <c r="T52" s="208"/>
    </row>
    <row r="53" spans="1:20" ht="15">
      <c r="A53" s="144" t="s">
        <v>98</v>
      </c>
      <c r="B53" s="145" t="s">
        <v>382</v>
      </c>
      <c r="C53" s="1074"/>
      <c r="D53" s="147"/>
      <c r="E53" s="203"/>
      <c r="F53" s="1074"/>
      <c r="G53" s="147"/>
      <c r="H53" s="203"/>
      <c r="I53" s="1070">
        <f>hivatal1!C53+hivatal1!F53+hivatal1!I53+hivatal1!L53+hivatal1!O53+hivatal2!C53+hivatal2!F53+hivatal2!I53+hivatal2!L53+hivatal2!O53+hivatal3!C53+hivatal3!F53+hivatal3!I53+hivatal3!L53+hivatal3!O53+hivatal4!C53+hivatal4!F53+hivatal4!I53+hivatal4!L53+hivatal4!O53+'hivatal5 '!C53+'hivatal5 '!F53+'hivatal5 '!I53+'hivatal5 '!L53+'hivatal5 '!O53+hivatal6!C53+hivatal6!F53+hivatal6!I53+hivatal6!L53+hivatal6!O53+hivatal7!F53+C53</f>
        <v>1219</v>
      </c>
      <c r="J53" s="224">
        <f>hivatal1!D53+hivatal1!G53+hivatal1!J53+hivatal1!M53+hivatal1!P53+hivatal2!D53+hivatal2!G53+hivatal2!J53+hivatal2!M53+hivatal2!P53+hivatal3!D53+hivatal3!G53+hivatal3!J53+hivatal3!M53+hivatal3!P53+hivatal4!D53+hivatal4!G53+hivatal4!J53+hivatal4!M53+hivatal4!P53+'hivatal5 '!D53+'hivatal5 '!G53+'hivatal5 '!J53+'hivatal5 '!M53+'hivatal5 '!P53+hivatal6!D53+hivatal6!G53+hivatal6!J53+hivatal6!M53+hivatal6!P53+hivatal7!G53+D53</f>
        <v>1438</v>
      </c>
      <c r="K53" s="227">
        <f>hivatal1!E53+hivatal1!H53+hivatal1!K53+hivatal1!N53+hivatal1!Q53+hivatal2!E53+hivatal2!H53+hivatal2!K53+hivatal2!N53+hivatal2!Q53+hivatal3!E53+hivatal3!H53+hivatal3!K53+hivatal3!N53+hivatal3!Q53+hivatal4!E53+hivatal4!H53+hivatal4!K53+hivatal4!N53+hivatal4!Q53+'hivatal5 '!E53+'hivatal5 '!H53+'hivatal5 '!K53+'hivatal5 '!N53+'hivatal5 '!Q53+hivatal6!E53+hivatal6!H53+hivatal6!K53+hivatal6!N53+hivatal6!Q53+hivatal7!H53+E53</f>
        <v>2657</v>
      </c>
      <c r="L53" s="864">
        <v>84</v>
      </c>
      <c r="M53" s="147">
        <v>5</v>
      </c>
      <c r="N53" s="203">
        <f t="shared" si="14"/>
        <v>89</v>
      </c>
      <c r="O53" s="1074"/>
      <c r="P53" s="147"/>
      <c r="Q53" s="203"/>
      <c r="R53" s="94"/>
      <c r="S53" s="94"/>
      <c r="T53" s="94"/>
    </row>
    <row r="54" spans="1:20" ht="15.75" thickBot="1">
      <c r="A54" s="326" t="s">
        <v>99</v>
      </c>
      <c r="B54" s="149" t="s">
        <v>383</v>
      </c>
      <c r="C54" s="1071"/>
      <c r="D54" s="312"/>
      <c r="E54" s="315"/>
      <c r="F54" s="1071"/>
      <c r="G54" s="312"/>
      <c r="H54" s="315"/>
      <c r="I54" s="1071">
        <f>hivatal1!C54+hivatal1!F54+hivatal1!I54+hivatal1!L54+hivatal1!O54+hivatal2!C54+hivatal2!F54+hivatal2!I54+hivatal2!L54+hivatal2!O54+hivatal3!C54+hivatal3!F54+hivatal3!I54+hivatal3!L54+hivatal3!O54+hivatal4!C54+hivatal4!F54+hivatal4!I54+hivatal4!L54+hivatal4!O54+'hivatal5 '!C54+'hivatal5 '!F54+'hivatal5 '!I54+'hivatal5 '!L54+'hivatal5 '!O54+hivatal6!C54+hivatal6!F54+hivatal6!I54+hivatal6!L54+hivatal6!O54+hivatal7!F54+C54</f>
        <v>0</v>
      </c>
      <c r="J54" s="312">
        <f>hivatal1!D54+hivatal1!G54+hivatal1!J54+hivatal1!M54+hivatal1!P54+hivatal2!D54+hivatal2!G54+hivatal2!J54+hivatal2!M54+hivatal2!P54+hivatal3!D54+hivatal3!G54+hivatal3!J54+hivatal3!M54+hivatal3!P54+hivatal4!D54+hivatal4!G54+hivatal4!J54+hivatal4!M54+hivatal4!P54+'hivatal5 '!D54+'hivatal5 '!G54+'hivatal5 '!J54+'hivatal5 '!M54+'hivatal5 '!P54+hivatal6!D54+hivatal6!G54+hivatal6!J54+hivatal6!M54+hivatal6!P54+hivatal7!G54+D54</f>
        <v>0</v>
      </c>
      <c r="K54" s="315">
        <f>hivatal1!E54+hivatal1!H54+hivatal1!K54+hivatal1!N54+hivatal1!Q54+hivatal2!E54+hivatal2!H54+hivatal2!K54+hivatal2!N54+hivatal2!Q54+hivatal3!E54+hivatal3!H54+hivatal3!K54+hivatal3!N54+hivatal3!Q54+hivatal4!E54+hivatal4!H54+hivatal4!K54+hivatal4!N54+hivatal4!Q54+'hivatal5 '!E54+'hivatal5 '!H54+'hivatal5 '!K54+'hivatal5 '!N54+'hivatal5 '!Q54+hivatal6!E54+hivatal6!H54+hivatal6!K54+hivatal6!N54+hivatal6!Q54+hivatal7!H54+E54</f>
        <v>0</v>
      </c>
      <c r="L54" s="164"/>
      <c r="M54" s="312"/>
      <c r="N54" s="315">
        <f t="shared" si="14"/>
        <v>0</v>
      </c>
      <c r="O54" s="1071"/>
      <c r="P54" s="312"/>
      <c r="Q54" s="315"/>
      <c r="R54" s="94"/>
      <c r="S54" s="94"/>
      <c r="T54" s="94"/>
    </row>
    <row r="55" spans="1:20" s="15" customFormat="1" ht="17.25" customHeight="1" thickBot="1">
      <c r="A55" s="304">
        <v>7</v>
      </c>
      <c r="B55" s="296" t="s">
        <v>181</v>
      </c>
      <c r="C55" s="338">
        <f>SUM(C53:C54)</f>
        <v>0</v>
      </c>
      <c r="D55" s="305"/>
      <c r="E55" s="311"/>
      <c r="F55" s="338">
        <f>SUM(F53:F54)</f>
        <v>0</v>
      </c>
      <c r="G55" s="305"/>
      <c r="H55" s="311"/>
      <c r="I55" s="338">
        <f>hivatal1!C55+hivatal1!F55+hivatal1!I55+hivatal1!L55+hivatal1!O55+hivatal2!C55+hivatal2!F55+hivatal2!I55+hivatal2!L55+hivatal2!O55+hivatal3!C55+hivatal3!F55+hivatal3!I55+hivatal3!L55+hivatal3!O55+hivatal4!C55+hivatal4!F55+hivatal4!I55+hivatal4!L55+hivatal4!O55+'hivatal5 '!C55+'hivatal5 '!F55+'hivatal5 '!I55+'hivatal5 '!L55+'hivatal5 '!O55+hivatal6!C55+hivatal6!F55+hivatal6!I55+hivatal6!L55+hivatal6!O55+hivatal7!F55</f>
        <v>1219</v>
      </c>
      <c r="J55" s="305">
        <f>hivatal1!D55+hivatal1!G55+hivatal1!J55+hivatal1!M55+hivatal1!P55+hivatal2!D55+hivatal2!G55+hivatal2!J55+hivatal2!M55+hivatal2!P55+hivatal3!D55+hivatal3!G55+hivatal3!J55+hivatal3!M55+hivatal3!P55+hivatal4!D55+hivatal4!G55+hivatal4!J55+hivatal4!M55+hivatal4!P55+'hivatal5 '!D55+'hivatal5 '!G55+'hivatal5 '!J55+'hivatal5 '!M55+'hivatal5 '!P55+hivatal6!D55+hivatal6!G55+hivatal6!J55+hivatal6!M55+hivatal6!P55+hivatal7!G55</f>
        <v>1438</v>
      </c>
      <c r="K55" s="311">
        <f>hivatal1!E55+hivatal1!H55+hivatal1!K55+hivatal1!N55+hivatal1!Q55+hivatal2!E55+hivatal2!H55+hivatal2!K55+hivatal2!N55+hivatal2!Q55+hivatal3!E55+hivatal3!H55+hivatal3!K55+hivatal3!N55+hivatal3!Q55+hivatal4!E55+hivatal4!H55+hivatal4!K55+hivatal4!N55+hivatal4!Q55+'hivatal5 '!E55+'hivatal5 '!H55+'hivatal5 '!K55+'hivatal5 '!N55+'hivatal5 '!Q55+hivatal6!E55+hivatal6!H55+hivatal6!K55+hivatal6!N55+hivatal6!Q55+hivatal7!H55</f>
        <v>2657</v>
      </c>
      <c r="L55" s="321">
        <f>SUM(L53:L54)</f>
        <v>84</v>
      </c>
      <c r="M55" s="305">
        <f>SUM(M53:M54)</f>
        <v>5</v>
      </c>
      <c r="N55" s="311">
        <f t="shared" si="14"/>
        <v>89</v>
      </c>
      <c r="O55" s="338"/>
      <c r="P55" s="305"/>
      <c r="Q55" s="311"/>
      <c r="R55" s="159"/>
      <c r="S55" s="159"/>
      <c r="T55" s="159"/>
    </row>
    <row r="56" spans="1:20" s="28" customFormat="1" ht="19.5" customHeight="1" thickBot="1">
      <c r="A56" s="691">
        <v>8</v>
      </c>
      <c r="B56" s="692" t="s">
        <v>46</v>
      </c>
      <c r="C56" s="1106">
        <f>C34-C40-C45-C46-C47-C51-C52-C55-C57-C58-C59</f>
        <v>99290</v>
      </c>
      <c r="D56" s="1107">
        <f>D34-D40-D45-D46-D47-D51-D52-D55-D57-D58-D59</f>
        <v>-1120</v>
      </c>
      <c r="E56" s="1104">
        <f>E34-E40-E45-E46-E47-E51-E52-E55-E57-E58-E59</f>
        <v>98170</v>
      </c>
      <c r="F56" s="1106">
        <f aca="true" t="shared" si="15" ref="F56:K56">F34-F40-F45-F46-F47-F51-F52-F55-F57-F58-F59</f>
        <v>1905401</v>
      </c>
      <c r="G56" s="1107">
        <f t="shared" si="15"/>
        <v>-236309</v>
      </c>
      <c r="H56" s="1104">
        <f t="shared" si="15"/>
        <v>1669092</v>
      </c>
      <c r="I56" s="1106">
        <f t="shared" si="15"/>
        <v>2393792</v>
      </c>
      <c r="J56" s="1107">
        <f t="shared" si="15"/>
        <v>-26457</v>
      </c>
      <c r="K56" s="1104">
        <f t="shared" si="15"/>
        <v>2367335</v>
      </c>
      <c r="L56" s="1106"/>
      <c r="M56" s="1107"/>
      <c r="N56" s="1104"/>
      <c r="O56" s="1129">
        <f>L60*-1</f>
        <v>-8562971</v>
      </c>
      <c r="P56" s="1131">
        <f>M60*-1</f>
        <v>-84028</v>
      </c>
      <c r="Q56" s="1119">
        <f>N60*-1</f>
        <v>-8646999</v>
      </c>
      <c r="R56" s="900"/>
      <c r="S56" s="900"/>
      <c r="T56" s="900"/>
    </row>
    <row r="57" spans="1:20" s="15" customFormat="1" ht="15.75">
      <c r="A57" s="327" t="s">
        <v>385</v>
      </c>
      <c r="B57" s="328" t="s">
        <v>184</v>
      </c>
      <c r="C57" s="1076"/>
      <c r="D57" s="318"/>
      <c r="E57" s="1105"/>
      <c r="F57" s="1076"/>
      <c r="G57" s="318"/>
      <c r="H57" s="1105"/>
      <c r="I57" s="1070">
        <f>hivatal1!C57+hivatal1!F57+hivatal1!I57+hivatal1!L57+hivatal1!O57+hivatal2!C57+hivatal2!F57+hivatal2!I57+hivatal2!L57+hivatal2!O57+hivatal3!C57+hivatal3!F57+hivatal3!I57+hivatal3!L57+hivatal3!O57+hivatal4!C57+hivatal4!F57+hivatal4!I57+hivatal4!L57+hivatal4!O57+'hivatal5 '!C57+'hivatal5 '!F57+'hivatal5 '!I57+'hivatal5 '!L57+'hivatal5 '!O57+hivatal6!C57+hivatal6!F57+hivatal6!I57+hivatal6!L57+hivatal6!O57+hivatal7!F57+C57</f>
        <v>4934641</v>
      </c>
      <c r="J57" s="224">
        <f>hivatal1!D57+hivatal1!G57+hivatal1!J57+hivatal1!M57+hivatal1!P57+hivatal2!D57+hivatal2!G57+hivatal2!J57+hivatal2!M57+hivatal2!P57+hivatal3!D57+hivatal3!G57+hivatal3!J57+hivatal3!M57+hivatal3!P57+hivatal4!D57+hivatal4!G57+hivatal4!J57+hivatal4!M57+hivatal4!P57+'hivatal5 '!D57+'hivatal5 '!G57+'hivatal5 '!J57+'hivatal5 '!M57+'hivatal5 '!P57+hivatal6!D57+hivatal6!G57+hivatal6!J57+hivatal6!M57+hivatal6!P57+hivatal7!G57+D57</f>
        <v>0</v>
      </c>
      <c r="K57" s="227">
        <f>hivatal1!E57+hivatal1!H57+hivatal1!K57+hivatal1!N57+hivatal1!Q57+hivatal2!E57+hivatal2!H57+hivatal2!K57+hivatal2!N57+hivatal2!Q57+hivatal3!E57+hivatal3!H57+hivatal3!K57+hivatal3!N57+hivatal3!Q57+hivatal4!E57+hivatal4!H57+hivatal4!K57+hivatal4!N57+hivatal4!Q57+'hivatal5 '!E57+'hivatal5 '!H57+'hivatal5 '!K57+'hivatal5 '!N57+'hivatal5 '!Q57+hivatal6!E57+hivatal6!H57+hivatal6!K57+hivatal6!N57+hivatal6!Q57+hivatal7!H57+E57</f>
        <v>4934641</v>
      </c>
      <c r="L57" s="865"/>
      <c r="M57" s="318"/>
      <c r="N57" s="1105">
        <f>SUM(L57:M57)</f>
        <v>0</v>
      </c>
      <c r="O57" s="1076"/>
      <c r="P57" s="318"/>
      <c r="Q57" s="1105"/>
      <c r="R57" s="159"/>
      <c r="S57" s="159"/>
      <c r="T57" s="159"/>
    </row>
    <row r="58" spans="1:20" s="15" customFormat="1" ht="15.75">
      <c r="A58" s="327" t="s">
        <v>183</v>
      </c>
      <c r="B58" s="328" t="s">
        <v>384</v>
      </c>
      <c r="C58" s="1076"/>
      <c r="D58" s="318"/>
      <c r="E58" s="1105"/>
      <c r="F58" s="1076"/>
      <c r="G58" s="318"/>
      <c r="H58" s="1105"/>
      <c r="I58" s="150">
        <f>hivatal1!C58+hivatal1!F58+hivatal1!I58+hivatal1!L58+hivatal1!O58+hivatal2!C58+hivatal2!F58+hivatal2!I58+hivatal2!L58+hivatal2!O58+hivatal3!C58+hivatal3!F58+hivatal3!I58+hivatal3!L58+hivatal3!O58+hivatal4!C58+hivatal4!F58+hivatal4!I58+hivatal4!L58+hivatal4!O58+'hivatal5 '!C58+'hivatal5 '!F58+'hivatal5 '!I58+'hivatal5 '!L58+'hivatal5 '!O58+hivatal6!C58+hivatal6!F58+hivatal6!I58+hivatal6!L58+hivatal6!O58+hivatal7!F58+C58</f>
        <v>665000</v>
      </c>
      <c r="J58" s="146">
        <f>hivatal1!D58+hivatal1!G58+hivatal1!J58+hivatal1!M58+hivatal1!P58+hivatal2!D58+hivatal2!G58+hivatal2!J58+hivatal2!M58+hivatal2!P58+hivatal3!D58+hivatal3!G58+hivatal3!J58+hivatal3!M58+hivatal3!P58+hivatal4!D58+hivatal4!G58+hivatal4!J58+hivatal4!M58+hivatal4!P58+'hivatal5 '!D58+'hivatal5 '!G58+'hivatal5 '!J58+'hivatal5 '!M58+'hivatal5 '!P58+hivatal6!D58+hivatal6!G58+hivatal6!J58+hivatal6!M58+hivatal6!P58+hivatal7!G58+D58</f>
        <v>0</v>
      </c>
      <c r="K58" s="169">
        <f>hivatal1!E58+hivatal1!H58+hivatal1!K58+hivatal1!N58+hivatal1!Q58+hivatal2!E58+hivatal2!H58+hivatal2!K58+hivatal2!N58+hivatal2!Q58+hivatal3!E58+hivatal3!H58+hivatal3!K58+hivatal3!N58+hivatal3!Q58+hivatal4!E58+hivatal4!H58+hivatal4!K58+hivatal4!N58+hivatal4!Q58+'hivatal5 '!E58+'hivatal5 '!H58+'hivatal5 '!K58+'hivatal5 '!N58+'hivatal5 '!Q58+hivatal6!E58+hivatal6!H58+hivatal6!K58+hivatal6!N58+hivatal6!Q58+hivatal7!H58+E58</f>
        <v>665000</v>
      </c>
      <c r="L58" s="865"/>
      <c r="M58" s="318"/>
      <c r="N58" s="1105">
        <f>SUM(L58:M58)</f>
        <v>0</v>
      </c>
      <c r="O58" s="317"/>
      <c r="P58" s="318"/>
      <c r="Q58" s="393"/>
      <c r="R58" s="159"/>
      <c r="S58" s="159"/>
      <c r="T58" s="159"/>
    </row>
    <row r="59" spans="1:20" s="15" customFormat="1" ht="16.5" thickBot="1">
      <c r="A59" s="342">
        <v>10</v>
      </c>
      <c r="B59" s="343"/>
      <c r="C59" s="344"/>
      <c r="D59" s="345"/>
      <c r="E59" s="397"/>
      <c r="F59" s="344"/>
      <c r="G59" s="345"/>
      <c r="H59" s="397"/>
      <c r="I59" s="901">
        <f>hivatal1!C59+hivatal1!F59+hivatal1!I59+hivatal1!L59+hivatal1!O59+hivatal2!C59+hivatal2!F59+hivatal2!I59+hivatal2!L59+hivatal2!O59+hivatal3!C59+hivatal3!F59+hivatal3!I59+hivatal3!L59+hivatal3!O59+hivatal4!C59+hivatal4!F59+hivatal4!I59+hivatal4!L59+hivatal4!O59+'hivatal5 '!C59+'hivatal5 '!F59+'hivatal5 '!I59+'hivatal5 '!L59+'hivatal5 '!O59+hivatal6!C59+hivatal6!F59+hivatal6!I59+hivatal6!L59+hivatal6!O59+hivatal7!F59+C59</f>
        <v>0</v>
      </c>
      <c r="J59" s="902">
        <f>hivatal1!D59+hivatal1!G59+hivatal1!J59+hivatal1!M59+hivatal1!P59+hivatal2!D59+hivatal2!G59+hivatal2!J59+hivatal2!M59+hivatal2!P59+hivatal3!D59+hivatal3!G59+hivatal3!J59+hivatal3!M59+hivatal3!P59+hivatal4!D59+hivatal4!G59+hivatal4!J59+hivatal4!M59+hivatal4!P59+'hivatal5 '!D59+'hivatal5 '!G59+'hivatal5 '!J59+'hivatal5 '!M59+'hivatal5 '!P59+hivatal6!D59+hivatal6!G59+hivatal6!J59+hivatal6!M59+hivatal6!P59+hivatal7!G59+D59</f>
        <v>0</v>
      </c>
      <c r="K59" s="903">
        <f>hivatal1!E59+hivatal1!H59+hivatal1!K59+hivatal1!N59+hivatal1!Q59+hivatal2!E59+hivatal2!H59+hivatal2!K59+hivatal2!N59+hivatal2!Q59+hivatal3!E59+hivatal3!H59+hivatal3!K59+hivatal3!N59+hivatal3!Q59+hivatal4!E59+hivatal4!H59+hivatal4!K59+hivatal4!N59+hivatal4!Q59+'hivatal5 '!E59+'hivatal5 '!H59+'hivatal5 '!K59+'hivatal5 '!N59+'hivatal5 '!Q59+hivatal6!E59+hivatal6!H59+hivatal6!K59+hivatal6!N59+hivatal6!Q59+hivatal7!H59+E59</f>
        <v>0</v>
      </c>
      <c r="L59" s="347"/>
      <c r="M59" s="345"/>
      <c r="N59" s="398">
        <f>SUM(L59:M59)</f>
        <v>0</v>
      </c>
      <c r="O59" s="344"/>
      <c r="P59" s="345"/>
      <c r="Q59" s="397"/>
      <c r="R59" s="159"/>
      <c r="S59" s="159"/>
      <c r="T59" s="159"/>
    </row>
    <row r="60" spans="1:20" s="34" customFormat="1" ht="17.25" thickBot="1" thickTop="1">
      <c r="A60" s="334" t="s">
        <v>109</v>
      </c>
      <c r="B60" s="336" t="s">
        <v>182</v>
      </c>
      <c r="C60" s="748">
        <f>C40+C45+C46+C47+C51+C52+C55+C56+C57+C58+C59</f>
        <v>107001</v>
      </c>
      <c r="D60" s="749">
        <f>D40+D45+D46+D47+D51+D52+D55+D56+D57+D58+D59</f>
        <v>4175</v>
      </c>
      <c r="E60" s="747">
        <f>E40+E45+E46+E47+E51+E52+E55+E56+E57+E58+E59</f>
        <v>111176</v>
      </c>
      <c r="F60" s="748">
        <f>F40+F45+F46+F47+F51+F52+F55+F56+F57+F58+F59</f>
        <v>1905401</v>
      </c>
      <c r="G60" s="749">
        <f aca="true" t="shared" si="16" ref="G60:Q60">G40+G45+G46+G47+G51+G52+G55+G56+G57+G58+G59</f>
        <v>-236309</v>
      </c>
      <c r="H60" s="747">
        <f t="shared" si="16"/>
        <v>1669092</v>
      </c>
      <c r="I60" s="355">
        <f t="shared" si="16"/>
        <v>9735830</v>
      </c>
      <c r="J60" s="335">
        <f t="shared" si="16"/>
        <v>709331</v>
      </c>
      <c r="K60" s="747">
        <f t="shared" si="16"/>
        <v>10445161</v>
      </c>
      <c r="L60" s="748">
        <f>L40+L45+L46+L47+L51+L52+L55+L56+L57+L58+L59</f>
        <v>8562971</v>
      </c>
      <c r="M60" s="749">
        <f t="shared" si="16"/>
        <v>84028</v>
      </c>
      <c r="N60" s="747">
        <f>N40+N45+N46+N47+N51+N52+N55+N56+N57+N58+N59</f>
        <v>8646999</v>
      </c>
      <c r="O60" s="355">
        <f>O40+O45+O46+O47+O51+O52+O55+O56+O57+O58+O59</f>
        <v>-8562971</v>
      </c>
      <c r="P60" s="335">
        <f t="shared" si="16"/>
        <v>-84028</v>
      </c>
      <c r="Q60" s="365">
        <f t="shared" si="16"/>
        <v>-8646999</v>
      </c>
      <c r="R60" s="159"/>
      <c r="S60" s="159"/>
      <c r="T60" s="159"/>
    </row>
    <row r="61" spans="1:20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233"/>
      <c r="S61" s="233"/>
      <c r="T61" s="233"/>
    </row>
    <row r="62" spans="1:20" ht="16.5" thickBot="1" thickTop="1">
      <c r="A62" s="174"/>
      <c r="B62" s="175" t="s">
        <v>593</v>
      </c>
      <c r="C62" s="204"/>
      <c r="D62" s="403"/>
      <c r="E62" s="404">
        <f>SUM(C62:D62)</f>
        <v>0</v>
      </c>
      <c r="F62" s="204"/>
      <c r="G62" s="403"/>
      <c r="H62" s="404">
        <f>SUM(F62:G62)</f>
        <v>0</v>
      </c>
      <c r="I62" s="1143">
        <f>hivatal1!C62+hivatal1!F62+hivatal1!I62+hivatal1!L62+hivatal1!O62+hivatal2!C62+hivatal2!F62+hivatal2!I62+hivatal2!L62+hivatal2!O62+hivatal3!C62+hivatal3!F62+hivatal3!I62+hivatal3!L62+hivatal3!O62+hivatal4!C62+hivatal4!F62+hivatal4!I62+hivatal4!L62+hivatal4!O62+'hivatal5 '!C62+'hivatal5 '!F62+'hivatal5 '!I62+'hivatal5 '!L62+'hivatal5 '!O62+hivatal6!C62+hivatal6!F62+hivatal6!I62+hivatal6!L62+hivatal6!O62+hivatal7!F62</f>
        <v>40</v>
      </c>
      <c r="J62" s="205">
        <f>hivatal1!D62+hivatal1!G62+hivatal1!J62+hivatal1!M62+hivatal1!P62+hivatal2!D62+hivatal2!G62+hivatal2!J62+hivatal2!M62+hivatal2!P62+hivatal3!D62+hivatal3!G62+hivatal3!J62+hivatal3!M62+hivatal3!P62+hivatal4!D62+hivatal4!G62+hivatal4!J62+hivatal4!M62+hivatal4!P62+'hivatal5 '!D62+'hivatal5 '!G62+'hivatal5 '!J62+'hivatal5 '!M62+'hivatal5 '!P62+hivatal6!D62+hivatal6!G62+hivatal6!J62+hivatal6!M62+hivatal6!P62+hivatal7!G62</f>
        <v>0</v>
      </c>
      <c r="K62" s="1142">
        <f>hivatal1!E62+hivatal1!H62+hivatal1!K62+hivatal1!N62+hivatal1!Q62+hivatal2!E62+hivatal2!H62+hivatal2!K62+hivatal2!N62+hivatal2!Q62+hivatal3!E62+hivatal3!H62+hivatal3!K62+hivatal3!N62+hivatal3!Q62+hivatal4!E62+hivatal4!H62+hivatal4!K62+hivatal4!N62+hivatal4!Q62+'hivatal5 '!E62+'hivatal5 '!H62+'hivatal5 '!K62+'hivatal5 '!N62+'hivatal5 '!Q62+hivatal6!E62+hivatal6!H62+hivatal6!K62+hivatal6!N62+hivatal6!Q62+hivatal7!H62</f>
        <v>40</v>
      </c>
      <c r="L62" s="904"/>
      <c r="M62" s="885"/>
      <c r="N62" s="771"/>
      <c r="O62" s="901"/>
      <c r="P62" s="902"/>
      <c r="Q62" s="886"/>
      <c r="R62" s="94"/>
      <c r="S62" s="94"/>
      <c r="T62" s="94"/>
    </row>
    <row r="63" spans="1:20" ht="16.5" thickBot="1" thickTop="1">
      <c r="A63" s="174"/>
      <c r="B63" s="175" t="s">
        <v>594</v>
      </c>
      <c r="C63" s="204"/>
      <c r="D63" s="403"/>
      <c r="E63" s="404">
        <f>SUM(C63:D63)</f>
        <v>0</v>
      </c>
      <c r="F63" s="204"/>
      <c r="G63" s="403"/>
      <c r="H63" s="404">
        <f>SUM(F63:G63)</f>
        <v>0</v>
      </c>
      <c r="I63" s="1143">
        <f>hivatal1!C63+hivatal1!F63+hivatal1!I63+hivatal1!L63+hivatal1!O63+hivatal2!C63+hivatal2!F63+hivatal2!I63+hivatal2!L63+hivatal2!O63+hivatal3!C63+hivatal3!F63+hivatal3!I63+hivatal3!L63+hivatal3!O63+hivatal4!C63+hivatal4!F63+hivatal4!I63+hivatal4!L63+hivatal4!O63+'hivatal5 '!C63+'hivatal5 '!F63+'hivatal5 '!I63+'hivatal5 '!L63+'hivatal5 '!O63+hivatal6!C63+hivatal6!F63+hivatal6!I63+hivatal6!L63+hivatal6!O63+hivatal7!F63</f>
        <v>10</v>
      </c>
      <c r="J63" s="205">
        <f>hivatal1!D63+hivatal1!G63+hivatal1!J63+hivatal1!M63+hivatal1!P63+hivatal2!D63+hivatal2!G63+hivatal2!J63+hivatal2!M63+hivatal2!P63+hivatal3!D63+hivatal3!G63+hivatal3!J63+hivatal3!M63+hivatal3!P63+hivatal4!D63+hivatal4!G63+hivatal4!J63+hivatal4!M63+hivatal4!P63+'hivatal5 '!D63+'hivatal5 '!G63+'hivatal5 '!J63+'hivatal5 '!M63+'hivatal5 '!P63+hivatal6!D63+hivatal6!G63+hivatal6!J63+hivatal6!M63+hivatal6!P63+hivatal7!G63</f>
        <v>0</v>
      </c>
      <c r="K63" s="913">
        <f>hivatal1!E63+hivatal1!H63+hivatal1!K63+hivatal1!N63+hivatal1!Q63+hivatal2!E63+hivatal2!H63+hivatal2!K63+hivatal2!N63+hivatal2!Q63+hivatal3!E63+hivatal3!H63+hivatal3!K63+hivatal3!N63+hivatal3!Q63+hivatal4!E63+hivatal4!H63+hivatal4!K63+hivatal4!N63+hivatal4!Q63+'hivatal5 '!E63+'hivatal5 '!H63+'hivatal5 '!K63+'hivatal5 '!N63+'hivatal5 '!Q63+hivatal6!E63+hivatal6!H63+hivatal6!K63+hivatal6!N63+hivatal6!Q63+hivatal7!H63</f>
        <v>10</v>
      </c>
      <c r="L63" s="904"/>
      <c r="M63" s="885"/>
      <c r="N63" s="771"/>
      <c r="O63" s="901"/>
      <c r="P63" s="902"/>
      <c r="Q63" s="905"/>
      <c r="R63" s="94"/>
      <c r="S63" s="94"/>
      <c r="T63" s="94"/>
    </row>
    <row r="64" spans="1:20" ht="16.5" thickTop="1">
      <c r="A64" s="409"/>
      <c r="K64" s="111"/>
      <c r="R64" s="94"/>
      <c r="S64" s="94"/>
      <c r="T64" s="94"/>
    </row>
    <row r="65" ht="15.75">
      <c r="A65" s="409"/>
    </row>
  </sheetData>
  <sheetProtection/>
  <mergeCells count="4">
    <mergeCell ref="L7:N7"/>
    <mergeCell ref="C7:E7"/>
    <mergeCell ref="A4:Q4"/>
    <mergeCell ref="A5:Q5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showGridLines="0" zoomScale="78" zoomScaleNormal="78" zoomScaleSheetLayoutView="50" zoomScalePageLayoutView="0" workbookViewId="0" topLeftCell="A1">
      <pane xSplit="2" ySplit="9" topLeftCell="C1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K1" sqref="K1"/>
    </sheetView>
  </sheetViews>
  <sheetFormatPr defaultColWidth="9.00390625" defaultRowHeight="12.75"/>
  <cols>
    <col min="1" max="1" width="5.375" style="410" customWidth="1"/>
    <col min="2" max="2" width="78.375" style="94" customWidth="1"/>
    <col min="3" max="3" width="16.625" style="94" customWidth="1"/>
    <col min="4" max="4" width="15.50390625" style="94" customWidth="1"/>
    <col min="5" max="5" width="19.00390625" style="94" customWidth="1"/>
    <col min="6" max="6" width="17.375" style="94" customWidth="1"/>
    <col min="7" max="7" width="17.00390625" style="94" customWidth="1"/>
    <col min="8" max="8" width="17.50390625" style="94" customWidth="1"/>
    <col min="9" max="11" width="16.625" style="348" customWidth="1"/>
    <col min="12" max="12" width="16.625" style="929" customWidth="1"/>
    <col min="13" max="13" width="15.00390625" style="929" customWidth="1"/>
    <col min="14" max="14" width="16.625" style="929" customWidth="1"/>
    <col min="15" max="15" width="13.125" style="348" customWidth="1"/>
    <col min="16" max="17" width="9.375" style="348" customWidth="1"/>
  </cols>
  <sheetData>
    <row r="1" spans="1:13" ht="10.5" customHeight="1">
      <c r="A1" s="294"/>
      <c r="B1" s="295"/>
      <c r="C1" s="295"/>
      <c r="D1" s="377"/>
      <c r="E1" s="377"/>
      <c r="F1" s="377"/>
      <c r="G1" s="377"/>
      <c r="H1" s="377"/>
      <c r="K1" s="867" t="s">
        <v>856</v>
      </c>
      <c r="L1" s="928"/>
      <c r="M1" s="928"/>
    </row>
    <row r="2" spans="1:13" ht="10.5" customHeight="1">
      <c r="A2" s="294"/>
      <c r="B2" s="295"/>
      <c r="C2" s="295"/>
      <c r="D2" s="377"/>
      <c r="E2" s="377"/>
      <c r="F2" s="377"/>
      <c r="G2" s="377"/>
      <c r="H2" s="377"/>
      <c r="K2" s="867" t="s">
        <v>93</v>
      </c>
      <c r="L2" s="928"/>
      <c r="M2" s="928"/>
    </row>
    <row r="3" spans="1:13" ht="15">
      <c r="A3" s="294"/>
      <c r="B3" s="295"/>
      <c r="C3" s="295"/>
      <c r="D3" s="377"/>
      <c r="E3" s="377"/>
      <c r="F3" s="377"/>
      <c r="G3" s="377"/>
      <c r="H3" s="377"/>
      <c r="K3" s="868" t="s">
        <v>148</v>
      </c>
      <c r="L3" s="928"/>
      <c r="M3" s="928"/>
    </row>
    <row r="4" spans="1:17" s="15" customFormat="1" ht="20.25">
      <c r="A4" s="1899" t="s">
        <v>574</v>
      </c>
      <c r="B4" s="1899"/>
      <c r="C4" s="1899"/>
      <c r="D4" s="1899"/>
      <c r="E4" s="1899"/>
      <c r="F4" s="1899"/>
      <c r="G4" s="1899"/>
      <c r="H4" s="1899"/>
      <c r="I4" s="1899"/>
      <c r="J4" s="1899"/>
      <c r="K4" s="1899"/>
      <c r="L4" s="930"/>
      <c r="M4" s="930"/>
      <c r="N4" s="930"/>
      <c r="O4" s="878"/>
      <c r="P4" s="878"/>
      <c r="Q4" s="878"/>
    </row>
    <row r="5" spans="1:17" s="15" customFormat="1" ht="18">
      <c r="A5" s="1900" t="s">
        <v>585</v>
      </c>
      <c r="B5" s="1900"/>
      <c r="C5" s="1900"/>
      <c r="D5" s="1900"/>
      <c r="E5" s="1900"/>
      <c r="F5" s="1900"/>
      <c r="G5" s="1900"/>
      <c r="H5" s="1900"/>
      <c r="I5" s="1900"/>
      <c r="J5" s="1900"/>
      <c r="K5" s="1900"/>
      <c r="L5" s="931"/>
      <c r="M5" s="931"/>
      <c r="N5" s="931"/>
      <c r="O5" s="693"/>
      <c r="P5" s="693"/>
      <c r="Q5" s="693"/>
    </row>
    <row r="6" spans="1:14" ht="33" customHeight="1" thickBot="1">
      <c r="A6" s="294"/>
      <c r="B6" s="295"/>
      <c r="C6" s="295"/>
      <c r="D6" s="377"/>
      <c r="E6" s="377"/>
      <c r="F6" s="377"/>
      <c r="G6" s="377"/>
      <c r="H6" s="377"/>
      <c r="K6" s="13" t="s">
        <v>134</v>
      </c>
      <c r="L6" s="928"/>
      <c r="M6" s="928"/>
      <c r="N6" s="932" t="s">
        <v>134</v>
      </c>
    </row>
    <row r="7" spans="1:14" ht="30.75" customHeight="1">
      <c r="A7" s="229" t="s">
        <v>124</v>
      </c>
      <c r="B7" s="93" t="s">
        <v>125</v>
      </c>
      <c r="C7" s="1888" t="s">
        <v>568</v>
      </c>
      <c r="D7" s="1912"/>
      <c r="E7" s="1911"/>
      <c r="F7" s="1888" t="s">
        <v>569</v>
      </c>
      <c r="G7" s="1912"/>
      <c r="H7" s="1911"/>
      <c r="I7" s="1921" t="s">
        <v>65</v>
      </c>
      <c r="J7" s="1922"/>
      <c r="K7" s="1923"/>
      <c r="L7" s="1920"/>
      <c r="M7" s="1920"/>
      <c r="N7" s="1920"/>
    </row>
    <row r="8" spans="1:19" s="31" customFormat="1" ht="24.75" customHeight="1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933" t="s">
        <v>89</v>
      </c>
      <c r="M8" s="933" t="s">
        <v>128</v>
      </c>
      <c r="N8" s="933" t="s">
        <v>420</v>
      </c>
      <c r="O8" s="348"/>
      <c r="P8" s="348"/>
      <c r="Q8" s="1919"/>
      <c r="R8" s="1919"/>
      <c r="S8" s="1919"/>
    </row>
    <row r="9" spans="1:17" s="31" customFormat="1" ht="13.5" thickBot="1">
      <c r="A9" s="411">
        <v>1</v>
      </c>
      <c r="B9" s="411">
        <v>2</v>
      </c>
      <c r="C9" s="412">
        <v>3</v>
      </c>
      <c r="D9" s="413">
        <v>4</v>
      </c>
      <c r="E9" s="415">
        <v>5</v>
      </c>
      <c r="F9" s="413">
        <v>6</v>
      </c>
      <c r="G9" s="413">
        <v>7</v>
      </c>
      <c r="H9" s="415">
        <v>8</v>
      </c>
      <c r="I9" s="412">
        <v>9</v>
      </c>
      <c r="J9" s="413">
        <v>10</v>
      </c>
      <c r="K9" s="415">
        <v>11</v>
      </c>
      <c r="L9" s="1190"/>
      <c r="M9" s="1190"/>
      <c r="N9" s="1190"/>
      <c r="O9" s="348"/>
      <c r="P9" s="348"/>
      <c r="Q9" s="348"/>
    </row>
    <row r="10" spans="1:17" s="31" customFormat="1" ht="18.75" thickBot="1">
      <c r="A10" s="371"/>
      <c r="B10" s="416" t="s">
        <v>129</v>
      </c>
      <c r="C10" s="375"/>
      <c r="D10" s="376"/>
      <c r="E10" s="374"/>
      <c r="F10" s="375"/>
      <c r="G10" s="376"/>
      <c r="H10" s="374"/>
      <c r="I10" s="375"/>
      <c r="J10" s="376"/>
      <c r="K10" s="374"/>
      <c r="L10" s="1191"/>
      <c r="M10" s="1191"/>
      <c r="N10" s="1191"/>
      <c r="O10" s="233"/>
      <c r="P10" s="233"/>
      <c r="Q10" s="233"/>
    </row>
    <row r="11" spans="1:17" s="31" customFormat="1" ht="16.5" thickBot="1">
      <c r="A11" s="304">
        <v>1</v>
      </c>
      <c r="B11" s="296" t="s">
        <v>113</v>
      </c>
      <c r="C11" s="310"/>
      <c r="D11" s="305"/>
      <c r="E11" s="349">
        <f>SUM(C11:D11)</f>
        <v>0</v>
      </c>
      <c r="F11" s="305"/>
      <c r="G11" s="305"/>
      <c r="H11" s="349">
        <f>SUM(F11:G11)</f>
        <v>0</v>
      </c>
      <c r="I11" s="310"/>
      <c r="J11" s="305"/>
      <c r="K11" s="349">
        <f aca="true" t="shared" si="0" ref="K11:K16">SUM(I11:J11)</f>
        <v>0</v>
      </c>
      <c r="L11" s="936"/>
      <c r="M11" s="936"/>
      <c r="N11" s="936"/>
      <c r="O11" s="233"/>
      <c r="P11" s="233"/>
      <c r="Q11" s="233"/>
    </row>
    <row r="12" spans="1:17" s="28" customFormat="1" ht="16.5" thickBot="1">
      <c r="A12" s="308">
        <v>2</v>
      </c>
      <c r="B12" s="296" t="s">
        <v>202</v>
      </c>
      <c r="C12" s="307"/>
      <c r="D12" s="305"/>
      <c r="E12" s="349">
        <f>SUM(C12:D12)</f>
        <v>0</v>
      </c>
      <c r="F12" s="307"/>
      <c r="G12" s="305"/>
      <c r="H12" s="349">
        <f>SUM(F12:G12)</f>
        <v>0</v>
      </c>
      <c r="I12" s="310"/>
      <c r="J12" s="305"/>
      <c r="K12" s="349">
        <f t="shared" si="0"/>
        <v>0</v>
      </c>
      <c r="L12" s="934"/>
      <c r="M12" s="934"/>
      <c r="N12" s="934">
        <f>SUM(L12:M12)</f>
        <v>0</v>
      </c>
      <c r="O12" s="268"/>
      <c r="P12" s="268"/>
      <c r="Q12" s="268"/>
    </row>
    <row r="13" spans="1:17" s="15" customFormat="1" ht="16.5" thickBot="1">
      <c r="A13" s="308">
        <v>3</v>
      </c>
      <c r="B13" s="296" t="s">
        <v>116</v>
      </c>
      <c r="C13" s="307">
        <v>6000</v>
      </c>
      <c r="D13" s="305"/>
      <c r="E13" s="349">
        <f>SUM(C13:D13)</f>
        <v>6000</v>
      </c>
      <c r="F13" s="305"/>
      <c r="G13" s="305"/>
      <c r="H13" s="349">
        <f>SUM(F13:G13)</f>
        <v>0</v>
      </c>
      <c r="I13" s="310">
        <v>33534</v>
      </c>
      <c r="J13" s="305"/>
      <c r="K13" s="349">
        <f t="shared" si="0"/>
        <v>33534</v>
      </c>
      <c r="L13" s="934"/>
      <c r="M13" s="934"/>
      <c r="N13" s="934">
        <f>SUM(L13:M13)</f>
        <v>0</v>
      </c>
      <c r="O13" s="208"/>
      <c r="P13" s="208"/>
      <c r="Q13" s="208"/>
    </row>
    <row r="14" spans="1:17" s="15" customFormat="1" ht="16.5" thickBot="1">
      <c r="A14" s="308">
        <v>4</v>
      </c>
      <c r="B14" s="296" t="s">
        <v>172</v>
      </c>
      <c r="C14" s="307"/>
      <c r="D14" s="307"/>
      <c r="E14" s="311">
        <f>SUM(C14:D14)</f>
        <v>0</v>
      </c>
      <c r="F14" s="307"/>
      <c r="G14" s="307"/>
      <c r="H14" s="311">
        <f>SUM(F14:G14)</f>
        <v>0</v>
      </c>
      <c r="I14" s="310"/>
      <c r="J14" s="307"/>
      <c r="K14" s="311">
        <f t="shared" si="0"/>
        <v>0</v>
      </c>
      <c r="L14" s="934"/>
      <c r="M14" s="934"/>
      <c r="N14" s="934">
        <f>SUM(L14:M14)</f>
        <v>0</v>
      </c>
      <c r="O14" s="208"/>
      <c r="P14" s="208"/>
      <c r="Q14" s="208"/>
    </row>
    <row r="15" spans="1:17" ht="15">
      <c r="A15" s="163" t="s">
        <v>98</v>
      </c>
      <c r="B15" s="152" t="s">
        <v>370</v>
      </c>
      <c r="C15" s="224"/>
      <c r="D15" s="224"/>
      <c r="E15" s="380">
        <f>C15+D15</f>
        <v>0</v>
      </c>
      <c r="F15" s="224"/>
      <c r="G15" s="224"/>
      <c r="H15" s="380">
        <f>F15+G15</f>
        <v>0</v>
      </c>
      <c r="I15" s="226"/>
      <c r="J15" s="224"/>
      <c r="K15" s="380">
        <f t="shared" si="0"/>
        <v>0</v>
      </c>
      <c r="L15" s="935"/>
      <c r="M15" s="935"/>
      <c r="N15" s="935">
        <f>SUM(L15:M15)</f>
        <v>0</v>
      </c>
      <c r="O15" s="94"/>
      <c r="P15" s="94"/>
      <c r="Q15" s="94"/>
    </row>
    <row r="16" spans="1:17" ht="15">
      <c r="A16" s="160" t="s">
        <v>99</v>
      </c>
      <c r="B16" s="156" t="s">
        <v>554</v>
      </c>
      <c r="C16" s="146"/>
      <c r="D16" s="146"/>
      <c r="E16" s="380">
        <f>C16+D16</f>
        <v>0</v>
      </c>
      <c r="F16" s="146"/>
      <c r="G16" s="146"/>
      <c r="H16" s="380">
        <f>F16+G16</f>
        <v>0</v>
      </c>
      <c r="I16" s="150"/>
      <c r="J16" s="146"/>
      <c r="K16" s="380">
        <f t="shared" si="0"/>
        <v>0</v>
      </c>
      <c r="L16" s="935"/>
      <c r="M16" s="935"/>
      <c r="N16" s="935">
        <f>SUM(L16:M16)</f>
        <v>0</v>
      </c>
      <c r="O16" s="94"/>
      <c r="P16" s="94"/>
      <c r="Q16" s="94"/>
    </row>
    <row r="17" spans="1:17" ht="15">
      <c r="A17" s="160" t="s">
        <v>100</v>
      </c>
      <c r="B17" s="156" t="s">
        <v>555</v>
      </c>
      <c r="C17" s="146"/>
      <c r="D17" s="146"/>
      <c r="E17" s="380">
        <f aca="true" t="shared" si="1" ref="E17:E22">C17+D17</f>
        <v>0</v>
      </c>
      <c r="F17" s="146"/>
      <c r="G17" s="146"/>
      <c r="H17" s="380">
        <f aca="true" t="shared" si="2" ref="H17:H22">F17+G17</f>
        <v>0</v>
      </c>
      <c r="I17" s="150"/>
      <c r="J17" s="146"/>
      <c r="K17" s="380">
        <f aca="true" t="shared" si="3" ref="K17:K22">SUM(I17:J17)</f>
        <v>0</v>
      </c>
      <c r="L17" s="935"/>
      <c r="M17" s="935"/>
      <c r="N17" s="935">
        <f aca="true" t="shared" si="4" ref="N17:N22">SUM(L17:M17)</f>
        <v>0</v>
      </c>
      <c r="O17" s="94"/>
      <c r="P17" s="94"/>
      <c r="Q17" s="94"/>
    </row>
    <row r="18" spans="1:17" ht="15">
      <c r="A18" s="160" t="s">
        <v>101</v>
      </c>
      <c r="B18" s="156" t="s">
        <v>371</v>
      </c>
      <c r="C18" s="150"/>
      <c r="D18" s="146"/>
      <c r="E18" s="380">
        <f t="shared" si="1"/>
        <v>0</v>
      </c>
      <c r="F18" s="146"/>
      <c r="G18" s="146"/>
      <c r="H18" s="380">
        <f t="shared" si="2"/>
        <v>0</v>
      </c>
      <c r="I18" s="150"/>
      <c r="J18" s="146"/>
      <c r="K18" s="380">
        <f t="shared" si="3"/>
        <v>0</v>
      </c>
      <c r="L18" s="935"/>
      <c r="M18" s="935"/>
      <c r="N18" s="935">
        <f t="shared" si="4"/>
        <v>0</v>
      </c>
      <c r="O18" s="94"/>
      <c r="P18" s="94"/>
      <c r="Q18" s="94"/>
    </row>
    <row r="19" spans="1:17" ht="15">
      <c r="A19" s="155" t="s">
        <v>192</v>
      </c>
      <c r="B19" s="156" t="s">
        <v>556</v>
      </c>
      <c r="C19" s="881"/>
      <c r="D19" s="146"/>
      <c r="E19" s="227">
        <f>C19+D19</f>
        <v>0</v>
      </c>
      <c r="F19" s="146"/>
      <c r="G19" s="146"/>
      <c r="H19" s="380">
        <f>F19+G19</f>
        <v>0</v>
      </c>
      <c r="I19" s="150"/>
      <c r="J19" s="146"/>
      <c r="K19" s="380">
        <f>SUM(I19:J19)</f>
        <v>0</v>
      </c>
      <c r="L19" s="935"/>
      <c r="M19" s="935"/>
      <c r="N19" s="935">
        <f>SUM(L19:M19)</f>
        <v>0</v>
      </c>
      <c r="O19" s="94"/>
      <c r="P19" s="94"/>
      <c r="Q19" s="94"/>
    </row>
    <row r="20" spans="1:17" ht="15">
      <c r="A20" s="155" t="s">
        <v>327</v>
      </c>
      <c r="B20" s="156" t="s">
        <v>557</v>
      </c>
      <c r="C20" s="881"/>
      <c r="D20" s="146"/>
      <c r="E20" s="227">
        <f t="shared" si="1"/>
        <v>0</v>
      </c>
      <c r="F20" s="298"/>
      <c r="G20" s="146"/>
      <c r="H20" s="227">
        <f t="shared" si="2"/>
        <v>0</v>
      </c>
      <c r="I20" s="150"/>
      <c r="J20" s="146"/>
      <c r="K20" s="380">
        <f t="shared" si="3"/>
        <v>0</v>
      </c>
      <c r="L20" s="935"/>
      <c r="M20" s="935"/>
      <c r="N20" s="935">
        <f t="shared" si="4"/>
        <v>0</v>
      </c>
      <c r="O20" s="94"/>
      <c r="P20" s="94"/>
      <c r="Q20" s="94"/>
    </row>
    <row r="21" spans="1:17" ht="15">
      <c r="A21" s="155" t="s">
        <v>328</v>
      </c>
      <c r="B21" s="156" t="s">
        <v>372</v>
      </c>
      <c r="C21" s="862">
        <v>234048</v>
      </c>
      <c r="D21" s="224">
        <v>-734</v>
      </c>
      <c r="E21" s="227">
        <f t="shared" si="1"/>
        <v>233314</v>
      </c>
      <c r="F21" s="297">
        <v>319030</v>
      </c>
      <c r="G21" s="224"/>
      <c r="H21" s="227">
        <f t="shared" si="2"/>
        <v>319030</v>
      </c>
      <c r="I21" s="1070">
        <v>103155</v>
      </c>
      <c r="J21" s="146"/>
      <c r="K21" s="227">
        <f t="shared" si="3"/>
        <v>103155</v>
      </c>
      <c r="L21" s="935"/>
      <c r="M21" s="935"/>
      <c r="N21" s="935">
        <f t="shared" si="4"/>
        <v>0</v>
      </c>
      <c r="O21" s="94"/>
      <c r="P21" s="94"/>
      <c r="Q21" s="94"/>
    </row>
    <row r="22" spans="1:17" ht="15" customHeight="1" thickBot="1">
      <c r="A22" s="16" t="s">
        <v>69</v>
      </c>
      <c r="B22" s="325" t="s">
        <v>373</v>
      </c>
      <c r="C22" s="861"/>
      <c r="D22" s="158"/>
      <c r="E22" s="227">
        <f t="shared" si="1"/>
        <v>0</v>
      </c>
      <c r="F22" s="299"/>
      <c r="G22" s="158"/>
      <c r="H22" s="227">
        <f t="shared" si="2"/>
        <v>0</v>
      </c>
      <c r="I22" s="882"/>
      <c r="J22" s="158"/>
      <c r="K22" s="227">
        <f t="shared" si="3"/>
        <v>0</v>
      </c>
      <c r="L22" s="935"/>
      <c r="M22" s="935"/>
      <c r="N22" s="935">
        <f t="shared" si="4"/>
        <v>0</v>
      </c>
      <c r="O22" s="94"/>
      <c r="P22" s="94"/>
      <c r="Q22" s="94"/>
    </row>
    <row r="23" spans="1:17" s="15" customFormat="1" ht="16.5" thickBot="1">
      <c r="A23" s="308">
        <v>5</v>
      </c>
      <c r="B23" s="296" t="s">
        <v>171</v>
      </c>
      <c r="C23" s="338">
        <f aca="true" t="shared" si="5" ref="C23:N23">SUM(C15:C22)</f>
        <v>234048</v>
      </c>
      <c r="D23" s="305">
        <f t="shared" si="5"/>
        <v>-734</v>
      </c>
      <c r="E23" s="311">
        <f t="shared" si="5"/>
        <v>233314</v>
      </c>
      <c r="F23" s="321">
        <f t="shared" si="5"/>
        <v>319030</v>
      </c>
      <c r="G23" s="305">
        <f t="shared" si="5"/>
        <v>0</v>
      </c>
      <c r="H23" s="321">
        <f t="shared" si="5"/>
        <v>319030</v>
      </c>
      <c r="I23" s="338">
        <f t="shared" si="5"/>
        <v>103155</v>
      </c>
      <c r="J23" s="305">
        <f t="shared" si="5"/>
        <v>0</v>
      </c>
      <c r="K23" s="311">
        <f t="shared" si="5"/>
        <v>103155</v>
      </c>
      <c r="L23" s="934">
        <f t="shared" si="5"/>
        <v>0</v>
      </c>
      <c r="M23" s="934">
        <f t="shared" si="5"/>
        <v>0</v>
      </c>
      <c r="N23" s="934">
        <f t="shared" si="5"/>
        <v>0</v>
      </c>
      <c r="O23" s="208"/>
      <c r="P23" s="208"/>
      <c r="Q23" s="208"/>
    </row>
    <row r="24" spans="1:17" ht="16.5" thickBot="1">
      <c r="A24" s="304">
        <v>6</v>
      </c>
      <c r="B24" s="296" t="s">
        <v>174</v>
      </c>
      <c r="C24" s="309"/>
      <c r="D24" s="305"/>
      <c r="E24" s="311">
        <f aca="true" t="shared" si="6" ref="E24:E30">SUM(C24:D24)</f>
        <v>0</v>
      </c>
      <c r="F24" s="309"/>
      <c r="G24" s="305"/>
      <c r="H24" s="311">
        <f aca="true" t="shared" si="7" ref="H24:H30">SUM(F24:G24)</f>
        <v>0</v>
      </c>
      <c r="I24" s="338"/>
      <c r="J24" s="305"/>
      <c r="K24" s="311">
        <f aca="true" t="shared" si="8" ref="K24:K30">SUM(I24:J24)</f>
        <v>0</v>
      </c>
      <c r="L24" s="934"/>
      <c r="M24" s="934"/>
      <c r="N24" s="934">
        <f aca="true" t="shared" si="9" ref="N24:N30">SUM(L24:M24)</f>
        <v>0</v>
      </c>
      <c r="O24" s="94"/>
      <c r="P24" s="94"/>
      <c r="Q24" s="94"/>
    </row>
    <row r="25" spans="1:17" s="15" customFormat="1" ht="16.5" thickBot="1">
      <c r="A25" s="304">
        <v>7</v>
      </c>
      <c r="B25" s="296" t="s">
        <v>421</v>
      </c>
      <c r="C25" s="309"/>
      <c r="D25" s="305"/>
      <c r="E25" s="311">
        <f t="shared" si="6"/>
        <v>0</v>
      </c>
      <c r="F25" s="309"/>
      <c r="G25" s="305"/>
      <c r="H25" s="311">
        <f t="shared" si="7"/>
        <v>0</v>
      </c>
      <c r="I25" s="338"/>
      <c r="J25" s="305"/>
      <c r="K25" s="311">
        <f t="shared" si="8"/>
        <v>0</v>
      </c>
      <c r="L25" s="934"/>
      <c r="M25" s="934"/>
      <c r="N25" s="934">
        <f t="shared" si="9"/>
        <v>0</v>
      </c>
      <c r="O25" s="208"/>
      <c r="P25" s="208"/>
      <c r="Q25" s="208"/>
    </row>
    <row r="26" spans="1:17" ht="15">
      <c r="A26" s="163" t="s">
        <v>98</v>
      </c>
      <c r="B26" s="156" t="s">
        <v>560</v>
      </c>
      <c r="C26" s="297"/>
      <c r="D26" s="224"/>
      <c r="E26" s="227">
        <f t="shared" si="6"/>
        <v>0</v>
      </c>
      <c r="F26" s="297"/>
      <c r="G26" s="224"/>
      <c r="H26" s="227">
        <f t="shared" si="7"/>
        <v>0</v>
      </c>
      <c r="I26" s="1070"/>
      <c r="J26" s="224"/>
      <c r="K26" s="227">
        <f t="shared" si="8"/>
        <v>0</v>
      </c>
      <c r="L26" s="935"/>
      <c r="M26" s="935"/>
      <c r="N26" s="935">
        <f t="shared" si="9"/>
        <v>0</v>
      </c>
      <c r="O26" s="94"/>
      <c r="P26" s="94"/>
      <c r="Q26" s="94"/>
    </row>
    <row r="27" spans="1:17" ht="15">
      <c r="A27" s="163" t="s">
        <v>99</v>
      </c>
      <c r="B27" s="156" t="s">
        <v>558</v>
      </c>
      <c r="C27" s="297"/>
      <c r="D27" s="224"/>
      <c r="E27" s="227">
        <f t="shared" si="6"/>
        <v>0</v>
      </c>
      <c r="F27" s="297"/>
      <c r="G27" s="224"/>
      <c r="H27" s="227">
        <f t="shared" si="7"/>
        <v>0</v>
      </c>
      <c r="I27" s="1070"/>
      <c r="J27" s="224"/>
      <c r="K27" s="227">
        <f t="shared" si="8"/>
        <v>0</v>
      </c>
      <c r="L27" s="935"/>
      <c r="M27" s="935"/>
      <c r="N27" s="935">
        <f t="shared" si="9"/>
        <v>0</v>
      </c>
      <c r="O27" s="94"/>
      <c r="P27" s="94"/>
      <c r="Q27" s="94"/>
    </row>
    <row r="28" spans="1:17" ht="15">
      <c r="A28" s="163" t="s">
        <v>100</v>
      </c>
      <c r="B28" s="156" t="s">
        <v>374</v>
      </c>
      <c r="C28" s="297"/>
      <c r="D28" s="224">
        <v>6019</v>
      </c>
      <c r="E28" s="227">
        <f t="shared" si="6"/>
        <v>6019</v>
      </c>
      <c r="F28" s="297"/>
      <c r="G28" s="224"/>
      <c r="H28" s="227">
        <f t="shared" si="7"/>
        <v>0</v>
      </c>
      <c r="I28" s="1070"/>
      <c r="J28" s="224"/>
      <c r="K28" s="227">
        <f t="shared" si="8"/>
        <v>0</v>
      </c>
      <c r="L28" s="935"/>
      <c r="M28" s="935"/>
      <c r="N28" s="935">
        <f t="shared" si="9"/>
        <v>0</v>
      </c>
      <c r="O28" s="94"/>
      <c r="P28" s="94"/>
      <c r="Q28" s="94"/>
    </row>
    <row r="29" spans="1:17" ht="15">
      <c r="A29" s="163" t="s">
        <v>101</v>
      </c>
      <c r="B29" s="156" t="s">
        <v>559</v>
      </c>
      <c r="C29" s="297"/>
      <c r="D29" s="224"/>
      <c r="E29" s="227">
        <f t="shared" si="6"/>
        <v>0</v>
      </c>
      <c r="F29" s="297"/>
      <c r="G29" s="224"/>
      <c r="H29" s="227">
        <f t="shared" si="7"/>
        <v>0</v>
      </c>
      <c r="I29" s="1070"/>
      <c r="J29" s="224"/>
      <c r="K29" s="227">
        <f t="shared" si="8"/>
        <v>0</v>
      </c>
      <c r="L29" s="935"/>
      <c r="M29" s="935"/>
      <c r="N29" s="935">
        <f t="shared" si="9"/>
        <v>0</v>
      </c>
      <c r="O29" s="94"/>
      <c r="P29" s="94"/>
      <c r="Q29" s="94"/>
    </row>
    <row r="30" spans="1:17" ht="15.75" thickBot="1">
      <c r="A30" s="326" t="s">
        <v>192</v>
      </c>
      <c r="B30" s="156" t="s">
        <v>375</v>
      </c>
      <c r="C30" s="320"/>
      <c r="D30" s="312">
        <v>370734</v>
      </c>
      <c r="E30" s="315">
        <f t="shared" si="6"/>
        <v>370734</v>
      </c>
      <c r="F30" s="320"/>
      <c r="G30" s="312"/>
      <c r="H30" s="315">
        <f t="shared" si="7"/>
        <v>0</v>
      </c>
      <c r="I30" s="1071"/>
      <c r="J30" s="312"/>
      <c r="K30" s="315">
        <f t="shared" si="8"/>
        <v>0</v>
      </c>
      <c r="L30" s="935"/>
      <c r="M30" s="935"/>
      <c r="N30" s="935">
        <f t="shared" si="9"/>
        <v>0</v>
      </c>
      <c r="O30" s="94"/>
      <c r="P30" s="94"/>
      <c r="Q30" s="94"/>
    </row>
    <row r="31" spans="1:17" s="15" customFormat="1" ht="16.5" thickBot="1">
      <c r="A31" s="304">
        <v>8</v>
      </c>
      <c r="B31" s="296" t="s">
        <v>173</v>
      </c>
      <c r="C31" s="309">
        <f aca="true" t="shared" si="10" ref="C31:N31">SUM(C26:C30)</f>
        <v>0</v>
      </c>
      <c r="D31" s="305">
        <f t="shared" si="10"/>
        <v>376753</v>
      </c>
      <c r="E31" s="321">
        <f t="shared" si="10"/>
        <v>376753</v>
      </c>
      <c r="F31" s="338">
        <f t="shared" si="10"/>
        <v>0</v>
      </c>
      <c r="G31" s="305">
        <f t="shared" si="10"/>
        <v>0</v>
      </c>
      <c r="H31" s="311">
        <f t="shared" si="10"/>
        <v>0</v>
      </c>
      <c r="I31" s="338">
        <f t="shared" si="10"/>
        <v>0</v>
      </c>
      <c r="J31" s="305">
        <f t="shared" si="10"/>
        <v>0</v>
      </c>
      <c r="K31" s="311">
        <f t="shared" si="10"/>
        <v>0</v>
      </c>
      <c r="L31" s="934">
        <f t="shared" si="10"/>
        <v>0</v>
      </c>
      <c r="M31" s="934">
        <f t="shared" si="10"/>
        <v>0</v>
      </c>
      <c r="N31" s="934">
        <f t="shared" si="10"/>
        <v>0</v>
      </c>
      <c r="O31" s="208"/>
      <c r="P31" s="208"/>
      <c r="Q31" s="208"/>
    </row>
    <row r="32" spans="1:17" ht="16.5" thickBot="1">
      <c r="A32" s="304">
        <v>9</v>
      </c>
      <c r="B32" s="296" t="s">
        <v>179</v>
      </c>
      <c r="C32" s="309"/>
      <c r="D32" s="305"/>
      <c r="E32" s="311">
        <f>SUM(C32:D32)</f>
        <v>0</v>
      </c>
      <c r="F32" s="309"/>
      <c r="G32" s="305"/>
      <c r="H32" s="311">
        <f>SUM(F32:G32)</f>
        <v>0</v>
      </c>
      <c r="I32" s="338"/>
      <c r="J32" s="305"/>
      <c r="K32" s="311">
        <f>SUM(I32:J32)</f>
        <v>0</v>
      </c>
      <c r="L32" s="934"/>
      <c r="M32" s="934"/>
      <c r="N32" s="934">
        <f>SUM(L32:M32)</f>
        <v>0</v>
      </c>
      <c r="O32" s="94"/>
      <c r="P32" s="94"/>
      <c r="Q32" s="94"/>
    </row>
    <row r="33" spans="1:17" s="34" customFormat="1" ht="16.5" thickBot="1">
      <c r="A33" s="358">
        <v>10</v>
      </c>
      <c r="B33" s="359"/>
      <c r="C33" s="165"/>
      <c r="D33" s="360"/>
      <c r="E33" s="1102">
        <f>SUM(C33:D33)</f>
        <v>0</v>
      </c>
      <c r="F33" s="165"/>
      <c r="G33" s="360"/>
      <c r="H33" s="1102">
        <f>SUM(F33:G33)</f>
        <v>0</v>
      </c>
      <c r="I33" s="165"/>
      <c r="J33" s="360"/>
      <c r="K33" s="1102">
        <f>SUM(I33:J33)</f>
        <v>0</v>
      </c>
      <c r="L33" s="936"/>
      <c r="M33" s="936"/>
      <c r="N33" s="936">
        <f>SUM(L33:M33)</f>
        <v>0</v>
      </c>
      <c r="O33" s="159"/>
      <c r="P33" s="159"/>
      <c r="Q33" s="159"/>
    </row>
    <row r="34" spans="1:17" s="37" customFormat="1" ht="16.5" customHeight="1" thickBot="1" thickTop="1">
      <c r="A34" s="334" t="s">
        <v>108</v>
      </c>
      <c r="B34" s="357" t="s">
        <v>180</v>
      </c>
      <c r="C34" s="356">
        <f aca="true" t="shared" si="11" ref="C34:K34">C11+C12+C13+C23+C14+C31+C25+C24+C32+C33</f>
        <v>240048</v>
      </c>
      <c r="D34" s="335">
        <f t="shared" si="11"/>
        <v>376019</v>
      </c>
      <c r="E34" s="354">
        <f t="shared" si="11"/>
        <v>616067</v>
      </c>
      <c r="F34" s="356">
        <f t="shared" si="11"/>
        <v>319030</v>
      </c>
      <c r="G34" s="335">
        <f t="shared" si="11"/>
        <v>0</v>
      </c>
      <c r="H34" s="354">
        <f t="shared" si="11"/>
        <v>319030</v>
      </c>
      <c r="I34" s="356">
        <f t="shared" si="11"/>
        <v>136689</v>
      </c>
      <c r="J34" s="335">
        <f t="shared" si="11"/>
        <v>0</v>
      </c>
      <c r="K34" s="365">
        <f t="shared" si="11"/>
        <v>136689</v>
      </c>
      <c r="L34" s="936"/>
      <c r="M34" s="936"/>
      <c r="N34" s="936"/>
      <c r="O34" s="167"/>
      <c r="P34" s="167"/>
      <c r="Q34" s="167"/>
    </row>
    <row r="35" spans="1:18" ht="17.25" thickBot="1" thickTop="1">
      <c r="A35" s="151"/>
      <c r="B35" s="337" t="s">
        <v>131</v>
      </c>
      <c r="C35" s="910"/>
      <c r="D35" s="293"/>
      <c r="E35" s="1103"/>
      <c r="F35" s="910"/>
      <c r="G35" s="293"/>
      <c r="H35" s="1103"/>
      <c r="I35" s="1072"/>
      <c r="J35" s="293"/>
      <c r="K35" s="1103"/>
      <c r="L35" s="1192"/>
      <c r="M35" s="1192"/>
      <c r="N35" s="1192"/>
      <c r="O35" s="233"/>
      <c r="P35" s="233"/>
      <c r="Q35" s="233"/>
      <c r="R35" s="31"/>
    </row>
    <row r="36" spans="1:17" s="731" customFormat="1" ht="15">
      <c r="A36" s="738" t="s">
        <v>98</v>
      </c>
      <c r="B36" s="739" t="s">
        <v>376</v>
      </c>
      <c r="C36" s="1080"/>
      <c r="D36" s="740"/>
      <c r="E36" s="745">
        <f aca="true" t="shared" si="12" ref="E36:E44">SUM(C36:D36)</f>
        <v>0</v>
      </c>
      <c r="F36" s="1341">
        <v>209030</v>
      </c>
      <c r="G36" s="740"/>
      <c r="H36" s="745">
        <f aca="true" t="shared" si="13" ref="H36:H44">SUM(F36:G36)</f>
        <v>209030</v>
      </c>
      <c r="I36" s="1080"/>
      <c r="J36" s="740"/>
      <c r="K36" s="745">
        <f aca="true" t="shared" si="14" ref="K36:K44">SUM(I36:J36)</f>
        <v>0</v>
      </c>
      <c r="L36" s="935"/>
      <c r="M36" s="935"/>
      <c r="N36" s="935">
        <f aca="true" t="shared" si="15" ref="N36:N44">SUM(L36:M36)</f>
        <v>0</v>
      </c>
      <c r="O36" s="729"/>
      <c r="P36" s="729"/>
      <c r="Q36" s="729"/>
    </row>
    <row r="37" spans="1:17" s="731" customFormat="1" ht="15">
      <c r="A37" s="160" t="s">
        <v>99</v>
      </c>
      <c r="B37" s="156" t="s">
        <v>235</v>
      </c>
      <c r="C37" s="881"/>
      <c r="D37" s="146"/>
      <c r="E37" s="169">
        <f t="shared" si="12"/>
        <v>0</v>
      </c>
      <c r="F37" s="860"/>
      <c r="G37" s="146"/>
      <c r="H37" s="169">
        <f t="shared" si="13"/>
        <v>0</v>
      </c>
      <c r="I37" s="881"/>
      <c r="J37" s="146"/>
      <c r="K37" s="169">
        <f t="shared" si="14"/>
        <v>0</v>
      </c>
      <c r="L37" s="935"/>
      <c r="M37" s="935"/>
      <c r="N37" s="935">
        <f t="shared" si="15"/>
        <v>0</v>
      </c>
      <c r="O37" s="729"/>
      <c r="P37" s="729"/>
      <c r="Q37" s="729"/>
    </row>
    <row r="38" spans="1:17" s="731" customFormat="1" ht="15">
      <c r="A38" s="326" t="s">
        <v>100</v>
      </c>
      <c r="B38" s="149" t="s">
        <v>377</v>
      </c>
      <c r="C38" s="1071"/>
      <c r="D38" s="312"/>
      <c r="E38" s="315">
        <f t="shared" si="12"/>
        <v>0</v>
      </c>
      <c r="F38" s="164"/>
      <c r="G38" s="312"/>
      <c r="H38" s="315">
        <f t="shared" si="13"/>
        <v>0</v>
      </c>
      <c r="I38" s="1071"/>
      <c r="J38" s="312"/>
      <c r="K38" s="315">
        <f t="shared" si="14"/>
        <v>0</v>
      </c>
      <c r="L38" s="935"/>
      <c r="M38" s="935"/>
      <c r="N38" s="935">
        <f t="shared" si="15"/>
        <v>0</v>
      </c>
      <c r="O38" s="729"/>
      <c r="P38" s="729"/>
      <c r="Q38" s="729"/>
    </row>
    <row r="39" spans="1:17" s="731" customFormat="1" ht="15.75" thickBot="1">
      <c r="A39" s="161" t="s">
        <v>101</v>
      </c>
      <c r="B39" s="162" t="s">
        <v>381</v>
      </c>
      <c r="C39" s="882"/>
      <c r="D39" s="158"/>
      <c r="E39" s="237">
        <f t="shared" si="12"/>
        <v>0</v>
      </c>
      <c r="F39" s="861"/>
      <c r="G39" s="158"/>
      <c r="H39" s="237">
        <f t="shared" si="13"/>
        <v>0</v>
      </c>
      <c r="I39" s="882"/>
      <c r="J39" s="158"/>
      <c r="K39" s="237">
        <f t="shared" si="14"/>
        <v>0</v>
      </c>
      <c r="L39" s="935"/>
      <c r="M39" s="935"/>
      <c r="N39" s="935">
        <f t="shared" si="15"/>
        <v>0</v>
      </c>
      <c r="O39" s="729"/>
      <c r="P39" s="729"/>
      <c r="Q39" s="729"/>
    </row>
    <row r="40" spans="1:17" s="15" customFormat="1" ht="16.5" thickBot="1">
      <c r="A40" s="304">
        <v>1</v>
      </c>
      <c r="B40" s="296" t="s">
        <v>177</v>
      </c>
      <c r="C40" s="338">
        <f aca="true" t="shared" si="16" ref="C40:N40">SUM(C36:C39)</f>
        <v>0</v>
      </c>
      <c r="D40" s="305">
        <f t="shared" si="16"/>
        <v>0</v>
      </c>
      <c r="E40" s="311">
        <f t="shared" si="16"/>
        <v>0</v>
      </c>
      <c r="F40" s="338">
        <f t="shared" si="16"/>
        <v>209030</v>
      </c>
      <c r="G40" s="305">
        <f t="shared" si="16"/>
        <v>0</v>
      </c>
      <c r="H40" s="311">
        <f t="shared" si="16"/>
        <v>209030</v>
      </c>
      <c r="I40" s="338">
        <f t="shared" si="16"/>
        <v>0</v>
      </c>
      <c r="J40" s="305">
        <f t="shared" si="16"/>
        <v>0</v>
      </c>
      <c r="K40" s="311">
        <f t="shared" si="16"/>
        <v>0</v>
      </c>
      <c r="L40" s="934">
        <f t="shared" si="16"/>
        <v>0</v>
      </c>
      <c r="M40" s="934">
        <f t="shared" si="16"/>
        <v>0</v>
      </c>
      <c r="N40" s="934">
        <f t="shared" si="16"/>
        <v>0</v>
      </c>
      <c r="O40" s="208"/>
      <c r="P40" s="208"/>
      <c r="Q40" s="208"/>
    </row>
    <row r="41" spans="1:17" ht="15">
      <c r="A41" s="163" t="s">
        <v>98</v>
      </c>
      <c r="B41" s="152" t="s">
        <v>403</v>
      </c>
      <c r="C41" s="1070"/>
      <c r="D41" s="224"/>
      <c r="E41" s="227">
        <f t="shared" si="12"/>
        <v>0</v>
      </c>
      <c r="F41" s="862"/>
      <c r="G41" s="224"/>
      <c r="H41" s="227">
        <f t="shared" si="13"/>
        <v>0</v>
      </c>
      <c r="I41" s="1070"/>
      <c r="J41" s="224"/>
      <c r="K41" s="227">
        <f t="shared" si="14"/>
        <v>0</v>
      </c>
      <c r="L41" s="935"/>
      <c r="M41" s="935"/>
      <c r="N41" s="935">
        <f t="shared" si="15"/>
        <v>0</v>
      </c>
      <c r="O41" s="94"/>
      <c r="P41" s="94"/>
      <c r="Q41" s="94"/>
    </row>
    <row r="42" spans="1:17" ht="15">
      <c r="A42" s="160" t="s">
        <v>99</v>
      </c>
      <c r="B42" s="156" t="s">
        <v>378</v>
      </c>
      <c r="C42" s="881"/>
      <c r="D42" s="146"/>
      <c r="E42" s="169">
        <f t="shared" si="12"/>
        <v>0</v>
      </c>
      <c r="F42" s="860"/>
      <c r="G42" s="146"/>
      <c r="H42" s="169">
        <f t="shared" si="13"/>
        <v>0</v>
      </c>
      <c r="I42" s="881"/>
      <c r="J42" s="146"/>
      <c r="K42" s="169">
        <f t="shared" si="14"/>
        <v>0</v>
      </c>
      <c r="L42" s="935"/>
      <c r="M42" s="935"/>
      <c r="N42" s="935">
        <f t="shared" si="15"/>
        <v>0</v>
      </c>
      <c r="O42" s="94"/>
      <c r="P42" s="94"/>
      <c r="Q42" s="94"/>
    </row>
    <row r="43" spans="1:17" ht="15">
      <c r="A43" s="160" t="s">
        <v>100</v>
      </c>
      <c r="B43" s="156" t="s">
        <v>379</v>
      </c>
      <c r="C43" s="881"/>
      <c r="D43" s="146"/>
      <c r="E43" s="169">
        <f t="shared" si="12"/>
        <v>0</v>
      </c>
      <c r="F43" s="860"/>
      <c r="G43" s="146"/>
      <c r="H43" s="169">
        <f t="shared" si="13"/>
        <v>0</v>
      </c>
      <c r="I43" s="881"/>
      <c r="J43" s="146"/>
      <c r="K43" s="169">
        <f t="shared" si="14"/>
        <v>0</v>
      </c>
      <c r="L43" s="935"/>
      <c r="M43" s="935"/>
      <c r="N43" s="935">
        <f t="shared" si="15"/>
        <v>0</v>
      </c>
      <c r="O43" s="94"/>
      <c r="P43" s="94"/>
      <c r="Q43" s="94"/>
    </row>
    <row r="44" spans="1:17" ht="15.75" thickBot="1">
      <c r="A44" s="161" t="s">
        <v>101</v>
      </c>
      <c r="B44" s="162" t="s">
        <v>175</v>
      </c>
      <c r="C44" s="882"/>
      <c r="D44" s="158"/>
      <c r="E44" s="237">
        <f t="shared" si="12"/>
        <v>0</v>
      </c>
      <c r="F44" s="861"/>
      <c r="G44" s="158"/>
      <c r="H44" s="237">
        <f t="shared" si="13"/>
        <v>0</v>
      </c>
      <c r="I44" s="882"/>
      <c r="J44" s="158"/>
      <c r="K44" s="237">
        <f t="shared" si="14"/>
        <v>0</v>
      </c>
      <c r="L44" s="935"/>
      <c r="M44" s="935"/>
      <c r="N44" s="935">
        <f t="shared" si="15"/>
        <v>0</v>
      </c>
      <c r="O44" s="94"/>
      <c r="P44" s="94"/>
      <c r="Q44" s="94"/>
    </row>
    <row r="45" spans="1:17" s="937" customFormat="1" ht="16.5" thickBot="1">
      <c r="A45" s="304">
        <v>2</v>
      </c>
      <c r="B45" s="296" t="s">
        <v>176</v>
      </c>
      <c r="C45" s="338">
        <f>SUM(C41:C44)</f>
        <v>0</v>
      </c>
      <c r="D45" s="305">
        <f aca="true" t="shared" si="17" ref="D45:N45">SUM(D41:D44)</f>
        <v>0</v>
      </c>
      <c r="E45" s="321">
        <f t="shared" si="17"/>
        <v>0</v>
      </c>
      <c r="F45" s="338">
        <f t="shared" si="17"/>
        <v>0</v>
      </c>
      <c r="G45" s="305">
        <f t="shared" si="17"/>
        <v>0</v>
      </c>
      <c r="H45" s="321">
        <f t="shared" si="17"/>
        <v>0</v>
      </c>
      <c r="I45" s="338">
        <f t="shared" si="17"/>
        <v>0</v>
      </c>
      <c r="J45" s="305">
        <f t="shared" si="17"/>
        <v>0</v>
      </c>
      <c r="K45" s="311">
        <f t="shared" si="17"/>
        <v>0</v>
      </c>
      <c r="L45" s="934">
        <f t="shared" si="17"/>
        <v>0</v>
      </c>
      <c r="M45" s="934">
        <f t="shared" si="17"/>
        <v>0</v>
      </c>
      <c r="N45" s="934">
        <f t="shared" si="17"/>
        <v>0</v>
      </c>
      <c r="O45" s="273"/>
      <c r="P45" s="273"/>
      <c r="Q45" s="273"/>
    </row>
    <row r="46" spans="1:17" s="937" customFormat="1" ht="16.5" thickBot="1">
      <c r="A46" s="304">
        <v>3</v>
      </c>
      <c r="B46" s="296" t="s">
        <v>254</v>
      </c>
      <c r="C46" s="338"/>
      <c r="D46" s="305"/>
      <c r="E46" s="307">
        <f>SUM(C46:D46)</f>
        <v>0</v>
      </c>
      <c r="F46" s="338"/>
      <c r="G46" s="305"/>
      <c r="H46" s="307">
        <f>SUM(F46:G46)</f>
        <v>0</v>
      </c>
      <c r="I46" s="338"/>
      <c r="J46" s="305"/>
      <c r="K46" s="311">
        <f>SUM(I46:J46)</f>
        <v>0</v>
      </c>
      <c r="L46" s="934"/>
      <c r="M46" s="934"/>
      <c r="N46" s="934">
        <f>SUM(L46:M46)</f>
        <v>0</v>
      </c>
      <c r="O46" s="273"/>
      <c r="P46" s="273"/>
      <c r="Q46" s="273"/>
    </row>
    <row r="47" spans="1:17" s="938" customFormat="1" ht="16.5" thickBot="1">
      <c r="A47" s="304">
        <v>4</v>
      </c>
      <c r="B47" s="296" t="s">
        <v>275</v>
      </c>
      <c r="C47" s="338">
        <v>2197</v>
      </c>
      <c r="D47" s="305"/>
      <c r="E47" s="307">
        <f>SUM(C47:D47)</f>
        <v>2197</v>
      </c>
      <c r="F47" s="338"/>
      <c r="G47" s="305"/>
      <c r="H47" s="307">
        <f>SUM(F47:G47)</f>
        <v>0</v>
      </c>
      <c r="I47" s="338"/>
      <c r="J47" s="305"/>
      <c r="K47" s="311">
        <f>SUM(I47:J47)</f>
        <v>0</v>
      </c>
      <c r="L47" s="934"/>
      <c r="M47" s="934"/>
      <c r="N47" s="934">
        <f>SUM(L47:M47)</f>
        <v>0</v>
      </c>
      <c r="O47" s="522"/>
      <c r="P47" s="522"/>
      <c r="Q47" s="522"/>
    </row>
    <row r="48" spans="1:17" s="731" customFormat="1" ht="15">
      <c r="A48" s="163" t="s">
        <v>98</v>
      </c>
      <c r="B48" s="149" t="s">
        <v>281</v>
      </c>
      <c r="C48" s="1070"/>
      <c r="D48" s="224"/>
      <c r="E48" s="227">
        <f>SUM(C48:D48)</f>
        <v>0</v>
      </c>
      <c r="F48" s="862"/>
      <c r="G48" s="224"/>
      <c r="H48" s="227">
        <f>SUM(F48:G48)</f>
        <v>0</v>
      </c>
      <c r="I48" s="1070"/>
      <c r="J48" s="224"/>
      <c r="K48" s="227">
        <f>SUM(I48:J48)</f>
        <v>0</v>
      </c>
      <c r="L48" s="935"/>
      <c r="M48" s="935"/>
      <c r="N48" s="935">
        <f>SUM(L48:M48)</f>
        <v>0</v>
      </c>
      <c r="O48" s="729"/>
      <c r="P48" s="729"/>
      <c r="Q48" s="729"/>
    </row>
    <row r="49" spans="1:17" ht="15">
      <c r="A49" s="161" t="s">
        <v>99</v>
      </c>
      <c r="B49" s="325" t="s">
        <v>380</v>
      </c>
      <c r="C49" s="881"/>
      <c r="D49" s="146"/>
      <c r="E49" s="169">
        <f>SUM(C49:D49)</f>
        <v>0</v>
      </c>
      <c r="F49" s="860"/>
      <c r="G49" s="146"/>
      <c r="H49" s="169">
        <f>SUM(F49:G49)</f>
        <v>0</v>
      </c>
      <c r="I49" s="881"/>
      <c r="J49" s="146"/>
      <c r="K49" s="169">
        <f>SUM(I49:J49)</f>
        <v>0</v>
      </c>
      <c r="L49" s="935"/>
      <c r="M49" s="935"/>
      <c r="N49" s="935">
        <f>SUM(L49:M49)</f>
        <v>0</v>
      </c>
      <c r="O49" s="94"/>
      <c r="P49" s="94"/>
      <c r="Q49" s="94"/>
    </row>
    <row r="50" spans="1:17" ht="15.75" thickBot="1">
      <c r="A50" s="161" t="s">
        <v>100</v>
      </c>
      <c r="B50" s="325" t="s">
        <v>413</v>
      </c>
      <c r="C50" s="881"/>
      <c r="D50" s="146">
        <v>350000</v>
      </c>
      <c r="E50" s="169">
        <f>SUM(C50:D50)</f>
        <v>350000</v>
      </c>
      <c r="F50" s="860"/>
      <c r="G50" s="146"/>
      <c r="H50" s="169">
        <f>SUM(F50:G50)</f>
        <v>0</v>
      </c>
      <c r="I50" s="881"/>
      <c r="J50" s="146"/>
      <c r="K50" s="169">
        <f>SUM(I50:J50)</f>
        <v>0</v>
      </c>
      <c r="L50" s="935"/>
      <c r="M50" s="935"/>
      <c r="N50" s="935">
        <f>SUM(L50:M50)</f>
        <v>0</v>
      </c>
      <c r="O50" s="94"/>
      <c r="P50" s="94"/>
      <c r="Q50" s="94"/>
    </row>
    <row r="51" spans="1:17" s="15" customFormat="1" ht="16.5" thickBot="1">
      <c r="A51" s="304">
        <v>5</v>
      </c>
      <c r="B51" s="428" t="s">
        <v>178</v>
      </c>
      <c r="C51" s="338">
        <f>SUM(C48:C50)</f>
        <v>0</v>
      </c>
      <c r="D51" s="305">
        <f>SUM(D48:D50)</f>
        <v>350000</v>
      </c>
      <c r="E51" s="307">
        <f aca="true" t="shared" si="18" ref="E51:N51">SUM(E48:E50)</f>
        <v>350000</v>
      </c>
      <c r="F51" s="338">
        <f t="shared" si="18"/>
        <v>0</v>
      </c>
      <c r="G51" s="305">
        <f t="shared" si="18"/>
        <v>0</v>
      </c>
      <c r="H51" s="307">
        <f t="shared" si="18"/>
        <v>0</v>
      </c>
      <c r="I51" s="338">
        <f t="shared" si="18"/>
        <v>0</v>
      </c>
      <c r="J51" s="305">
        <f t="shared" si="18"/>
        <v>0</v>
      </c>
      <c r="K51" s="311">
        <f t="shared" si="18"/>
        <v>0</v>
      </c>
      <c r="L51" s="934">
        <f t="shared" si="18"/>
        <v>0</v>
      </c>
      <c r="M51" s="934">
        <f t="shared" si="18"/>
        <v>0</v>
      </c>
      <c r="N51" s="934">
        <f t="shared" si="18"/>
        <v>0</v>
      </c>
      <c r="O51" s="208"/>
      <c r="P51" s="208"/>
      <c r="Q51" s="208"/>
    </row>
    <row r="52" spans="1:17" s="15" customFormat="1" ht="16.5" thickBot="1">
      <c r="A52" s="734">
        <v>6</v>
      </c>
      <c r="B52" s="736" t="s">
        <v>285</v>
      </c>
      <c r="C52" s="1073"/>
      <c r="D52" s="330"/>
      <c r="E52" s="323">
        <f>SUM(C52:D52)</f>
        <v>0</v>
      </c>
      <c r="F52" s="324"/>
      <c r="G52" s="330"/>
      <c r="H52" s="323">
        <f>SUM(F52:G52)</f>
        <v>0</v>
      </c>
      <c r="I52" s="1079"/>
      <c r="J52" s="330"/>
      <c r="K52" s="323">
        <f>SUM(I52:J52)</f>
        <v>0</v>
      </c>
      <c r="L52" s="934"/>
      <c r="M52" s="934"/>
      <c r="N52" s="934">
        <f>SUM(L52:M52)</f>
        <v>0</v>
      </c>
      <c r="O52" s="208"/>
      <c r="P52" s="208"/>
      <c r="Q52" s="208"/>
    </row>
    <row r="53" spans="1:17" ht="15">
      <c r="A53" s="144" t="s">
        <v>98</v>
      </c>
      <c r="B53" s="430" t="s">
        <v>382</v>
      </c>
      <c r="C53" s="1074"/>
      <c r="D53" s="147"/>
      <c r="E53" s="203">
        <f>SUM(C53:D53)</f>
        <v>0</v>
      </c>
      <c r="F53" s="864"/>
      <c r="G53" s="147"/>
      <c r="H53" s="203">
        <f>SUM(F53:G53)</f>
        <v>0</v>
      </c>
      <c r="I53" s="1074"/>
      <c r="J53" s="147"/>
      <c r="K53" s="203">
        <f>SUM(I53:J53)</f>
        <v>0</v>
      </c>
      <c r="L53" s="935"/>
      <c r="M53" s="935"/>
      <c r="N53" s="935">
        <f>SUM(L53:M53)</f>
        <v>0</v>
      </c>
      <c r="O53" s="94"/>
      <c r="P53" s="94"/>
      <c r="Q53" s="94"/>
    </row>
    <row r="54" spans="1:17" ht="15.75" thickBot="1">
      <c r="A54" s="326" t="s">
        <v>99</v>
      </c>
      <c r="B54" s="429" t="s">
        <v>383</v>
      </c>
      <c r="C54" s="1071">
        <v>1928</v>
      </c>
      <c r="D54" s="312">
        <v>6019</v>
      </c>
      <c r="E54" s="315">
        <f>SUM(C54:D54)</f>
        <v>7947</v>
      </c>
      <c r="F54" s="164"/>
      <c r="G54" s="312"/>
      <c r="H54" s="315">
        <f>SUM(F54:G54)</f>
        <v>0</v>
      </c>
      <c r="I54" s="1071"/>
      <c r="J54" s="312"/>
      <c r="K54" s="315">
        <f>SUM(I54:J54)</f>
        <v>0</v>
      </c>
      <c r="L54" s="935"/>
      <c r="M54" s="935"/>
      <c r="N54" s="935">
        <f>SUM(L54:M54)</f>
        <v>0</v>
      </c>
      <c r="O54" s="94"/>
      <c r="P54" s="94"/>
      <c r="Q54" s="94"/>
    </row>
    <row r="55" spans="1:17" s="15" customFormat="1" ht="17.25" customHeight="1" thickBot="1">
      <c r="A55" s="304">
        <v>7</v>
      </c>
      <c r="B55" s="428" t="s">
        <v>181</v>
      </c>
      <c r="C55" s="338">
        <f>SUM(C53:C54)</f>
        <v>1928</v>
      </c>
      <c r="D55" s="305">
        <f aca="true" t="shared" si="19" ref="D55:N55">SUM(D53:D54)</f>
        <v>6019</v>
      </c>
      <c r="E55" s="307">
        <f t="shared" si="19"/>
        <v>7947</v>
      </c>
      <c r="F55" s="338">
        <f t="shared" si="19"/>
        <v>0</v>
      </c>
      <c r="G55" s="305">
        <f t="shared" si="19"/>
        <v>0</v>
      </c>
      <c r="H55" s="307">
        <f t="shared" si="19"/>
        <v>0</v>
      </c>
      <c r="I55" s="338">
        <f t="shared" si="19"/>
        <v>0</v>
      </c>
      <c r="J55" s="305">
        <f t="shared" si="19"/>
        <v>0</v>
      </c>
      <c r="K55" s="311">
        <f t="shared" si="19"/>
        <v>0</v>
      </c>
      <c r="L55" s="934">
        <f t="shared" si="19"/>
        <v>0</v>
      </c>
      <c r="M55" s="934">
        <f t="shared" si="19"/>
        <v>0</v>
      </c>
      <c r="N55" s="934">
        <f t="shared" si="19"/>
        <v>0</v>
      </c>
      <c r="O55" s="208"/>
      <c r="P55" s="208"/>
      <c r="Q55" s="208"/>
    </row>
    <row r="56" spans="1:17" s="28" customFormat="1" ht="19.5" customHeight="1" thickBot="1">
      <c r="A56" s="691">
        <v>8</v>
      </c>
      <c r="B56" s="692" t="s">
        <v>46</v>
      </c>
      <c r="C56" s="1106">
        <f>C34-C40-C45-C46-C47-C51-C52-C55-C57-C58-C59</f>
        <v>235923</v>
      </c>
      <c r="D56" s="1107">
        <f>D34-D40-D45-D46-D47-D51-D52-D55-D57-D58-D59</f>
        <v>20000</v>
      </c>
      <c r="E56" s="1104">
        <f aca="true" t="shared" si="20" ref="E56:N56">E34-E40-E45-E46-E47-E51-E52-E55-E57-E58-E59</f>
        <v>255923</v>
      </c>
      <c r="F56" s="1106">
        <f t="shared" si="20"/>
        <v>110000</v>
      </c>
      <c r="G56" s="1107">
        <f t="shared" si="20"/>
        <v>0</v>
      </c>
      <c r="H56" s="1104">
        <f t="shared" si="20"/>
        <v>110000</v>
      </c>
      <c r="I56" s="1106">
        <f t="shared" si="20"/>
        <v>136689</v>
      </c>
      <c r="J56" s="1107">
        <f t="shared" si="20"/>
        <v>0</v>
      </c>
      <c r="K56" s="1144">
        <f t="shared" si="20"/>
        <v>136689</v>
      </c>
      <c r="L56" s="936">
        <f t="shared" si="20"/>
        <v>0</v>
      </c>
      <c r="M56" s="936">
        <f t="shared" si="20"/>
        <v>0</v>
      </c>
      <c r="N56" s="936">
        <f t="shared" si="20"/>
        <v>0</v>
      </c>
      <c r="O56" s="268"/>
      <c r="P56" s="268"/>
      <c r="Q56" s="268"/>
    </row>
    <row r="57" spans="1:17" s="15" customFormat="1" ht="15.75">
      <c r="A57" s="327" t="s">
        <v>385</v>
      </c>
      <c r="B57" s="328" t="s">
        <v>184</v>
      </c>
      <c r="C57" s="1076"/>
      <c r="D57" s="318"/>
      <c r="E57" s="1105">
        <f>SUM(C57:D57)</f>
        <v>0</v>
      </c>
      <c r="F57" s="865"/>
      <c r="G57" s="318"/>
      <c r="H57" s="1105">
        <f>SUM(F57:G57)</f>
        <v>0</v>
      </c>
      <c r="I57" s="1076"/>
      <c r="J57" s="318"/>
      <c r="K57" s="1105">
        <f>SUM(I57:J57)</f>
        <v>0</v>
      </c>
      <c r="L57" s="936"/>
      <c r="M57" s="936"/>
      <c r="N57" s="936">
        <f>SUM(L57:M57)</f>
        <v>0</v>
      </c>
      <c r="O57" s="208"/>
      <c r="P57" s="208"/>
      <c r="Q57" s="208"/>
    </row>
    <row r="58" spans="1:17" s="15" customFormat="1" ht="15.75">
      <c r="A58" s="327" t="s">
        <v>183</v>
      </c>
      <c r="B58" s="328" t="s">
        <v>384</v>
      </c>
      <c r="C58" s="1076"/>
      <c r="D58" s="318"/>
      <c r="E58" s="1105">
        <f>SUM(C58:D58)</f>
        <v>0</v>
      </c>
      <c r="F58" s="322"/>
      <c r="G58" s="318"/>
      <c r="H58" s="393">
        <f>SUM(F58:G58)</f>
        <v>0</v>
      </c>
      <c r="I58" s="317"/>
      <c r="J58" s="318"/>
      <c r="K58" s="393">
        <f>SUM(I58:J58)</f>
        <v>0</v>
      </c>
      <c r="L58" s="936"/>
      <c r="M58" s="936"/>
      <c r="N58" s="936">
        <f>SUM(L58:M58)</f>
        <v>0</v>
      </c>
      <c r="O58" s="208"/>
      <c r="P58" s="208"/>
      <c r="Q58" s="208"/>
    </row>
    <row r="59" spans="1:18" s="15" customFormat="1" ht="16.5" thickBot="1">
      <c r="A59" s="342">
        <v>10</v>
      </c>
      <c r="B59" s="343"/>
      <c r="C59" s="344"/>
      <c r="D59" s="345"/>
      <c r="E59" s="398">
        <f>SUM(C59:D59)</f>
        <v>0</v>
      </c>
      <c r="F59" s="347"/>
      <c r="G59" s="345"/>
      <c r="H59" s="398">
        <f>SUM(F59:G59)</f>
        <v>0</v>
      </c>
      <c r="I59" s="344"/>
      <c r="J59" s="345"/>
      <c r="K59" s="398">
        <f>SUM(I59:J59)</f>
        <v>0</v>
      </c>
      <c r="L59" s="936"/>
      <c r="M59" s="936"/>
      <c r="N59" s="936">
        <f>SUM(L59:M59)</f>
        <v>0</v>
      </c>
      <c r="O59" s="159"/>
      <c r="P59" s="159"/>
      <c r="Q59" s="159"/>
      <c r="R59" s="34"/>
    </row>
    <row r="60" spans="1:17" s="34" customFormat="1" ht="17.25" thickBot="1" thickTop="1">
      <c r="A60" s="334" t="s">
        <v>109</v>
      </c>
      <c r="B60" s="336" t="s">
        <v>182</v>
      </c>
      <c r="C60" s="748">
        <f>C40+C45+C46+C47+C51+C52+C55+C56+C57+C58+C59</f>
        <v>240048</v>
      </c>
      <c r="D60" s="749">
        <f aca="true" t="shared" si="21" ref="D60:N60">D40+D45+D46+D47+D51+D52+D55+D56+D57+D58+D59</f>
        <v>376019</v>
      </c>
      <c r="E60" s="747">
        <f t="shared" si="21"/>
        <v>616067</v>
      </c>
      <c r="F60" s="355">
        <f t="shared" si="21"/>
        <v>319030</v>
      </c>
      <c r="G60" s="335">
        <f t="shared" si="21"/>
        <v>0</v>
      </c>
      <c r="H60" s="747">
        <f t="shared" si="21"/>
        <v>319030</v>
      </c>
      <c r="I60" s="355">
        <f t="shared" si="21"/>
        <v>136689</v>
      </c>
      <c r="J60" s="335">
        <f t="shared" si="21"/>
        <v>0</v>
      </c>
      <c r="K60" s="365">
        <f t="shared" si="21"/>
        <v>136689</v>
      </c>
      <c r="L60" s="936">
        <f t="shared" si="21"/>
        <v>0</v>
      </c>
      <c r="M60" s="936">
        <f t="shared" si="21"/>
        <v>0</v>
      </c>
      <c r="N60" s="936">
        <f t="shared" si="21"/>
        <v>0</v>
      </c>
      <c r="O60" s="159"/>
      <c r="P60" s="159"/>
      <c r="Q60" s="159"/>
    </row>
    <row r="61" spans="1:17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935"/>
      <c r="M61" s="935"/>
      <c r="N61" s="935"/>
      <c r="O61" s="94"/>
      <c r="P61" s="94"/>
      <c r="Q61" s="94"/>
    </row>
    <row r="62" spans="1:17" ht="16.5" thickBot="1" thickTop="1">
      <c r="A62" s="174"/>
      <c r="B62" s="175" t="s">
        <v>593</v>
      </c>
      <c r="C62" s="883"/>
      <c r="D62" s="884"/>
      <c r="E62" s="404">
        <f>SUM(C62:D62)</f>
        <v>0</v>
      </c>
      <c r="F62" s="883"/>
      <c r="G62" s="884"/>
      <c r="H62" s="404">
        <f>SUM(F62:G62)</f>
        <v>0</v>
      </c>
      <c r="I62" s="883"/>
      <c r="J62" s="770"/>
      <c r="K62" s="404">
        <f>SUM(I62:J62)</f>
        <v>0</v>
      </c>
      <c r="L62" s="935"/>
      <c r="M62" s="935"/>
      <c r="N62" s="935">
        <f>SUM(L62:M62)</f>
        <v>0</v>
      </c>
      <c r="O62" s="94"/>
      <c r="P62" s="94"/>
      <c r="Q62" s="94"/>
    </row>
    <row r="63" spans="1:17" ht="16.5" thickBot="1" thickTop="1">
      <c r="A63" s="174"/>
      <c r="B63" s="175" t="s">
        <v>594</v>
      </c>
      <c r="C63" s="883"/>
      <c r="D63" s="884"/>
      <c r="E63" s="404">
        <f>SUM(C63:D63)</f>
        <v>0</v>
      </c>
      <c r="F63" s="883"/>
      <c r="G63" s="884"/>
      <c r="H63" s="404">
        <f>SUM(F63:G63)</f>
        <v>0</v>
      </c>
      <c r="I63" s="883"/>
      <c r="J63" s="770"/>
      <c r="K63" s="404">
        <f>SUM(I63:J63)</f>
        <v>0</v>
      </c>
      <c r="L63" s="935"/>
      <c r="M63" s="935"/>
      <c r="N63" s="935">
        <f>SUM(L63:M63)</f>
        <v>0</v>
      </c>
      <c r="O63" s="94"/>
      <c r="P63" s="94"/>
      <c r="Q63" s="94"/>
    </row>
    <row r="64" spans="1:17" ht="16.5" thickTop="1">
      <c r="A64" s="409"/>
      <c r="O64" s="94"/>
      <c r="P64" s="94"/>
      <c r="Q64" s="94"/>
    </row>
    <row r="65" ht="15.75">
      <c r="A65" s="409"/>
    </row>
    <row r="67" ht="12.75">
      <c r="D67" s="94">
        <v>2413076</v>
      </c>
    </row>
  </sheetData>
  <sheetProtection/>
  <mergeCells count="7">
    <mergeCell ref="A4:K4"/>
    <mergeCell ref="A5:K5"/>
    <mergeCell ref="Q8:S8"/>
    <mergeCell ref="L7:N7"/>
    <mergeCell ref="F7:H7"/>
    <mergeCell ref="C7:E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06"/>
  <sheetViews>
    <sheetView showGridLines="0" zoomScale="80" zoomScaleNormal="80" zoomScaleSheetLayoutView="50" zoomScalePageLayoutView="0" workbookViewId="0" topLeftCell="A1">
      <pane xSplit="2" ySplit="9" topLeftCell="C34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K1" sqref="K1"/>
    </sheetView>
  </sheetViews>
  <sheetFormatPr defaultColWidth="9.00390625" defaultRowHeight="12.75"/>
  <cols>
    <col min="1" max="1" width="5.375" style="410" customWidth="1"/>
    <col min="2" max="2" width="78.375" style="94" customWidth="1"/>
    <col min="3" max="6" width="19.375" style="94" customWidth="1"/>
    <col min="7" max="7" width="17.875" style="94" customWidth="1"/>
    <col min="8" max="9" width="19.375" style="94" customWidth="1"/>
    <col min="10" max="10" width="18.00390625" style="94" customWidth="1"/>
    <col min="11" max="11" width="19.375" style="94" customWidth="1"/>
    <col min="12" max="12" width="15.50390625" style="348" customWidth="1"/>
    <col min="13" max="13" width="16.00390625" style="348" customWidth="1"/>
    <col min="14" max="17" width="9.375" style="348" customWidth="1"/>
    <col min="18" max="21" width="9.375" style="26" customWidth="1"/>
  </cols>
  <sheetData>
    <row r="1" spans="1:11" ht="15" customHeight="1">
      <c r="A1" s="294"/>
      <c r="B1" s="295"/>
      <c r="C1" s="295"/>
      <c r="D1" s="377"/>
      <c r="E1" s="377"/>
      <c r="F1" s="295"/>
      <c r="G1" s="377"/>
      <c r="H1" s="377"/>
      <c r="I1" s="377"/>
      <c r="J1" s="377"/>
      <c r="K1" s="867" t="s">
        <v>856</v>
      </c>
    </row>
    <row r="2" spans="1:11" ht="15" customHeight="1">
      <c r="A2" s="294"/>
      <c r="B2" s="295"/>
      <c r="C2" s="295"/>
      <c r="D2" s="377"/>
      <c r="E2" s="377"/>
      <c r="F2" s="295"/>
      <c r="G2" s="377"/>
      <c r="H2" s="377"/>
      <c r="I2" s="377"/>
      <c r="J2" s="377"/>
      <c r="K2" s="867" t="s">
        <v>93</v>
      </c>
    </row>
    <row r="3" spans="1:11" ht="15" customHeight="1">
      <c r="A3" s="294"/>
      <c r="B3" s="295"/>
      <c r="C3" s="295"/>
      <c r="D3" s="377"/>
      <c r="E3" s="377"/>
      <c r="F3" s="295"/>
      <c r="G3" s="377"/>
      <c r="H3" s="377"/>
      <c r="I3" s="377"/>
      <c r="J3" s="377"/>
      <c r="K3" s="868" t="s">
        <v>149</v>
      </c>
    </row>
    <row r="4" spans="1:21" s="15" customFormat="1" ht="20.25" customHeight="1">
      <c r="A4" s="869" t="s">
        <v>573</v>
      </c>
      <c r="B4" s="869"/>
      <c r="C4" s="869"/>
      <c r="D4" s="875"/>
      <c r="E4" s="875"/>
      <c r="F4" s="869"/>
      <c r="G4" s="875"/>
      <c r="H4" s="875"/>
      <c r="I4" s="875"/>
      <c r="J4" s="875"/>
      <c r="K4" s="875"/>
      <c r="L4" s="419"/>
      <c r="M4" s="419"/>
      <c r="N4" s="419"/>
      <c r="O4" s="419"/>
      <c r="P4" s="419"/>
      <c r="Q4" s="419"/>
      <c r="R4" s="363"/>
      <c r="S4" s="363"/>
      <c r="T4" s="363"/>
      <c r="U4" s="363"/>
    </row>
    <row r="5" spans="1:21" s="15" customFormat="1" ht="18" customHeight="1">
      <c r="A5" s="870" t="s">
        <v>584</v>
      </c>
      <c r="B5" s="870"/>
      <c r="C5" s="870"/>
      <c r="D5" s="876"/>
      <c r="E5" s="876"/>
      <c r="F5" s="870"/>
      <c r="G5" s="876"/>
      <c r="H5" s="876"/>
      <c r="I5" s="876"/>
      <c r="J5" s="876"/>
      <c r="K5" s="876"/>
      <c r="L5" s="419"/>
      <c r="M5" s="419"/>
      <c r="N5" s="419"/>
      <c r="O5" s="419"/>
      <c r="P5" s="419"/>
      <c r="Q5" s="419"/>
      <c r="R5" s="363"/>
      <c r="S5" s="363"/>
      <c r="T5" s="363"/>
      <c r="U5" s="363"/>
    </row>
    <row r="6" spans="1:11" ht="15.75" customHeight="1" thickBot="1">
      <c r="A6" s="294"/>
      <c r="B6" s="295"/>
      <c r="C6" s="295"/>
      <c r="D6" s="377"/>
      <c r="E6" s="377"/>
      <c r="F6" s="295"/>
      <c r="G6" s="377"/>
      <c r="H6" s="377"/>
      <c r="I6" s="377"/>
      <c r="J6" s="377"/>
      <c r="K6" s="377"/>
    </row>
    <row r="7" spans="1:12" s="94" customFormat="1" ht="33" customHeight="1">
      <c r="A7" s="229" t="s">
        <v>124</v>
      </c>
      <c r="B7" s="93" t="s">
        <v>125</v>
      </c>
      <c r="C7" s="243" t="s">
        <v>339</v>
      </c>
      <c r="D7" s="244"/>
      <c r="E7" s="245"/>
      <c r="F7" s="96" t="s">
        <v>133</v>
      </c>
      <c r="G7" s="97"/>
      <c r="H7" s="98"/>
      <c r="I7" s="96" t="s">
        <v>67</v>
      </c>
      <c r="J7" s="97"/>
      <c r="K7" s="98"/>
      <c r="L7" s="348"/>
    </row>
    <row r="8" spans="1:12" s="94" customFormat="1" ht="24.75" customHeight="1" thickBot="1">
      <c r="A8" s="240" t="s">
        <v>126</v>
      </c>
      <c r="B8" s="16" t="s">
        <v>127</v>
      </c>
      <c r="C8" s="24" t="s">
        <v>420</v>
      </c>
      <c r="D8" s="23" t="s">
        <v>808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348"/>
    </row>
    <row r="9" spans="1:12" s="233" customFormat="1" ht="14.25" customHeight="1" thickBot="1">
      <c r="A9" s="411">
        <v>1</v>
      </c>
      <c r="B9" s="411">
        <v>2</v>
      </c>
      <c r="C9" s="412">
        <v>3</v>
      </c>
      <c r="D9" s="413">
        <v>5</v>
      </c>
      <c r="E9" s="414">
        <v>5</v>
      </c>
      <c r="F9" s="412">
        <v>6</v>
      </c>
      <c r="G9" s="413">
        <v>7</v>
      </c>
      <c r="H9" s="415">
        <v>8</v>
      </c>
      <c r="I9" s="412">
        <v>9</v>
      </c>
      <c r="J9" s="413">
        <v>10</v>
      </c>
      <c r="K9" s="415">
        <v>11</v>
      </c>
      <c r="L9" s="348"/>
    </row>
    <row r="10" spans="1:12" s="94" customFormat="1" ht="18.75" customHeight="1" thickBot="1">
      <c r="A10" s="371"/>
      <c r="B10" s="416" t="s">
        <v>129</v>
      </c>
      <c r="C10" s="372"/>
      <c r="D10" s="373"/>
      <c r="E10" s="417"/>
      <c r="F10" s="372"/>
      <c r="G10" s="373"/>
      <c r="H10" s="418"/>
      <c r="I10" s="375"/>
      <c r="J10" s="376"/>
      <c r="K10" s="374"/>
      <c r="L10" s="348"/>
    </row>
    <row r="11" spans="1:12" s="94" customFormat="1" ht="15" customHeight="1" thickBot="1">
      <c r="A11" s="304">
        <v>1</v>
      </c>
      <c r="B11" s="296" t="s">
        <v>113</v>
      </c>
      <c r="C11" s="338">
        <f>SUM(hivatal7!I11+hivatal7!L11+hivatal7!O11+hivatal8!C11+hivatal8!F11+hivatal8!I11+hivatal8!L11)</f>
        <v>260898</v>
      </c>
      <c r="D11" s="305">
        <f>SUM(hivatal7!J11+hivatal7!M11+hivatal7!P11+hivatal8!D11+hivatal8!G11+hivatal8!J11+hivatal8!M11)</f>
        <v>3021</v>
      </c>
      <c r="E11" s="321">
        <f>SUM(C11:D11)</f>
        <v>263919</v>
      </c>
      <c r="F11" s="310">
        <f>'önállóan gazd.'!O11</f>
        <v>3540836</v>
      </c>
      <c r="G11" s="305">
        <f>'önállóan gazd.'!P11</f>
        <v>-3692</v>
      </c>
      <c r="H11" s="349">
        <f>'önállóan gazd.'!Q11</f>
        <v>3537144</v>
      </c>
      <c r="I11" s="281">
        <f aca="true" t="shared" si="0" ref="I11:K14">SUM(C11+F11)</f>
        <v>3801734</v>
      </c>
      <c r="J11" s="285">
        <f t="shared" si="0"/>
        <v>-671</v>
      </c>
      <c r="K11" s="1245">
        <f t="shared" si="0"/>
        <v>3801063</v>
      </c>
      <c r="L11" s="348"/>
    </row>
    <row r="12" spans="1:12" s="268" customFormat="1" ht="15" customHeight="1" thickBot="1">
      <c r="A12" s="308">
        <v>2</v>
      </c>
      <c r="B12" s="296" t="s">
        <v>202</v>
      </c>
      <c r="C12" s="338">
        <f>SUM(hivatal7!I12+hivatal7!L12+hivatal7!O12+hivatal8!C12+hivatal8!F12+hivatal8!I12+hivatal8!L12)</f>
        <v>53012</v>
      </c>
      <c r="D12" s="305">
        <f>SUM(hivatal7!J12+hivatal7!M12+hivatal7!P12+hivatal8!D12+hivatal8!G12+hivatal8!J12+hivatal8!M12)</f>
        <v>101</v>
      </c>
      <c r="E12" s="321">
        <f>SUM(C12:D12)</f>
        <v>53113</v>
      </c>
      <c r="F12" s="310">
        <f>'önállóan gazd.'!O12</f>
        <v>738968</v>
      </c>
      <c r="G12" s="305">
        <f>'önállóan gazd.'!P12</f>
        <v>56</v>
      </c>
      <c r="H12" s="349">
        <f>'önállóan gazd.'!Q12</f>
        <v>739024</v>
      </c>
      <c r="I12" s="281">
        <f t="shared" si="0"/>
        <v>791980</v>
      </c>
      <c r="J12" s="285">
        <f t="shared" si="0"/>
        <v>157</v>
      </c>
      <c r="K12" s="1245">
        <f t="shared" si="0"/>
        <v>792137</v>
      </c>
      <c r="L12" s="421"/>
    </row>
    <row r="13" spans="1:12" s="208" customFormat="1" ht="15" customHeight="1" thickBot="1">
      <c r="A13" s="308">
        <v>3</v>
      </c>
      <c r="B13" s="296" t="s">
        <v>116</v>
      </c>
      <c r="C13" s="309">
        <f>SUM(hivatal7!I13+hivatal7!L13+hivatal7!O13+hivatal8!C13+hivatal8!F13+hivatal8!I13+hivatal8!L13)</f>
        <v>3300815</v>
      </c>
      <c r="D13" s="305">
        <f>SUM(hivatal7!J13+hivatal7!M13+hivatal7!P13+hivatal8!D13+hivatal8!G13+hivatal8!J13+hivatal8!M13)</f>
        <v>172556</v>
      </c>
      <c r="E13" s="321">
        <f>SUM(C13:D13)</f>
        <v>3473371</v>
      </c>
      <c r="F13" s="310">
        <f>'önállóan gazd.'!O13</f>
        <v>1825039</v>
      </c>
      <c r="G13" s="305">
        <f>'önállóan gazd.'!P13</f>
        <v>80741</v>
      </c>
      <c r="H13" s="349">
        <f>'önállóan gazd.'!Q13</f>
        <v>1905780</v>
      </c>
      <c r="I13" s="281">
        <f t="shared" si="0"/>
        <v>5125854</v>
      </c>
      <c r="J13" s="285">
        <f t="shared" si="0"/>
        <v>253297</v>
      </c>
      <c r="K13" s="1245">
        <f>SUM(E13+H13)</f>
        <v>5379151</v>
      </c>
      <c r="L13" s="419"/>
    </row>
    <row r="14" spans="1:12" s="208" customFormat="1" ht="15" customHeight="1" thickBot="1">
      <c r="A14" s="308">
        <v>4</v>
      </c>
      <c r="B14" s="296" t="s">
        <v>172</v>
      </c>
      <c r="C14" s="1090">
        <f>SUM(hivatal7!I14+hivatal7!L14+hivatal7!O14+hivatal8!C14+hivatal8!F14+hivatal8!I14+hivatal8!L14)</f>
        <v>91423</v>
      </c>
      <c r="D14" s="285">
        <f>SUM(hivatal7!J14+hivatal7!M14+hivatal7!P14+hivatal8!D14+hivatal8!G14+hivatal8!J14+hivatal8!M14)</f>
        <v>0</v>
      </c>
      <c r="E14" s="283">
        <f aca="true" t="shared" si="1" ref="E14:E20">C14+D14</f>
        <v>91423</v>
      </c>
      <c r="F14" s="281">
        <f>'önállóan gazd.'!O14</f>
        <v>0</v>
      </c>
      <c r="G14" s="285">
        <f>'önállóan gazd.'!P14</f>
        <v>0</v>
      </c>
      <c r="H14" s="306">
        <f>F14+G14</f>
        <v>0</v>
      </c>
      <c r="I14" s="281">
        <f t="shared" si="0"/>
        <v>91423</v>
      </c>
      <c r="J14" s="285">
        <f t="shared" si="0"/>
        <v>0</v>
      </c>
      <c r="K14" s="1245">
        <f t="shared" si="0"/>
        <v>91423</v>
      </c>
      <c r="L14" s="419"/>
    </row>
    <row r="15" spans="1:12" s="94" customFormat="1" ht="15" customHeight="1">
      <c r="A15" s="163" t="s">
        <v>98</v>
      </c>
      <c r="B15" s="152" t="s">
        <v>370</v>
      </c>
      <c r="C15" s="297">
        <f>SUM(hivatal7!I15+hivatal7!L15+hivatal7!O15+hivatal8!C15+hivatal8!F15+hivatal8!I15+hivatal8!L15)</f>
        <v>141742</v>
      </c>
      <c r="D15" s="224">
        <f>SUM(hivatal7!J15+hivatal7!M15+hivatal7!P15+hivatal8!D15+hivatal8!G15+hivatal8!J15+hivatal8!M15)</f>
        <v>0</v>
      </c>
      <c r="E15" s="862">
        <f t="shared" si="1"/>
        <v>141742</v>
      </c>
      <c r="F15" s="226">
        <f>'önállóan gazd.'!O15</f>
        <v>20693</v>
      </c>
      <c r="G15" s="224">
        <f>'önállóan gazd.'!P15</f>
        <v>0</v>
      </c>
      <c r="H15" s="380">
        <f aca="true" t="shared" si="2" ref="H15:H21">F15+G15</f>
        <v>20693</v>
      </c>
      <c r="I15" s="350">
        <f aca="true" t="shared" si="3" ref="I15:I21">SUM(C15+F15)</f>
        <v>162435</v>
      </c>
      <c r="J15" s="292">
        <f aca="true" t="shared" si="4" ref="J15:J21">SUM(D15+G15)</f>
        <v>0</v>
      </c>
      <c r="K15" s="1246">
        <f aca="true" t="shared" si="5" ref="K15:K22">SUM(E15+H15)</f>
        <v>162435</v>
      </c>
      <c r="L15" s="348"/>
    </row>
    <row r="16" spans="1:12" s="94" customFormat="1" ht="15" customHeight="1">
      <c r="A16" s="160" t="s">
        <v>99</v>
      </c>
      <c r="B16" s="156" t="s">
        <v>554</v>
      </c>
      <c r="C16" s="297">
        <f>SUM(hivatal7!I16+hivatal7!L16+hivatal7!O16+hivatal8!C16+hivatal8!F16+hivatal8!I16+hivatal8!L16)</f>
        <v>0</v>
      </c>
      <c r="D16" s="224">
        <f>SUM(hivatal7!J16+hivatal7!M16+hivatal7!P16+hivatal8!D16+hivatal8!G16+hivatal8!J16+hivatal8!M16)</f>
        <v>0</v>
      </c>
      <c r="E16" s="862">
        <f t="shared" si="1"/>
        <v>0</v>
      </c>
      <c r="F16" s="226">
        <f>'önállóan gazd.'!O16</f>
        <v>0</v>
      </c>
      <c r="G16" s="224">
        <f>'önállóan gazd.'!P16</f>
        <v>0</v>
      </c>
      <c r="H16" s="380">
        <f>F16+G16</f>
        <v>0</v>
      </c>
      <c r="I16" s="420">
        <f>SUM(C16+F16)</f>
        <v>0</v>
      </c>
      <c r="J16" s="290">
        <f>SUM(D16+G16)</f>
        <v>0</v>
      </c>
      <c r="K16" s="1246">
        <f>SUM(E16+H16)</f>
        <v>0</v>
      </c>
      <c r="L16" s="348"/>
    </row>
    <row r="17" spans="1:12" s="94" customFormat="1" ht="15" customHeight="1">
      <c r="A17" s="160" t="s">
        <v>100</v>
      </c>
      <c r="B17" s="156" t="s">
        <v>555</v>
      </c>
      <c r="C17" s="297">
        <f>SUM(hivatal7!I17+hivatal7!L17+hivatal7!O17+hivatal8!C17+hivatal8!F17+hivatal8!I17+hivatal8!L17)</f>
        <v>0</v>
      </c>
      <c r="D17" s="224">
        <f>SUM(hivatal7!J17+hivatal7!M17+hivatal7!P17+hivatal8!D17+hivatal8!G17+hivatal8!J17+hivatal8!M17)</f>
        <v>0</v>
      </c>
      <c r="E17" s="862">
        <f t="shared" si="1"/>
        <v>0</v>
      </c>
      <c r="F17" s="226">
        <f>'önállóan gazd.'!O17</f>
        <v>0</v>
      </c>
      <c r="G17" s="224">
        <f>'önállóan gazd.'!P17</f>
        <v>0</v>
      </c>
      <c r="H17" s="380">
        <f t="shared" si="2"/>
        <v>0</v>
      </c>
      <c r="I17" s="420">
        <f t="shared" si="3"/>
        <v>0</v>
      </c>
      <c r="J17" s="290">
        <f t="shared" si="4"/>
        <v>0</v>
      </c>
      <c r="K17" s="1246">
        <f t="shared" si="5"/>
        <v>0</v>
      </c>
      <c r="L17" s="348"/>
    </row>
    <row r="18" spans="1:12" s="94" customFormat="1" ht="15" customHeight="1">
      <c r="A18" s="160" t="s">
        <v>101</v>
      </c>
      <c r="B18" s="156" t="s">
        <v>371</v>
      </c>
      <c r="C18" s="297">
        <f>SUM(hivatal7!I18+hivatal7!L18+hivatal7!O18+hivatal8!C18+hivatal8!F18+hivatal8!I18+hivatal8!L18)</f>
        <v>32676</v>
      </c>
      <c r="D18" s="224">
        <f>SUM(hivatal7!J18+hivatal7!M18+hivatal7!P18+hivatal8!D18+hivatal8!G18+hivatal8!J18+hivatal8!M18)</f>
        <v>4977</v>
      </c>
      <c r="E18" s="862">
        <f t="shared" si="1"/>
        <v>37653</v>
      </c>
      <c r="F18" s="226">
        <f>'önállóan gazd.'!O18</f>
        <v>0</v>
      </c>
      <c r="G18" s="224">
        <f>'önállóan gazd.'!P18</f>
        <v>0</v>
      </c>
      <c r="H18" s="380">
        <f t="shared" si="2"/>
        <v>0</v>
      </c>
      <c r="I18" s="420">
        <f t="shared" si="3"/>
        <v>32676</v>
      </c>
      <c r="J18" s="290">
        <f t="shared" si="4"/>
        <v>4977</v>
      </c>
      <c r="K18" s="1246">
        <f t="shared" si="5"/>
        <v>37653</v>
      </c>
      <c r="L18" s="348"/>
    </row>
    <row r="19" spans="1:12" s="94" customFormat="1" ht="15" customHeight="1">
      <c r="A19" s="155" t="s">
        <v>192</v>
      </c>
      <c r="B19" s="156" t="s">
        <v>556</v>
      </c>
      <c r="C19" s="297">
        <f>SUM(hivatal7!I19+hivatal7!L19+hivatal7!O19+hivatal8!C19+hivatal8!F19+hivatal8!I19+hivatal8!L19)</f>
        <v>10000</v>
      </c>
      <c r="D19" s="224">
        <f>SUM(hivatal7!J19+hivatal7!M19+hivatal7!P19+hivatal8!D19+hivatal8!G19+hivatal8!J19+hivatal8!M19)</f>
        <v>0</v>
      </c>
      <c r="E19" s="862">
        <f t="shared" si="1"/>
        <v>10000</v>
      </c>
      <c r="F19" s="226">
        <f>'önállóan gazd.'!O18</f>
        <v>0</v>
      </c>
      <c r="G19" s="224">
        <f>'önállóan gazd.'!P18</f>
        <v>0</v>
      </c>
      <c r="H19" s="380">
        <f>F19+G19</f>
        <v>0</v>
      </c>
      <c r="I19" s="420">
        <f>SUM(C19+F19)</f>
        <v>10000</v>
      </c>
      <c r="J19" s="290">
        <f>SUM(D19+G19)</f>
        <v>0</v>
      </c>
      <c r="K19" s="1246">
        <f>SUM(E19+H19)</f>
        <v>10000</v>
      </c>
      <c r="L19" s="348"/>
    </row>
    <row r="20" spans="1:12" s="94" customFormat="1" ht="15" customHeight="1">
      <c r="A20" s="155" t="s">
        <v>327</v>
      </c>
      <c r="B20" s="156" t="s">
        <v>557</v>
      </c>
      <c r="C20" s="297">
        <f>SUM(hivatal7!I20+hivatal7!L20+hivatal7!O20+hivatal8!C20+hivatal8!F20+hivatal8!I20+hivatal8!L20)</f>
        <v>0</v>
      </c>
      <c r="D20" s="224">
        <f>SUM(hivatal7!J20+hivatal7!M20+hivatal7!P20+hivatal8!D20+hivatal8!G20+hivatal8!J20+hivatal8!M20)</f>
        <v>0</v>
      </c>
      <c r="E20" s="862">
        <f t="shared" si="1"/>
        <v>0</v>
      </c>
      <c r="F20" s="226">
        <f>'önállóan gazd.'!O20</f>
        <v>0</v>
      </c>
      <c r="G20" s="224">
        <f>'önállóan gazd.'!P20</f>
        <v>0</v>
      </c>
      <c r="H20" s="380">
        <f t="shared" si="2"/>
        <v>0</v>
      </c>
      <c r="I20" s="420">
        <f t="shared" si="3"/>
        <v>0</v>
      </c>
      <c r="J20" s="290">
        <f>SUM(D20+G20)</f>
        <v>0</v>
      </c>
      <c r="K20" s="1246">
        <f t="shared" si="5"/>
        <v>0</v>
      </c>
      <c r="L20" s="348"/>
    </row>
    <row r="21" spans="1:12" s="94" customFormat="1" ht="15" customHeight="1">
      <c r="A21" s="155" t="s">
        <v>328</v>
      </c>
      <c r="B21" s="156" t="s">
        <v>372</v>
      </c>
      <c r="C21" s="297">
        <f>SUM(hivatal7!I21+hivatal7!L21+hivatal7!O21+hivatal8!C21+hivatal8!F21+hivatal8!I21+hivatal8!L21)</f>
        <v>810829</v>
      </c>
      <c r="D21" s="224">
        <f>SUM(hivatal7!J21+hivatal7!M21+hivatal7!P21+hivatal8!D21+hivatal8!G21+hivatal8!J21+hivatal8!M21)</f>
        <v>11521</v>
      </c>
      <c r="E21" s="862">
        <f aca="true" t="shared" si="6" ref="E21:E30">C21+D21</f>
        <v>822350</v>
      </c>
      <c r="F21" s="226">
        <f>'önállóan gazd.'!O21</f>
        <v>43</v>
      </c>
      <c r="G21" s="224">
        <f>'önállóan gazd.'!P21</f>
        <v>0</v>
      </c>
      <c r="H21" s="380">
        <f t="shared" si="2"/>
        <v>43</v>
      </c>
      <c r="I21" s="1088">
        <f t="shared" si="3"/>
        <v>810872</v>
      </c>
      <c r="J21" s="290">
        <f t="shared" si="4"/>
        <v>11521</v>
      </c>
      <c r="K21" s="1212">
        <f t="shared" si="5"/>
        <v>822393</v>
      </c>
      <c r="L21" s="348"/>
    </row>
    <row r="22" spans="1:12" s="94" customFormat="1" ht="15" customHeight="1" thickBot="1">
      <c r="A22" s="16" t="s">
        <v>69</v>
      </c>
      <c r="B22" s="325" t="s">
        <v>373</v>
      </c>
      <c r="C22" s="320">
        <f>SUM(hivatal7!I22+hivatal7!L22+hivatal7!O22+hivatal8!C22+hivatal8!F22+hivatal8!I22+hivatal8!L22)</f>
        <v>1905401</v>
      </c>
      <c r="D22" s="312">
        <f>SUM(hivatal7!J22+hivatal7!M22+hivatal7!P22+hivatal8!D22+hivatal8!G22+hivatal8!J22+hivatal8!M22)</f>
        <v>-236309</v>
      </c>
      <c r="E22" s="164">
        <f t="shared" si="6"/>
        <v>1669092</v>
      </c>
      <c r="F22" s="314">
        <f>'önállóan gazd.'!O22</f>
        <v>0</v>
      </c>
      <c r="G22" s="312">
        <f>'önállóan gazd.'!P22</f>
        <v>0</v>
      </c>
      <c r="H22" s="386">
        <f aca="true" t="shared" si="7" ref="H22:H33">F22+G22</f>
        <v>0</v>
      </c>
      <c r="I22" s="1088">
        <f>SUM(C22+F22)</f>
        <v>1905401</v>
      </c>
      <c r="J22" s="292">
        <f>SUM(D22+G22)</f>
        <v>-236309</v>
      </c>
      <c r="K22" s="1212">
        <f t="shared" si="5"/>
        <v>1669092</v>
      </c>
      <c r="L22" s="348"/>
    </row>
    <row r="23" spans="1:12" s="208" customFormat="1" ht="15" customHeight="1" thickBot="1">
      <c r="A23" s="308">
        <v>5</v>
      </c>
      <c r="B23" s="296" t="s">
        <v>171</v>
      </c>
      <c r="C23" s="1090">
        <f>SUM(C15:C22)</f>
        <v>2900648</v>
      </c>
      <c r="D23" s="285">
        <f>SUM(hivatal7!J23+hivatal7!M23+hivatal7!P23+hivatal8!D23+hivatal8!G23+hivatal8!J23+hivatal8!M23)</f>
        <v>-219811</v>
      </c>
      <c r="E23" s="283">
        <f t="shared" si="6"/>
        <v>2680837</v>
      </c>
      <c r="F23" s="281">
        <f>'önállóan gazd.'!O23</f>
        <v>20736</v>
      </c>
      <c r="G23" s="285">
        <f>'önállóan gazd.'!P23</f>
        <v>0</v>
      </c>
      <c r="H23" s="306">
        <f t="shared" si="7"/>
        <v>20736</v>
      </c>
      <c r="I23" s="338">
        <f>SUM(I15:I22)</f>
        <v>2921384</v>
      </c>
      <c r="J23" s="305">
        <f>SUM(J15:J22)</f>
        <v>-219811</v>
      </c>
      <c r="K23" s="1112">
        <f>SUM(K15:K22)</f>
        <v>2701573</v>
      </c>
      <c r="L23" s="419"/>
    </row>
    <row r="24" spans="1:12" s="94" customFormat="1" ht="15" customHeight="1" thickBot="1">
      <c r="A24" s="304">
        <v>6</v>
      </c>
      <c r="B24" s="296" t="s">
        <v>174</v>
      </c>
      <c r="C24" s="1090">
        <f>SUM(hivatal7!I24+hivatal7!L24+hivatal7!O24+hivatal8!C24+hivatal8!F24+hivatal8!I24+hivatal8!L24)</f>
        <v>3213769</v>
      </c>
      <c r="D24" s="285">
        <f>SUM(hivatal7!J24+hivatal7!M24+hivatal7!P24+hivatal8!D24+hivatal8!G24+hivatal8!J24+hivatal8!M24)</f>
        <v>648291</v>
      </c>
      <c r="E24" s="283">
        <f>C24+D24</f>
        <v>3862060</v>
      </c>
      <c r="F24" s="281">
        <f>'önállóan gazd.'!O24</f>
        <v>57979</v>
      </c>
      <c r="G24" s="285">
        <f>'önállóan gazd.'!P24</f>
        <v>25568</v>
      </c>
      <c r="H24" s="306">
        <f>F24+G24</f>
        <v>83547</v>
      </c>
      <c r="I24" s="1090">
        <f aca="true" t="shared" si="8" ref="I24:K26">SUM(C24+F24)</f>
        <v>3271748</v>
      </c>
      <c r="J24" s="285">
        <f t="shared" si="8"/>
        <v>673859</v>
      </c>
      <c r="K24" s="1247">
        <f t="shared" si="8"/>
        <v>3945607</v>
      </c>
      <c r="L24" s="348"/>
    </row>
    <row r="25" spans="1:12" s="208" customFormat="1" ht="15" customHeight="1" thickBot="1">
      <c r="A25" s="304">
        <v>7</v>
      </c>
      <c r="B25" s="296" t="s">
        <v>421</v>
      </c>
      <c r="C25" s="1090">
        <f>SUM(hivatal7!I25+hivatal7!L25+hivatal7!O25+hivatal8!C25+hivatal8!F25+hivatal8!I25+hivatal8!L25)</f>
        <v>439205</v>
      </c>
      <c r="D25" s="285">
        <f>SUM(hivatal7!J25+hivatal7!M25+hivatal7!P25+hivatal8!D25+hivatal8!G25+hivatal8!J25+hivatal8!M25)</f>
        <v>104237</v>
      </c>
      <c r="E25" s="283">
        <f>C25+D25</f>
        <v>543442</v>
      </c>
      <c r="F25" s="281">
        <f>'önállóan gazd.'!O25</f>
        <v>18646</v>
      </c>
      <c r="G25" s="285">
        <f>'önállóan gazd.'!P25</f>
        <v>0</v>
      </c>
      <c r="H25" s="306">
        <f>F25+G25</f>
        <v>18646</v>
      </c>
      <c r="I25" s="1090">
        <f t="shared" si="8"/>
        <v>457851</v>
      </c>
      <c r="J25" s="285">
        <f t="shared" si="8"/>
        <v>104237</v>
      </c>
      <c r="K25" s="1247">
        <f t="shared" si="8"/>
        <v>562088</v>
      </c>
      <c r="L25" s="419"/>
    </row>
    <row r="26" spans="1:12" s="94" customFormat="1" ht="15" customHeight="1">
      <c r="A26" s="163" t="s">
        <v>98</v>
      </c>
      <c r="B26" s="156" t="s">
        <v>560</v>
      </c>
      <c r="C26" s="297">
        <f>SUM(hivatal7!I26+hivatal7!L26+hivatal7!O26+hivatal8!C26+hivatal8!F26+hivatal8!I26+hivatal8!L26)</f>
        <v>0</v>
      </c>
      <c r="D26" s="224">
        <f>SUM(hivatal7!J26+hivatal7!M26+hivatal7!P26+hivatal8!D26+hivatal8!G26+hivatal8!J26+hivatal8!M26)</f>
        <v>0</v>
      </c>
      <c r="E26" s="862">
        <f t="shared" si="6"/>
        <v>0</v>
      </c>
      <c r="F26" s="226">
        <f>'önállóan gazd.'!O26</f>
        <v>0</v>
      </c>
      <c r="G26" s="224">
        <f>'önállóan gazd.'!P26</f>
        <v>0</v>
      </c>
      <c r="H26" s="380">
        <f t="shared" si="7"/>
        <v>0</v>
      </c>
      <c r="I26" s="1088">
        <f t="shared" si="8"/>
        <v>0</v>
      </c>
      <c r="J26" s="292">
        <f t="shared" si="8"/>
        <v>0</v>
      </c>
      <c r="K26" s="1212">
        <f t="shared" si="8"/>
        <v>0</v>
      </c>
      <c r="L26" s="348"/>
    </row>
    <row r="27" spans="1:12" s="94" customFormat="1" ht="15" customHeight="1">
      <c r="A27" s="163" t="s">
        <v>99</v>
      </c>
      <c r="B27" s="156" t="s">
        <v>558</v>
      </c>
      <c r="C27" s="297">
        <f>SUM(hivatal7!I27+hivatal7!L27+hivatal7!O27+hivatal8!C27+hivatal8!F27+hivatal8!I27+hivatal8!L27)</f>
        <v>0</v>
      </c>
      <c r="D27" s="224">
        <f>SUM(hivatal7!J27+hivatal7!M27+hivatal7!P27+hivatal8!D27+hivatal8!G27+hivatal8!J27+hivatal8!M27)</f>
        <v>0</v>
      </c>
      <c r="E27" s="862">
        <f t="shared" si="6"/>
        <v>0</v>
      </c>
      <c r="F27" s="226">
        <f>'önállóan gazd.'!O27</f>
        <v>0</v>
      </c>
      <c r="G27" s="224">
        <f>'önállóan gazd.'!P27</f>
        <v>0</v>
      </c>
      <c r="H27" s="380">
        <f t="shared" si="7"/>
        <v>0</v>
      </c>
      <c r="I27" s="1088">
        <f aca="true" t="shared" si="9" ref="I27:K31">SUM(C27+F27)</f>
        <v>0</v>
      </c>
      <c r="J27" s="292">
        <f t="shared" si="9"/>
        <v>0</v>
      </c>
      <c r="K27" s="1212">
        <f t="shared" si="9"/>
        <v>0</v>
      </c>
      <c r="L27" s="348"/>
    </row>
    <row r="28" spans="1:12" s="94" customFormat="1" ht="15" customHeight="1">
      <c r="A28" s="163" t="s">
        <v>100</v>
      </c>
      <c r="B28" s="156" t="s">
        <v>374</v>
      </c>
      <c r="C28" s="297">
        <f>SUM(hivatal7!I28+hivatal7!L28+hivatal7!O28+hivatal8!C28+hivatal8!F28+hivatal8!I28+hivatal8!L28)</f>
        <v>0</v>
      </c>
      <c r="D28" s="224">
        <f>SUM(hivatal7!J28+hivatal7!M28+hivatal7!P28+hivatal8!D28+hivatal8!G28+hivatal8!J28+hivatal8!M28)</f>
        <v>7184</v>
      </c>
      <c r="E28" s="862">
        <f t="shared" si="6"/>
        <v>7184</v>
      </c>
      <c r="F28" s="1070">
        <f>'önállóan gazd.'!O28</f>
        <v>0</v>
      </c>
      <c r="G28" s="146">
        <f>'önállóan gazd.'!P28</f>
        <v>0</v>
      </c>
      <c r="H28" s="227">
        <f t="shared" si="7"/>
        <v>0</v>
      </c>
      <c r="I28" s="1088">
        <f t="shared" si="9"/>
        <v>0</v>
      </c>
      <c r="J28" s="292">
        <f t="shared" si="9"/>
        <v>7184</v>
      </c>
      <c r="K28" s="1212">
        <f t="shared" si="9"/>
        <v>7184</v>
      </c>
      <c r="L28" s="348"/>
    </row>
    <row r="29" spans="1:12" s="94" customFormat="1" ht="15" customHeight="1">
      <c r="A29" s="163" t="s">
        <v>101</v>
      </c>
      <c r="B29" s="156" t="s">
        <v>559</v>
      </c>
      <c r="C29" s="297">
        <f>SUM(hivatal7!I29+hivatal7!L29+hivatal7!O29+hivatal8!C29+hivatal8!F29+hivatal8!I29+hivatal8!L29)</f>
        <v>11637</v>
      </c>
      <c r="D29" s="224">
        <f>SUM(hivatal7!J29+hivatal7!M29+hivatal7!P29+hivatal8!D29+hivatal8!G29+hivatal8!J29+hivatal8!M29)</f>
        <v>1222</v>
      </c>
      <c r="E29" s="862">
        <f t="shared" si="6"/>
        <v>12859</v>
      </c>
      <c r="F29" s="1070">
        <f>'önállóan gazd.'!O29</f>
        <v>0</v>
      </c>
      <c r="G29" s="224">
        <f>'önállóan gazd.'!P29</f>
        <v>0</v>
      </c>
      <c r="H29" s="227">
        <f t="shared" si="7"/>
        <v>0</v>
      </c>
      <c r="I29" s="1088">
        <f t="shared" si="9"/>
        <v>11637</v>
      </c>
      <c r="J29" s="292">
        <f t="shared" si="9"/>
        <v>1222</v>
      </c>
      <c r="K29" s="1212">
        <f t="shared" si="9"/>
        <v>12859</v>
      </c>
      <c r="L29" s="348"/>
    </row>
    <row r="30" spans="1:12" s="94" customFormat="1" ht="15" customHeight="1" thickBot="1">
      <c r="A30" s="326" t="s">
        <v>192</v>
      </c>
      <c r="B30" s="156" t="s">
        <v>375</v>
      </c>
      <c r="C30" s="320">
        <f>SUM(hivatal7!I30+hivatal7!L30+hivatal7!O30+hivatal8!C30+hivatal8!F30+hivatal8!I30+hivatal8!L30)</f>
        <v>88079</v>
      </c>
      <c r="D30" s="312">
        <f>SUM(hivatal7!J30+hivatal7!M30+hivatal7!P30+hivatal8!D30+hivatal8!G30+hivatal8!J30+hivatal8!M30)</f>
        <v>368549</v>
      </c>
      <c r="E30" s="164">
        <f t="shared" si="6"/>
        <v>456628</v>
      </c>
      <c r="F30" s="1071">
        <f>'önállóan gazd.'!O30</f>
        <v>0</v>
      </c>
      <c r="G30" s="312">
        <f>'önállóan gazd.'!P30</f>
        <v>0</v>
      </c>
      <c r="H30" s="315">
        <f t="shared" si="7"/>
        <v>0</v>
      </c>
      <c r="I30" s="1089">
        <f t="shared" si="9"/>
        <v>88079</v>
      </c>
      <c r="J30" s="319">
        <f t="shared" si="9"/>
        <v>368549</v>
      </c>
      <c r="K30" s="1210">
        <f t="shared" si="9"/>
        <v>456628</v>
      </c>
      <c r="L30" s="348"/>
    </row>
    <row r="31" spans="1:12" s="208" customFormat="1" ht="15" customHeight="1" thickBot="1">
      <c r="A31" s="304">
        <v>8</v>
      </c>
      <c r="B31" s="296" t="s">
        <v>173</v>
      </c>
      <c r="C31" s="1149">
        <f>SUM(hivatal7!I31+hivatal7!L31+hivatal7!O31+hivatal8!C31+hivatal8!F31+hivatal8!I31+hivatal8!L31)</f>
        <v>99716</v>
      </c>
      <c r="D31" s="769">
        <f>SUM(hivatal7!J31+hivatal7!M31+hivatal7!P31+hivatal8!D31+hivatal8!G31+hivatal8!J31+hivatal8!M31)</f>
        <v>376955</v>
      </c>
      <c r="E31" s="1145">
        <f>C31+D31</f>
        <v>476671</v>
      </c>
      <c r="F31" s="1090">
        <f>'önállóan gazd.'!O31</f>
        <v>0</v>
      </c>
      <c r="G31" s="285">
        <f>'önállóan gazd.'!P31</f>
        <v>0</v>
      </c>
      <c r="H31" s="283">
        <f>F31+G31</f>
        <v>0</v>
      </c>
      <c r="I31" s="1090">
        <f t="shared" si="9"/>
        <v>99716</v>
      </c>
      <c r="J31" s="285">
        <f t="shared" si="9"/>
        <v>376955</v>
      </c>
      <c r="K31" s="283">
        <f t="shared" si="9"/>
        <v>476671</v>
      </c>
      <c r="L31" s="419"/>
    </row>
    <row r="32" spans="1:12" s="94" customFormat="1" ht="15" customHeight="1" thickBot="1">
      <c r="A32" s="304">
        <v>9</v>
      </c>
      <c r="B32" s="296" t="s">
        <v>179</v>
      </c>
      <c r="C32" s="1149">
        <f>SUM(hivatal7!I32+hivatal7!L32+hivatal7!O32+hivatal8!C32+hivatal8!F32+hivatal8!I32+hivatal8!L32)</f>
        <v>72111</v>
      </c>
      <c r="D32" s="769">
        <f>SUM(hivatal7!J32+hivatal7!M32+hivatal7!P32+hivatal8!D32+hivatal8!G32+hivatal8!J32+hivatal8!M32)</f>
        <v>0</v>
      </c>
      <c r="E32" s="1145">
        <f>C32+D32</f>
        <v>72111</v>
      </c>
      <c r="F32" s="1091">
        <f>'önállóan gazd.'!O32</f>
        <v>0</v>
      </c>
      <c r="G32" s="286">
        <f>'önállóan gazd.'!P32</f>
        <v>0</v>
      </c>
      <c r="H32" s="284">
        <f t="shared" si="7"/>
        <v>0</v>
      </c>
      <c r="I32" s="1090">
        <f aca="true" t="shared" si="10" ref="I32:K33">SUM(C32+F32)</f>
        <v>72111</v>
      </c>
      <c r="J32" s="285">
        <f t="shared" si="10"/>
        <v>0</v>
      </c>
      <c r="K32" s="283">
        <f t="shared" si="10"/>
        <v>72111</v>
      </c>
      <c r="L32" s="348"/>
    </row>
    <row r="33" spans="1:12" s="159" customFormat="1" ht="15.75" customHeight="1" thickBot="1">
      <c r="A33" s="358">
        <v>10</v>
      </c>
      <c r="B33" s="422"/>
      <c r="C33" s="1150">
        <f>SUM(hivatal7!I33+hivatal7!L33+hivatal7!O33+hivatal8!C33+hivatal8!F33+hivatal8!I33+hivatal8!L33)</f>
        <v>0</v>
      </c>
      <c r="D33" s="770">
        <f>SUM(hivatal7!J33+hivatal7!M33+hivatal7!P33+hivatal8!D33+hivatal8!G33+hivatal8!J33+hivatal8!M33)</f>
        <v>0</v>
      </c>
      <c r="E33" s="1146">
        <f>C33+D33</f>
        <v>0</v>
      </c>
      <c r="F33" s="1092">
        <f>'önállóan gazd.'!O33</f>
        <v>0</v>
      </c>
      <c r="G33" s="361">
        <f>'önállóan gazd.'!P33</f>
        <v>0</v>
      </c>
      <c r="H33" s="362">
        <f t="shared" si="7"/>
        <v>0</v>
      </c>
      <c r="I33" s="1086">
        <f t="shared" si="10"/>
        <v>0</v>
      </c>
      <c r="J33" s="366">
        <f t="shared" si="10"/>
        <v>0</v>
      </c>
      <c r="K33" s="367">
        <f t="shared" si="10"/>
        <v>0</v>
      </c>
      <c r="L33" s="419"/>
    </row>
    <row r="34" spans="1:88" s="167" customFormat="1" ht="17.25" thickBot="1" thickTop="1">
      <c r="A34" s="334" t="s">
        <v>108</v>
      </c>
      <c r="B34" s="357" t="s">
        <v>180</v>
      </c>
      <c r="C34" s="356">
        <f aca="true" t="shared" si="11" ref="C34:J34">C11+C12+C13+C23+C14+C31+C25+C24+C32+C33</f>
        <v>10431597</v>
      </c>
      <c r="D34" s="335">
        <f t="shared" si="11"/>
        <v>1085350</v>
      </c>
      <c r="E34" s="747">
        <f t="shared" si="11"/>
        <v>11516947</v>
      </c>
      <c r="F34" s="356">
        <f t="shared" si="11"/>
        <v>6202204</v>
      </c>
      <c r="G34" s="335">
        <f t="shared" si="11"/>
        <v>102673</v>
      </c>
      <c r="H34" s="747">
        <f t="shared" si="11"/>
        <v>6304877</v>
      </c>
      <c r="I34" s="356">
        <f t="shared" si="11"/>
        <v>16633801</v>
      </c>
      <c r="J34" s="335">
        <f t="shared" si="11"/>
        <v>1188023</v>
      </c>
      <c r="K34" s="365">
        <f>K11+K12+K13+K23+K14+K31+K25+K24+K32+K33</f>
        <v>17821824</v>
      </c>
      <c r="L34" s="939"/>
      <c r="M34" s="939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3"/>
    </row>
    <row r="35" spans="1:12" s="94" customFormat="1" ht="17.25" thickBot="1" thickTop="1">
      <c r="A35" s="151"/>
      <c r="B35" s="337" t="s">
        <v>131</v>
      </c>
      <c r="C35" s="1087"/>
      <c r="D35" s="364"/>
      <c r="E35" s="1147"/>
      <c r="F35" s="1087"/>
      <c r="G35" s="364"/>
      <c r="H35" s="1147"/>
      <c r="I35" s="1087"/>
      <c r="J35" s="364"/>
      <c r="K35" s="895"/>
      <c r="L35" s="348"/>
    </row>
    <row r="36" spans="1:12" s="729" customFormat="1" ht="15">
      <c r="A36" s="738" t="s">
        <v>98</v>
      </c>
      <c r="B36" s="739" t="s">
        <v>376</v>
      </c>
      <c r="C36" s="741">
        <f>SUM(hivatal7!I36+hivatal7!L36+hivatal7!O36+hivatal8!C36+hivatal8!F36+hivatal8!I36+hivatal8!L36)</f>
        <v>2080652</v>
      </c>
      <c r="D36" s="740">
        <f>SUM(hivatal7!J36+hivatal7!M36+hivatal7!P36+hivatal8!D36+hivatal8!G36+hivatal8!J36+hivatal8!M36)</f>
        <v>107955</v>
      </c>
      <c r="E36" s="744">
        <f>SUM(hivatal7!K36+hivatal7!N36+hivatal7!Q36+hivatal8!E36+hivatal8!H36+hivatal8!K36+hivatal8!N36)</f>
        <v>2188607</v>
      </c>
      <c r="F36" s="1080">
        <f>'önállóan gazd.'!O36</f>
        <v>0</v>
      </c>
      <c r="G36" s="740">
        <f>'önállóan gazd.'!P36</f>
        <v>0</v>
      </c>
      <c r="H36" s="744">
        <f>'önállóan gazd.'!Q36</f>
        <v>0</v>
      </c>
      <c r="I36" s="1153">
        <f aca="true" t="shared" si="12" ref="I36:K39">SUM(C36+F36)</f>
        <v>2080652</v>
      </c>
      <c r="J36" s="1159">
        <f t="shared" si="12"/>
        <v>107955</v>
      </c>
      <c r="K36" s="1248">
        <f t="shared" si="12"/>
        <v>2188607</v>
      </c>
      <c r="L36" s="730"/>
    </row>
    <row r="37" spans="1:12" s="729" customFormat="1" ht="15">
      <c r="A37" s="160" t="s">
        <v>99</v>
      </c>
      <c r="B37" s="156" t="s">
        <v>235</v>
      </c>
      <c r="C37" s="881">
        <f>SUM(hivatal7!I37+hivatal7!L37+hivatal7!O37+hivatal8!C37+hivatal8!F37+hivatal8!I37+hivatal8!L37)</f>
        <v>20693</v>
      </c>
      <c r="D37" s="146">
        <f>SUM(hivatal7!J37+hivatal7!M37+hivatal7!P37+hivatal8!D37+hivatal8!G37+hivatal8!J37+hivatal8!M37)</f>
        <v>0</v>
      </c>
      <c r="E37" s="169">
        <f>SUM(hivatal7!K37+hivatal7!N37+hivatal7!Q37+hivatal8!E37+hivatal8!H37+hivatal8!K37+hivatal8!N37)</f>
        <v>20693</v>
      </c>
      <c r="F37" s="881">
        <f>'önállóan gazd.'!O37</f>
        <v>0</v>
      </c>
      <c r="G37" s="146">
        <f>'önállóan gazd.'!P37</f>
        <v>0</v>
      </c>
      <c r="H37" s="860">
        <f>'önállóan gazd.'!Q37</f>
        <v>0</v>
      </c>
      <c r="I37" s="1154">
        <f t="shared" si="12"/>
        <v>20693</v>
      </c>
      <c r="J37" s="290">
        <f t="shared" si="12"/>
        <v>0</v>
      </c>
      <c r="K37" s="1209">
        <f t="shared" si="12"/>
        <v>20693</v>
      </c>
      <c r="L37" s="730"/>
    </row>
    <row r="38" spans="1:12" s="729" customFormat="1" ht="15">
      <c r="A38" s="326" t="s">
        <v>100</v>
      </c>
      <c r="B38" s="149" t="s">
        <v>377</v>
      </c>
      <c r="C38" s="1071">
        <f>SUM(hivatal7!I38+hivatal7!L38+hivatal7!O38+hivatal8!C38+hivatal8!F38+hivatal8!I38+hivatal8!L38)</f>
        <v>0</v>
      </c>
      <c r="D38" s="312">
        <f>SUM(hivatal7!J38+hivatal7!M38+hivatal7!P38+hivatal8!D38+hivatal8!G38+hivatal8!J38+hivatal8!M38)</f>
        <v>0</v>
      </c>
      <c r="E38" s="315">
        <f>SUM(hivatal7!K38+hivatal7!N38+hivatal7!Q38+hivatal8!E38+hivatal8!H38+hivatal8!K38+hivatal8!N38)</f>
        <v>0</v>
      </c>
      <c r="F38" s="1071">
        <f>'önállóan gazd.'!O38</f>
        <v>0</v>
      </c>
      <c r="G38" s="312">
        <f>'önállóan gazd.'!P38</f>
        <v>0</v>
      </c>
      <c r="H38" s="164">
        <f>'önállóan gazd.'!Q38</f>
        <v>0</v>
      </c>
      <c r="I38" s="1089">
        <f t="shared" si="12"/>
        <v>0</v>
      </c>
      <c r="J38" s="319">
        <f t="shared" si="12"/>
        <v>0</v>
      </c>
      <c r="K38" s="1210">
        <f t="shared" si="12"/>
        <v>0</v>
      </c>
      <c r="L38" s="730"/>
    </row>
    <row r="39" spans="1:12" s="729" customFormat="1" ht="15.75" thickBot="1">
      <c r="A39" s="161" t="s">
        <v>101</v>
      </c>
      <c r="B39" s="162" t="s">
        <v>381</v>
      </c>
      <c r="C39" s="882">
        <f>SUM(hivatal7!I39+hivatal7!L39+hivatal7!O39+hivatal8!C39+hivatal8!F39+hivatal8!I39+hivatal8!L39)</f>
        <v>239028</v>
      </c>
      <c r="D39" s="1686">
        <f>SUM(hivatal7!J39+hivatal7!M39+hivatal7!P39+hivatal8!D39+hivatal8!G39+hivatal8!J39+hivatal8!M39)</f>
        <v>50950</v>
      </c>
      <c r="E39" s="237">
        <f>SUM(hivatal7!K39+hivatal7!N39+hivatal7!Q39+hivatal8!E39+hivatal8!H39+hivatal8!K39+hivatal8!N39)</f>
        <v>289978</v>
      </c>
      <c r="F39" s="882">
        <f>'önállóan gazd.'!O39</f>
        <v>1332</v>
      </c>
      <c r="G39" s="158">
        <f>'önállóan gazd.'!P39</f>
        <v>0</v>
      </c>
      <c r="H39" s="861">
        <f>'önállóan gazd.'!Q39</f>
        <v>1332</v>
      </c>
      <c r="I39" s="1155">
        <f t="shared" si="12"/>
        <v>240360</v>
      </c>
      <c r="J39" s="291">
        <f t="shared" si="12"/>
        <v>50950</v>
      </c>
      <c r="K39" s="1211">
        <f t="shared" si="12"/>
        <v>291310</v>
      </c>
      <c r="L39" s="730"/>
    </row>
    <row r="40" spans="1:12" s="208" customFormat="1" ht="16.5" thickBot="1">
      <c r="A40" s="304">
        <v>1</v>
      </c>
      <c r="B40" s="296" t="s">
        <v>177</v>
      </c>
      <c r="C40" s="338">
        <f>SUM(C36:C39)</f>
        <v>2340373</v>
      </c>
      <c r="D40" s="305">
        <f aca="true" t="shared" si="13" ref="D40:K40">SUM(D36:D39)</f>
        <v>158905</v>
      </c>
      <c r="E40" s="311">
        <f t="shared" si="13"/>
        <v>2499278</v>
      </c>
      <c r="F40" s="338">
        <f t="shared" si="13"/>
        <v>1332</v>
      </c>
      <c r="G40" s="305">
        <f t="shared" si="13"/>
        <v>0</v>
      </c>
      <c r="H40" s="311">
        <f t="shared" si="13"/>
        <v>1332</v>
      </c>
      <c r="I40" s="338">
        <f t="shared" si="13"/>
        <v>2341705</v>
      </c>
      <c r="J40" s="305">
        <f t="shared" si="13"/>
        <v>158905</v>
      </c>
      <c r="K40" s="1112">
        <f t="shared" si="13"/>
        <v>2500610</v>
      </c>
      <c r="L40" s="419"/>
    </row>
    <row r="41" spans="1:12" s="94" customFormat="1" ht="15">
      <c r="A41" s="163" t="s">
        <v>98</v>
      </c>
      <c r="B41" s="152" t="s">
        <v>403</v>
      </c>
      <c r="C41" s="1070">
        <f>SUM(hivatal7!I41+hivatal7!L41+hivatal7!O41+hivatal8!C41+hivatal8!F41+hivatal8!I41+hivatal8!L41)</f>
        <v>0</v>
      </c>
      <c r="D41" s="224">
        <f>SUM(hivatal7!J41+hivatal7!M41+hivatal7!P41+hivatal8!D41+hivatal8!G41+hivatal8!J41+hivatal8!M41)</f>
        <v>0</v>
      </c>
      <c r="E41" s="227">
        <f>SUM(hivatal7!K41+hivatal7!N41+hivatal7!Q41+hivatal8!E41+hivatal8!H41+hivatal8!K41+hivatal8!N41)</f>
        <v>0</v>
      </c>
      <c r="F41" s="1070">
        <f>'önállóan gazd.'!O41</f>
        <v>0</v>
      </c>
      <c r="G41" s="224">
        <f>'önállóan gazd.'!P41</f>
        <v>0</v>
      </c>
      <c r="H41" s="862">
        <f>'önállóan gazd.'!Q41</f>
        <v>0</v>
      </c>
      <c r="I41" s="1088">
        <f>SUM(C41+F41)</f>
        <v>0</v>
      </c>
      <c r="J41" s="292">
        <f>SUM(D41+G41)</f>
        <v>0</v>
      </c>
      <c r="K41" s="1212">
        <f>SUM(E41+H41)</f>
        <v>0</v>
      </c>
      <c r="L41" s="348"/>
    </row>
    <row r="42" spans="1:12" s="94" customFormat="1" ht="15">
      <c r="A42" s="160" t="s">
        <v>99</v>
      </c>
      <c r="B42" s="156" t="s">
        <v>378</v>
      </c>
      <c r="C42" s="1070">
        <f>SUM(hivatal7!I42+hivatal7!L42+hivatal7!O42+hivatal8!C42+hivatal8!F42+hivatal8!I42+hivatal8!L42)</f>
        <v>1613000</v>
      </c>
      <c r="D42" s="224">
        <f>SUM(hivatal7!J42+hivatal7!M42+hivatal7!P42+hivatal8!D42+hivatal8!G42+hivatal8!J42+hivatal8!M42)</f>
        <v>0</v>
      </c>
      <c r="E42" s="227">
        <f>SUM(hivatal7!K42+hivatal7!N42+hivatal7!Q42+hivatal8!E42+hivatal8!H42+hivatal8!K42+hivatal8!N42)</f>
        <v>1613000</v>
      </c>
      <c r="F42" s="881">
        <f>'önállóan gazd.'!O42</f>
        <v>0</v>
      </c>
      <c r="G42" s="146">
        <f>'önállóan gazd.'!P42</f>
        <v>0</v>
      </c>
      <c r="H42" s="860">
        <f>'önállóan gazd.'!Q42</f>
        <v>0</v>
      </c>
      <c r="I42" s="1154">
        <f aca="true" t="shared" si="14" ref="I42:K43">SUM(C42+F42)</f>
        <v>1613000</v>
      </c>
      <c r="J42" s="290">
        <f t="shared" si="14"/>
        <v>0</v>
      </c>
      <c r="K42" s="1209">
        <f t="shared" si="14"/>
        <v>1613000</v>
      </c>
      <c r="L42" s="348"/>
    </row>
    <row r="43" spans="1:12" s="268" customFormat="1" ht="15">
      <c r="A43" s="160" t="s">
        <v>100</v>
      </c>
      <c r="B43" s="156" t="s">
        <v>379</v>
      </c>
      <c r="C43" s="1070">
        <f>SUM(hivatal7!I43+hivatal7!L43+hivatal7!O43+hivatal8!C43+hivatal8!F43+hivatal8!I43+hivatal8!L43)</f>
        <v>4868450</v>
      </c>
      <c r="D43" s="224">
        <f>SUM(hivatal7!J43+hivatal7!M43+hivatal7!P43+hivatal8!D43+hivatal8!G43+hivatal8!J43+hivatal8!M43)</f>
        <v>0</v>
      </c>
      <c r="E43" s="227">
        <f>SUM(hivatal7!K43+hivatal7!N43+hivatal7!Q43+hivatal8!E43+hivatal8!H43+hivatal8!K43+hivatal8!N43)</f>
        <v>4868450</v>
      </c>
      <c r="F43" s="881">
        <f>'önállóan gazd.'!O43</f>
        <v>0</v>
      </c>
      <c r="G43" s="146">
        <f>'önállóan gazd.'!P43</f>
        <v>0</v>
      </c>
      <c r="H43" s="860">
        <f>'önállóan gazd.'!Q43</f>
        <v>0</v>
      </c>
      <c r="I43" s="1154">
        <f t="shared" si="14"/>
        <v>4868450</v>
      </c>
      <c r="J43" s="290">
        <f t="shared" si="14"/>
        <v>0</v>
      </c>
      <c r="K43" s="1209">
        <f t="shared" si="14"/>
        <v>4868450</v>
      </c>
      <c r="L43" s="421"/>
    </row>
    <row r="44" spans="1:12" s="94" customFormat="1" ht="15.75" thickBot="1">
      <c r="A44" s="161" t="s">
        <v>101</v>
      </c>
      <c r="B44" s="162" t="s">
        <v>175</v>
      </c>
      <c r="C44" s="1151">
        <f>SUM(hivatal7!I44+hivatal7!L44+hivatal7!O44+hivatal8!C44+hivatal8!F44+hivatal8!I44+hivatal8!L44)</f>
        <v>32118</v>
      </c>
      <c r="D44" s="426">
        <f>SUM(hivatal7!J44+hivatal7!M44+hivatal7!P44+hivatal8!D44+hivatal8!G44+hivatal8!J44+hivatal8!M44)</f>
        <v>1607</v>
      </c>
      <c r="E44" s="1148">
        <f>SUM(hivatal7!K44+hivatal7!N44+hivatal7!Q44+hivatal8!E44+hivatal8!H44+hivatal8!K44+hivatal8!N44)</f>
        <v>33725</v>
      </c>
      <c r="F44" s="882">
        <f>'önállóan gazd.'!O44</f>
        <v>14</v>
      </c>
      <c r="G44" s="158">
        <f>'önállóan gazd.'!P44</f>
        <v>18</v>
      </c>
      <c r="H44" s="861">
        <f>'önállóan gazd.'!Q44</f>
        <v>32</v>
      </c>
      <c r="I44" s="1155">
        <f>SUM(C44+F44)</f>
        <v>32132</v>
      </c>
      <c r="J44" s="291">
        <f>SUM(D44+G44)</f>
        <v>1625</v>
      </c>
      <c r="K44" s="1211">
        <f>SUM(E44+H44)</f>
        <v>33757</v>
      </c>
      <c r="L44" s="348"/>
    </row>
    <row r="45" spans="1:12" s="208" customFormat="1" ht="16.5" thickBot="1">
      <c r="A45" s="304">
        <v>2</v>
      </c>
      <c r="B45" s="296" t="s">
        <v>176</v>
      </c>
      <c r="C45" s="1090">
        <f>SUM(C41:C44)</f>
        <v>6513568</v>
      </c>
      <c r="D45" s="285">
        <f aca="true" t="shared" si="15" ref="D45:K45">SUM(D41:D44)</f>
        <v>1607</v>
      </c>
      <c r="E45" s="424">
        <f>SUM(E41:E44)</f>
        <v>6515175</v>
      </c>
      <c r="F45" s="1090">
        <f t="shared" si="15"/>
        <v>14</v>
      </c>
      <c r="G45" s="285">
        <f>SUM(G41:G44)</f>
        <v>18</v>
      </c>
      <c r="H45" s="424">
        <f t="shared" si="15"/>
        <v>32</v>
      </c>
      <c r="I45" s="1090">
        <f t="shared" si="15"/>
        <v>6513582</v>
      </c>
      <c r="J45" s="285">
        <f t="shared" si="15"/>
        <v>1625</v>
      </c>
      <c r="K45" s="1247">
        <f t="shared" si="15"/>
        <v>6515207</v>
      </c>
      <c r="L45" s="419"/>
    </row>
    <row r="46" spans="1:12" s="208" customFormat="1" ht="16.5" thickBot="1">
      <c r="A46" s="304">
        <v>3</v>
      </c>
      <c r="B46" s="296" t="s">
        <v>254</v>
      </c>
      <c r="C46" s="338">
        <f>SUM(hivatal7!I46+hivatal7!L46+hivatal7!O46+hivatal8!C46+hivatal8!F46+hivatal8!I46+hivatal8!L46)</f>
        <v>838375</v>
      </c>
      <c r="D46" s="305">
        <f>SUM(hivatal7!J46+hivatal7!M46+hivatal7!P46+hivatal8!D46+hivatal8!G46+hivatal8!J46+hivatal8!M46)</f>
        <v>40770</v>
      </c>
      <c r="E46" s="311">
        <f>SUM(hivatal7!K46+hivatal7!N46+hivatal7!Q46+hivatal8!E46+hivatal8!H46+hivatal8!K46+hivatal8!N46)</f>
        <v>879145</v>
      </c>
      <c r="F46" s="1073">
        <f>'önállóan gazd.'!O46</f>
        <v>485242</v>
      </c>
      <c r="G46" s="737">
        <f>'önállóan gazd.'!P46</f>
        <v>10510</v>
      </c>
      <c r="H46" s="1152">
        <f>'önállóan gazd.'!Q46</f>
        <v>495752</v>
      </c>
      <c r="I46" s="1090">
        <f aca="true" t="shared" si="16" ref="I46:K50">SUM(C46+F46)</f>
        <v>1323617</v>
      </c>
      <c r="J46" s="285">
        <f t="shared" si="16"/>
        <v>51280</v>
      </c>
      <c r="K46" s="1247">
        <f t="shared" si="16"/>
        <v>1374897</v>
      </c>
      <c r="L46" s="419"/>
    </row>
    <row r="47" spans="1:12" s="208" customFormat="1" ht="16.5" thickBot="1">
      <c r="A47" s="304">
        <v>4</v>
      </c>
      <c r="B47" s="428" t="s">
        <v>275</v>
      </c>
      <c r="C47" s="1141">
        <f>SUM(hivatal7!I47+hivatal7!L47+hivatal7!O47+hivatal8!C47+hivatal8!F47+hivatal8!I47+hivatal8!L47)</f>
        <v>19738</v>
      </c>
      <c r="D47" s="772">
        <f>SUM(hivatal7!J47+hivatal7!M47+hivatal7!P47+hivatal8!D47+hivatal8!G47+hivatal8!J47+hivatal8!M47)</f>
        <v>25</v>
      </c>
      <c r="E47" s="899">
        <f>SUM(hivatal7!K47+hivatal7!N47+hivatal7!Q47+hivatal8!E47+hivatal8!H47+hivatal8!K47+hivatal8!N47)</f>
        <v>19763</v>
      </c>
      <c r="F47" s="338">
        <f>'önállóan gazd.'!O47</f>
        <v>0</v>
      </c>
      <c r="G47" s="305">
        <f>'önállóan gazd.'!P47</f>
        <v>302</v>
      </c>
      <c r="H47" s="311">
        <f>'önállóan gazd.'!Q47</f>
        <v>302</v>
      </c>
      <c r="I47" s="1156">
        <f t="shared" si="16"/>
        <v>19738</v>
      </c>
      <c r="J47" s="333">
        <f t="shared" si="16"/>
        <v>327</v>
      </c>
      <c r="K47" s="1213">
        <f t="shared" si="16"/>
        <v>20065</v>
      </c>
      <c r="L47" s="419"/>
    </row>
    <row r="48" spans="1:12" s="729" customFormat="1" ht="15">
      <c r="A48" s="163" t="s">
        <v>98</v>
      </c>
      <c r="B48" s="429" t="s">
        <v>281</v>
      </c>
      <c r="C48" s="297">
        <f>SUM(hivatal7!I48+hivatal7!L48+hivatal7!O48+hivatal8!C48+hivatal8!F48+hivatal8!I48+hivatal8!L48)</f>
        <v>0</v>
      </c>
      <c r="D48" s="224">
        <f>SUM(hivatal7!J48+hivatal7!M48+hivatal7!P48+hivatal8!D48+hivatal8!G48+hivatal8!J48+hivatal8!M48)</f>
        <v>300000</v>
      </c>
      <c r="E48" s="238">
        <f>SUM(hivatal7!K48+hivatal7!N48+hivatal7!Q48+hivatal8!E48+hivatal8!H48+hivatal8!K48+hivatal8!N48)</f>
        <v>300000</v>
      </c>
      <c r="F48" s="1070">
        <f>'önállóan gazd.'!O48</f>
        <v>0</v>
      </c>
      <c r="G48" s="224">
        <f>'önállóan gazd.'!P48</f>
        <v>0</v>
      </c>
      <c r="H48" s="862">
        <f>'önállóan gazd.'!Q48</f>
        <v>0</v>
      </c>
      <c r="I48" s="1088">
        <f t="shared" si="16"/>
        <v>0</v>
      </c>
      <c r="J48" s="292">
        <f t="shared" si="16"/>
        <v>300000</v>
      </c>
      <c r="K48" s="1212">
        <f t="shared" si="16"/>
        <v>300000</v>
      </c>
      <c r="L48" s="730"/>
    </row>
    <row r="49" spans="1:12" s="94" customFormat="1" ht="15">
      <c r="A49" s="161" t="s">
        <v>99</v>
      </c>
      <c r="B49" s="325" t="s">
        <v>380</v>
      </c>
      <c r="C49" s="297">
        <f>SUM(hivatal7!I49+hivatal7!L49+hivatal7!O49+hivatal8!C49+hivatal8!F49+hivatal8!I49+hivatal8!L49)</f>
        <v>0</v>
      </c>
      <c r="D49" s="224">
        <f>SUM(hivatal7!J49+hivatal7!M49+hivatal7!P49+hivatal8!D49+hivatal8!G49+hivatal8!J49+hivatal8!M49)</f>
        <v>0</v>
      </c>
      <c r="E49" s="238">
        <f>SUM(hivatal7!K49+hivatal7!N49+hivatal7!Q49+hivatal8!E49+hivatal8!H49+hivatal8!K49+hivatal8!N49)</f>
        <v>0</v>
      </c>
      <c r="F49" s="881">
        <f>'önállóan gazd.'!O49</f>
        <v>0</v>
      </c>
      <c r="G49" s="146">
        <f>'önállóan gazd.'!P49</f>
        <v>0</v>
      </c>
      <c r="H49" s="860">
        <f>'önállóan gazd.'!Q49</f>
        <v>0</v>
      </c>
      <c r="I49" s="1154">
        <f t="shared" si="16"/>
        <v>0</v>
      </c>
      <c r="J49" s="290">
        <f t="shared" si="16"/>
        <v>0</v>
      </c>
      <c r="K49" s="1209">
        <f t="shared" si="16"/>
        <v>0</v>
      </c>
      <c r="L49" s="348"/>
    </row>
    <row r="50" spans="1:12" s="94" customFormat="1" ht="15.75" thickBot="1">
      <c r="A50" s="161" t="s">
        <v>100</v>
      </c>
      <c r="B50" s="325" t="s">
        <v>413</v>
      </c>
      <c r="C50" s="320">
        <f>SUM(hivatal7!I50+hivatal7!L50+hivatal7!O50+hivatal8!C50+hivatal8!F50+hivatal8!I50+hivatal8!L50)</f>
        <v>99130</v>
      </c>
      <c r="D50" s="312">
        <f>SUM(hivatal7!J50+hivatal7!M50+hivatal7!P50+hivatal8!D50+hivatal8!G50+hivatal8!J50+hivatal8!M50)</f>
        <v>667343</v>
      </c>
      <c r="E50" s="313">
        <f>SUM(hivatal7!K50+hivatal7!N50+hivatal7!Q50+hivatal8!E50+hivatal8!H50+hivatal8!K50+hivatal8!N50)</f>
        <v>766473</v>
      </c>
      <c r="F50" s="882">
        <f>'önállóan gazd.'!O50</f>
        <v>0</v>
      </c>
      <c r="G50" s="158">
        <f>'önállóan gazd.'!P50</f>
        <v>0</v>
      </c>
      <c r="H50" s="861">
        <f>'önállóan gazd.'!Q50</f>
        <v>0</v>
      </c>
      <c r="I50" s="1154">
        <f t="shared" si="16"/>
        <v>99130</v>
      </c>
      <c r="J50" s="290">
        <f t="shared" si="16"/>
        <v>667343</v>
      </c>
      <c r="K50" s="1209">
        <f t="shared" si="16"/>
        <v>766473</v>
      </c>
      <c r="L50" s="348"/>
    </row>
    <row r="51" spans="1:12" s="208" customFormat="1" ht="16.5" thickBot="1">
      <c r="A51" s="304">
        <v>5</v>
      </c>
      <c r="B51" s="428" t="s">
        <v>178</v>
      </c>
      <c r="C51" s="338">
        <f>SUM(C48:C50)</f>
        <v>99130</v>
      </c>
      <c r="D51" s="305">
        <f>SUM(D48:D50)</f>
        <v>967343</v>
      </c>
      <c r="E51" s="311">
        <f>SUM(hivatal7!K51+hivatal7!N51+hivatal7!Q51+hivatal8!E51+hivatal8!H51+hivatal8!K51+hivatal8!N51)</f>
        <v>1066473</v>
      </c>
      <c r="F51" s="1090">
        <f>'önállóan gazd.'!O51</f>
        <v>0</v>
      </c>
      <c r="G51" s="285">
        <f>'önállóan gazd.'!P51</f>
        <v>0</v>
      </c>
      <c r="H51" s="283">
        <f>'önállóan gazd.'!Q51</f>
        <v>0</v>
      </c>
      <c r="I51" s="1090">
        <f aca="true" t="shared" si="17" ref="I51:K54">SUM(C51+F51)</f>
        <v>99130</v>
      </c>
      <c r="J51" s="285">
        <f t="shared" si="17"/>
        <v>967343</v>
      </c>
      <c r="K51" s="1247">
        <f t="shared" si="17"/>
        <v>1066473</v>
      </c>
      <c r="L51" s="419"/>
    </row>
    <row r="52" spans="1:12" s="208" customFormat="1" ht="16.5" thickBot="1">
      <c r="A52" s="734">
        <v>6</v>
      </c>
      <c r="B52" s="736" t="s">
        <v>285</v>
      </c>
      <c r="C52" s="338">
        <f>SUM(hivatal7!I52+hivatal7!L52+hivatal7!O52+hivatal8!C52+hivatal8!F52+hivatal8!I52+hivatal8!L52)</f>
        <v>704108</v>
      </c>
      <c r="D52" s="305">
        <f>SUM(hivatal7!J52+hivatal7!M52+hivatal7!P52+hivatal8!D52+hivatal8!G52+hivatal8!J52+hivatal8!M52)</f>
        <v>-277</v>
      </c>
      <c r="E52" s="311">
        <f>SUM(hivatal7!K52+hivatal7!N52+hivatal7!Q52+hivatal8!E52+hivatal8!H52+hivatal8!K52+hivatal8!N52)</f>
        <v>703831</v>
      </c>
      <c r="F52" s="338">
        <f>'önállóan gazd.'!O52</f>
        <v>0</v>
      </c>
      <c r="G52" s="305">
        <f>'önállóan gazd.'!P52</f>
        <v>1358</v>
      </c>
      <c r="H52" s="311">
        <f>'önállóan gazd.'!Q52</f>
        <v>1358</v>
      </c>
      <c r="I52" s="1091">
        <f t="shared" si="17"/>
        <v>704108</v>
      </c>
      <c r="J52" s="286">
        <f t="shared" si="17"/>
        <v>1081</v>
      </c>
      <c r="K52" s="1249">
        <f t="shared" si="17"/>
        <v>705189</v>
      </c>
      <c r="L52" s="419"/>
    </row>
    <row r="53" spans="1:12" s="94" customFormat="1" ht="15">
      <c r="A53" s="144" t="s">
        <v>98</v>
      </c>
      <c r="B53" s="430" t="s">
        <v>382</v>
      </c>
      <c r="C53" s="297">
        <f>SUM(hivatal7!I53+hivatal7!L53+hivatal7!O53+hivatal8!C53+hivatal8!F53+hivatal8!I53+hivatal8!L53)</f>
        <v>1303</v>
      </c>
      <c r="D53" s="224">
        <f>SUM(hivatal7!J53+hivatal7!M53+hivatal7!P53+hivatal8!D53+hivatal8!G53+hivatal8!J53+hivatal8!M53)</f>
        <v>1443</v>
      </c>
      <c r="E53" s="238">
        <f>SUM(hivatal7!K53+hivatal7!N53+hivatal7!Q53+hivatal8!E53+hivatal8!H53+hivatal8!K53+hivatal8!N53)</f>
        <v>2746</v>
      </c>
      <c r="F53" s="1070">
        <f>'önállóan gazd.'!O53</f>
        <v>0</v>
      </c>
      <c r="G53" s="224">
        <f>'önállóan gazd.'!P53</f>
        <v>0</v>
      </c>
      <c r="H53" s="862">
        <f>'önállóan gazd.'!Q53</f>
        <v>0</v>
      </c>
      <c r="I53" s="1093">
        <f t="shared" si="17"/>
        <v>1303</v>
      </c>
      <c r="J53" s="339">
        <f t="shared" si="17"/>
        <v>1443</v>
      </c>
      <c r="K53" s="1214">
        <f t="shared" si="17"/>
        <v>2746</v>
      </c>
      <c r="L53" s="348"/>
    </row>
    <row r="54" spans="1:12" s="94" customFormat="1" ht="15.75" thickBot="1">
      <c r="A54" s="326" t="s">
        <v>99</v>
      </c>
      <c r="B54" s="429" t="s">
        <v>383</v>
      </c>
      <c r="C54" s="320">
        <f>SUM(hivatal7!I54+hivatal7!L54+hivatal7!O54+hivatal8!C54+hivatal8!F54+hivatal8!I54+hivatal8!L54)</f>
        <v>1928</v>
      </c>
      <c r="D54" s="312">
        <f>SUM(hivatal7!J54+hivatal7!M54+hivatal7!P54+hivatal8!D54+hivatal8!G54+hivatal8!J54+hivatal8!M54)</f>
        <v>6019</v>
      </c>
      <c r="E54" s="313">
        <f>SUM(hivatal7!K54+hivatal7!N54+hivatal7!Q54+hivatal8!E54+hivatal8!H54+hivatal8!K54+hivatal8!N54)</f>
        <v>7947</v>
      </c>
      <c r="F54" s="882">
        <f>'önállóan gazd.'!O54</f>
        <v>0</v>
      </c>
      <c r="G54" s="158">
        <f>'önállóan gazd.'!P54</f>
        <v>0</v>
      </c>
      <c r="H54" s="861">
        <f>'önállóan gazd.'!Q54</f>
        <v>0</v>
      </c>
      <c r="I54" s="1089">
        <f t="shared" si="17"/>
        <v>1928</v>
      </c>
      <c r="J54" s="319">
        <f t="shared" si="17"/>
        <v>6019</v>
      </c>
      <c r="K54" s="1210">
        <f t="shared" si="17"/>
        <v>7947</v>
      </c>
      <c r="L54" s="348"/>
    </row>
    <row r="55" spans="1:12" s="208" customFormat="1" ht="17.25" customHeight="1" thickBot="1">
      <c r="A55" s="304">
        <v>7</v>
      </c>
      <c r="B55" s="428" t="s">
        <v>181</v>
      </c>
      <c r="C55" s="338">
        <f>SUM(C53:C54)</f>
        <v>3231</v>
      </c>
      <c r="D55" s="305">
        <f>SUM(hivatal7!J55+hivatal7!M55+hivatal7!P55+hivatal8!D55+hivatal8!G55+hivatal8!J55+hivatal8!M55)</f>
        <v>7462</v>
      </c>
      <c r="E55" s="311">
        <f>SUM(hivatal7!K55+hivatal7!N55+hivatal7!Q55+hivatal8!E55+hivatal8!H55+hivatal8!K55+hivatal8!N55)</f>
        <v>10693</v>
      </c>
      <c r="F55" s="1090">
        <f>'önállóan gazd.'!O55</f>
        <v>0</v>
      </c>
      <c r="G55" s="285">
        <f>'önállóan gazd.'!P55</f>
        <v>0</v>
      </c>
      <c r="H55" s="283">
        <f>'önállóan gazd.'!Q55</f>
        <v>0</v>
      </c>
      <c r="I55" s="1090">
        <f>SUM(C55+F55)</f>
        <v>3231</v>
      </c>
      <c r="J55" s="285">
        <f>SUM(D55+G55)</f>
        <v>7462</v>
      </c>
      <c r="K55" s="1247">
        <f>SUM(E55+H55)</f>
        <v>10693</v>
      </c>
      <c r="L55" s="419"/>
    </row>
    <row r="56" spans="1:12" s="268" customFormat="1" ht="19.5" customHeight="1" thickBot="1">
      <c r="A56" s="691">
        <v>8</v>
      </c>
      <c r="B56" s="692" t="s">
        <v>414</v>
      </c>
      <c r="C56" s="1106">
        <f>C34-C40-C45-C46-C47-C51-C52-C55-C57-C58-C59</f>
        <v>-5686567</v>
      </c>
      <c r="D56" s="1107">
        <f>D34-D40-D45-D46-D47-D51-D52-D55-D57-D58-D59</f>
        <v>-90485</v>
      </c>
      <c r="E56" s="1104">
        <f aca="true" t="shared" si="18" ref="E56:K56">E34-E40-E45-E46-E47-E51-E52-E55-E57-E58-E59</f>
        <v>-5777052</v>
      </c>
      <c r="F56" s="1106">
        <f t="shared" si="18"/>
        <v>5686567</v>
      </c>
      <c r="G56" s="1107">
        <f t="shared" si="18"/>
        <v>90485</v>
      </c>
      <c r="H56" s="1104">
        <f t="shared" si="18"/>
        <v>5777052</v>
      </c>
      <c r="I56" s="1129">
        <f t="shared" si="18"/>
        <v>0</v>
      </c>
      <c r="J56" s="1131">
        <f t="shared" si="18"/>
        <v>0</v>
      </c>
      <c r="K56" s="1119">
        <f t="shared" si="18"/>
        <v>0</v>
      </c>
      <c r="L56" s="421"/>
    </row>
    <row r="57" spans="1:13" s="208" customFormat="1" ht="15.75">
      <c r="A57" s="327" t="s">
        <v>385</v>
      </c>
      <c r="B57" s="328" t="s">
        <v>184</v>
      </c>
      <c r="C57" s="297">
        <f>SUM(hivatal7!I57+hivatal7!L57+hivatal7!O57+hivatal8!C57+hivatal8!F57+hivatal8!I57+hivatal8!L57)</f>
        <v>4934641</v>
      </c>
      <c r="D57" s="224">
        <f>SUM(hivatal7!J57+hivatal7!M57+hivatal7!P57+hivatal8!D57+hivatal8!G57+hivatal8!J57+hivatal8!M57)</f>
        <v>0</v>
      </c>
      <c r="E57" s="238">
        <f>SUM(hivatal7!K57+hivatal7!N57+hivatal7!Q57+hivatal8!E57+hivatal8!H57+hivatal8!K57+hivatal8!N57)</f>
        <v>4934641</v>
      </c>
      <c r="F57" s="881">
        <f>'önállóan gazd.'!O57</f>
        <v>29049</v>
      </c>
      <c r="G57" s="146">
        <f>'önállóan gazd.'!P57</f>
        <v>0</v>
      </c>
      <c r="H57" s="860">
        <f>'önállóan gazd.'!Q57</f>
        <v>29049</v>
      </c>
      <c r="I57" s="1157">
        <f aca="true" t="shared" si="19" ref="I57:K59">SUM(C57+F57)</f>
        <v>4963690</v>
      </c>
      <c r="J57" s="1160">
        <f t="shared" si="19"/>
        <v>0</v>
      </c>
      <c r="K57" s="774">
        <f t="shared" si="19"/>
        <v>4963690</v>
      </c>
      <c r="L57" s="419"/>
      <c r="M57" s="302"/>
    </row>
    <row r="58" spans="1:12" s="208" customFormat="1" ht="15.75">
      <c r="A58" s="327" t="s">
        <v>183</v>
      </c>
      <c r="B58" s="328" t="s">
        <v>384</v>
      </c>
      <c r="C58" s="224">
        <f>SUM(hivatal7!I58+hivatal7!L58+hivatal7!O58+hivatal8!C58+hivatal8!F58+hivatal8!I58+hivatal8!L58)</f>
        <v>665000</v>
      </c>
      <c r="D58" s="224">
        <f>SUM(hivatal7!J58+hivatal7!M58+hivatal7!P58+hivatal8!D58+hivatal8!G58+hivatal8!J58+hivatal8!M58)</f>
        <v>0</v>
      </c>
      <c r="E58" s="224">
        <f>SUM(hivatal7!K58+hivatal7!N58+hivatal7!Q58+hivatal8!E58+hivatal8!H58+hivatal8!K58+hivatal8!N58)</f>
        <v>665000</v>
      </c>
      <c r="F58" s="881">
        <f>'önállóan gazd.'!O58</f>
        <v>0</v>
      </c>
      <c r="G58" s="146">
        <f>'önállóan gazd.'!P58</f>
        <v>0</v>
      </c>
      <c r="H58" s="860">
        <f>'önállóan gazd.'!Q58</f>
        <v>0</v>
      </c>
      <c r="I58" s="1158">
        <f t="shared" si="19"/>
        <v>665000</v>
      </c>
      <c r="J58" s="287">
        <f t="shared" si="19"/>
        <v>0</v>
      </c>
      <c r="K58" s="432">
        <f t="shared" si="19"/>
        <v>665000</v>
      </c>
      <c r="L58" s="419"/>
    </row>
    <row r="59" spans="1:12" s="208" customFormat="1" ht="16.5" thickBot="1">
      <c r="A59" s="342">
        <v>10</v>
      </c>
      <c r="B59" s="343"/>
      <c r="C59" s="433">
        <f>SUM(hivatal7!I59+hivatal7!L59+hivatal7!O59+hivatal8!C59+hivatal8!F59+hivatal8!I59+hivatal8!L59)</f>
        <v>0</v>
      </c>
      <c r="D59" s="434">
        <f>SUM(hivatal7!J59+hivatal7!M59+hivatal7!P59+hivatal8!D59+hivatal8!G59+hivatal8!J59+hivatal8!M59)</f>
        <v>0</v>
      </c>
      <c r="E59" s="435">
        <f>SUM(hivatal7!K59+hivatal7!N59+hivatal7!Q59+hivatal8!E59+hivatal8!H59+hivatal8!K59+hivatal8!N59)</f>
        <v>0</v>
      </c>
      <c r="F59" s="150">
        <f>'önállóan gazd.'!O59</f>
        <v>0</v>
      </c>
      <c r="G59" s="146">
        <f>'önállóan gazd.'!P59</f>
        <v>0</v>
      </c>
      <c r="H59" s="298">
        <f>'önállóan gazd.'!Q59</f>
        <v>0</v>
      </c>
      <c r="I59" s="436">
        <f t="shared" si="19"/>
        <v>0</v>
      </c>
      <c r="J59" s="437">
        <f t="shared" si="19"/>
        <v>0</v>
      </c>
      <c r="K59" s="438">
        <f t="shared" si="19"/>
        <v>0</v>
      </c>
      <c r="L59" s="419"/>
    </row>
    <row r="60" spans="1:12" s="159" customFormat="1" ht="17.25" thickBot="1" thickTop="1">
      <c r="A60" s="334" t="s">
        <v>109</v>
      </c>
      <c r="B60" s="336" t="s">
        <v>182</v>
      </c>
      <c r="C60" s="368">
        <f>C40+C45+C46+C47+C51+C52+C55+C56+C57+C58+C59</f>
        <v>10431597</v>
      </c>
      <c r="D60" s="369">
        <f aca="true" t="shared" si="20" ref="D60:J60">D40+D45+D46+D47+D51+D52+D55+D56+D57+D58+D59</f>
        <v>1085350</v>
      </c>
      <c r="E60" s="440">
        <f t="shared" si="20"/>
        <v>11516947</v>
      </c>
      <c r="F60" s="439">
        <f t="shared" si="20"/>
        <v>6202204</v>
      </c>
      <c r="G60" s="750">
        <f t="shared" si="20"/>
        <v>102673</v>
      </c>
      <c r="H60" s="440">
        <f t="shared" si="20"/>
        <v>6304877</v>
      </c>
      <c r="I60" s="368">
        <f t="shared" si="20"/>
        <v>16633801</v>
      </c>
      <c r="J60" s="369">
        <f t="shared" si="20"/>
        <v>1188023</v>
      </c>
      <c r="K60" s="751">
        <f>K40+K45+K46+K47+K51+K52+K55+K56+K57+K58+K59</f>
        <v>17821824</v>
      </c>
      <c r="L60" s="419"/>
    </row>
    <row r="61" spans="1:12" s="94" customFormat="1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773"/>
      <c r="J61" s="773"/>
      <c r="K61" s="172"/>
      <c r="L61" s="348"/>
    </row>
    <row r="62" spans="1:12" s="94" customFormat="1" ht="17.25" thickBot="1" thickTop="1">
      <c r="A62" s="174"/>
      <c r="B62" s="175" t="s">
        <v>593</v>
      </c>
      <c r="C62" s="282">
        <f>SUM(hivatal7!I62+hivatal7!L62+hivatal7!O62+hivatal8!C62+hivatal8!F62+hivatal8!I62)</f>
        <v>40</v>
      </c>
      <c r="D62" s="282">
        <f>SUM(hivatal7!J62+hivatal7!M62+hivatal7!P62+hivatal8!D62+hivatal8!G62+hivatal8!J62)</f>
        <v>0</v>
      </c>
      <c r="E62" s="282">
        <f>SUM(hivatal7!K62+hivatal7!N62+hivatal7!Q62+hivatal8!E62+hivatal8!H62+hivatal8!K62)</f>
        <v>40</v>
      </c>
      <c r="F62" s="441">
        <f>'önállóan gazd.'!O62</f>
        <v>805</v>
      </c>
      <c r="G62" s="442">
        <f>'önállóan gazd.'!P62</f>
        <v>0</v>
      </c>
      <c r="H62" s="443">
        <f>'önállóan gazd.'!Q62</f>
        <v>805</v>
      </c>
      <c r="I62" s="441">
        <f aca="true" t="shared" si="21" ref="I62:K63">SUM(C62+F62)</f>
        <v>845</v>
      </c>
      <c r="J62" s="444">
        <f t="shared" si="21"/>
        <v>0</v>
      </c>
      <c r="K62" s="445">
        <f t="shared" si="21"/>
        <v>845</v>
      </c>
      <c r="L62" s="348"/>
    </row>
    <row r="63" spans="1:12" s="94" customFormat="1" ht="17.25" thickBot="1" thickTop="1">
      <c r="A63" s="174"/>
      <c r="B63" s="175" t="s">
        <v>594</v>
      </c>
      <c r="C63" s="282">
        <f>SUM(hivatal7!I63+hivatal7!L63+hivatal7!O63+hivatal8!C63+hivatal8!F63+hivatal8!I63)</f>
        <v>10</v>
      </c>
      <c r="D63" s="282">
        <f>SUM(hivatal7!J63+hivatal7!M63+hivatal7!P63+hivatal8!D63+hivatal8!G63+hivatal8!J63)</f>
        <v>0</v>
      </c>
      <c r="E63" s="282">
        <f>SUM(hivatal7!K63+hivatal7!N63+hivatal7!Q63+hivatal8!E63+hivatal8!H63+hivatal8!K63)</f>
        <v>10</v>
      </c>
      <c r="F63" s="441">
        <f>'önállóan gazd.'!O63</f>
        <v>0</v>
      </c>
      <c r="G63" s="442">
        <f>'önállóan gazd.'!P63</f>
        <v>0</v>
      </c>
      <c r="H63" s="443">
        <f>'önállóan gazd.'!Q63</f>
        <v>0</v>
      </c>
      <c r="I63" s="446">
        <f t="shared" si="21"/>
        <v>10</v>
      </c>
      <c r="J63" s="447">
        <f t="shared" si="21"/>
        <v>0</v>
      </c>
      <c r="K63" s="448">
        <f t="shared" si="21"/>
        <v>10</v>
      </c>
      <c r="L63" s="348"/>
    </row>
    <row r="64" spans="1:12" s="94" customFormat="1" ht="16.5" thickTop="1">
      <c r="A64" s="409"/>
      <c r="D64" s="111"/>
      <c r="L64" s="348"/>
    </row>
    <row r="65" spans="1:12" s="94" customFormat="1" ht="15.75">
      <c r="A65" s="409"/>
      <c r="C65" s="111">
        <f>SUM(C36:C59)</f>
        <v>19387899</v>
      </c>
      <c r="G65" s="111"/>
      <c r="J65" s="111">
        <f>SUM(J36:J55)+J58</f>
        <v>2323358</v>
      </c>
      <c r="L65" s="348"/>
    </row>
    <row r="66" spans="1:12" s="94" customFormat="1" ht="12.75">
      <c r="A66" s="410"/>
      <c r="L66" s="348"/>
    </row>
    <row r="67" spans="1:12" s="94" customFormat="1" ht="12.75">
      <c r="A67" s="410"/>
      <c r="L67" s="348"/>
    </row>
    <row r="68" spans="1:12" s="94" customFormat="1" ht="12.75">
      <c r="A68" s="410"/>
      <c r="L68" s="348"/>
    </row>
    <row r="69" spans="1:12" s="94" customFormat="1" ht="12.75">
      <c r="A69" s="410"/>
      <c r="L69" s="348"/>
    </row>
    <row r="70" spans="1:12" s="94" customFormat="1" ht="12.75">
      <c r="A70" s="410"/>
      <c r="L70" s="348"/>
    </row>
    <row r="71" spans="1:12" s="94" customFormat="1" ht="12.75">
      <c r="A71" s="410"/>
      <c r="L71" s="348"/>
    </row>
    <row r="72" spans="1:12" s="94" customFormat="1" ht="12.75">
      <c r="A72" s="410"/>
      <c r="L72" s="348"/>
    </row>
    <row r="73" spans="1:12" s="94" customFormat="1" ht="12.75">
      <c r="A73" s="410"/>
      <c r="L73" s="348"/>
    </row>
    <row r="74" spans="1:12" s="94" customFormat="1" ht="12.75">
      <c r="A74" s="410"/>
      <c r="L74" s="348"/>
    </row>
    <row r="75" spans="1:12" s="94" customFormat="1" ht="12.75">
      <c r="A75" s="410"/>
      <c r="L75" s="348"/>
    </row>
    <row r="76" spans="1:12" s="94" customFormat="1" ht="12.75">
      <c r="A76" s="410"/>
      <c r="L76" s="348"/>
    </row>
    <row r="77" spans="1:12" s="94" customFormat="1" ht="12.75">
      <c r="A77" s="410"/>
      <c r="L77" s="348"/>
    </row>
    <row r="78" spans="1:12" s="94" customFormat="1" ht="12.75">
      <c r="A78" s="410"/>
      <c r="L78" s="348"/>
    </row>
    <row r="79" spans="1:12" s="94" customFormat="1" ht="12.75">
      <c r="A79" s="410"/>
      <c r="L79" s="348"/>
    </row>
    <row r="80" spans="1:12" s="94" customFormat="1" ht="12.75">
      <c r="A80" s="410"/>
      <c r="L80" s="348"/>
    </row>
    <row r="81" spans="1:12" s="94" customFormat="1" ht="12.75">
      <c r="A81" s="410"/>
      <c r="L81" s="348"/>
    </row>
    <row r="82" spans="1:12" s="94" customFormat="1" ht="12.75">
      <c r="A82" s="410"/>
      <c r="L82" s="348"/>
    </row>
    <row r="83" spans="1:12" s="94" customFormat="1" ht="12.75">
      <c r="A83" s="410"/>
      <c r="L83" s="348"/>
    </row>
    <row r="84" spans="1:12" s="94" customFormat="1" ht="12.75">
      <c r="A84" s="410"/>
      <c r="L84" s="348"/>
    </row>
    <row r="85" spans="1:12" s="94" customFormat="1" ht="12.75">
      <c r="A85" s="410"/>
      <c r="L85" s="348"/>
    </row>
    <row r="86" spans="1:12" s="94" customFormat="1" ht="12.75">
      <c r="A86" s="410"/>
      <c r="L86" s="348"/>
    </row>
    <row r="87" spans="1:12" s="94" customFormat="1" ht="12.75">
      <c r="A87" s="410"/>
      <c r="L87" s="348"/>
    </row>
    <row r="88" spans="1:12" s="94" customFormat="1" ht="12.75">
      <c r="A88" s="410"/>
      <c r="L88" s="348"/>
    </row>
    <row r="89" spans="1:12" s="94" customFormat="1" ht="12.75">
      <c r="A89" s="410"/>
      <c r="L89" s="348"/>
    </row>
    <row r="90" spans="1:12" s="94" customFormat="1" ht="12.75">
      <c r="A90" s="410"/>
      <c r="L90" s="348"/>
    </row>
    <row r="91" spans="1:21" s="94" customFormat="1" ht="12.75">
      <c r="A91" s="410"/>
      <c r="L91" s="348"/>
      <c r="M91" s="348"/>
      <c r="N91" s="348"/>
      <c r="O91" s="348"/>
      <c r="P91" s="348"/>
      <c r="Q91" s="348"/>
      <c r="R91" s="348"/>
      <c r="S91" s="348"/>
      <c r="T91" s="348"/>
      <c r="U91" s="348"/>
    </row>
    <row r="92" spans="1:21" s="94" customFormat="1" ht="12.75">
      <c r="A92" s="410"/>
      <c r="L92" s="348"/>
      <c r="M92" s="348"/>
      <c r="N92" s="348"/>
      <c r="O92" s="348"/>
      <c r="P92" s="348"/>
      <c r="Q92" s="348"/>
      <c r="R92" s="348"/>
      <c r="S92" s="348"/>
      <c r="T92" s="348"/>
      <c r="U92" s="348"/>
    </row>
    <row r="93" spans="1:21" s="94" customFormat="1" ht="12.75">
      <c r="A93" s="410"/>
      <c r="L93" s="348"/>
      <c r="M93" s="348"/>
      <c r="N93" s="348"/>
      <c r="O93" s="348"/>
      <c r="P93" s="348"/>
      <c r="Q93" s="348"/>
      <c r="R93" s="348"/>
      <c r="S93" s="348"/>
      <c r="T93" s="348"/>
      <c r="U93" s="348"/>
    </row>
    <row r="94" spans="1:21" s="94" customFormat="1" ht="12.75">
      <c r="A94" s="410"/>
      <c r="L94" s="348"/>
      <c r="M94" s="348"/>
      <c r="N94" s="348"/>
      <c r="O94" s="348"/>
      <c r="P94" s="348"/>
      <c r="Q94" s="348"/>
      <c r="R94" s="348"/>
      <c r="S94" s="348"/>
      <c r="T94" s="348"/>
      <c r="U94" s="348"/>
    </row>
    <row r="95" spans="1:21" s="94" customFormat="1" ht="12.75">
      <c r="A95" s="410"/>
      <c r="L95" s="348"/>
      <c r="M95" s="348"/>
      <c r="N95" s="348"/>
      <c r="O95" s="348"/>
      <c r="P95" s="348"/>
      <c r="Q95" s="348"/>
      <c r="R95" s="348"/>
      <c r="S95" s="348"/>
      <c r="T95" s="348"/>
      <c r="U95" s="348"/>
    </row>
    <row r="96" spans="1:21" s="94" customFormat="1" ht="12.75">
      <c r="A96" s="410"/>
      <c r="L96" s="348"/>
      <c r="M96" s="348"/>
      <c r="N96" s="348"/>
      <c r="O96" s="348"/>
      <c r="P96" s="348"/>
      <c r="Q96" s="348"/>
      <c r="R96" s="348"/>
      <c r="S96" s="348"/>
      <c r="T96" s="348"/>
      <c r="U96" s="348"/>
    </row>
    <row r="97" spans="1:21" s="94" customFormat="1" ht="12.75">
      <c r="A97" s="410"/>
      <c r="L97" s="348"/>
      <c r="M97" s="348"/>
      <c r="N97" s="348"/>
      <c r="O97" s="348"/>
      <c r="P97" s="348"/>
      <c r="Q97" s="348"/>
      <c r="R97" s="348"/>
      <c r="S97" s="348"/>
      <c r="T97" s="348"/>
      <c r="U97" s="348"/>
    </row>
    <row r="98" spans="1:21" s="94" customFormat="1" ht="12.75">
      <c r="A98" s="410"/>
      <c r="L98" s="348"/>
      <c r="M98" s="348"/>
      <c r="N98" s="348"/>
      <c r="O98" s="348"/>
      <c r="P98" s="348"/>
      <c r="Q98" s="348"/>
      <c r="R98" s="348"/>
      <c r="S98" s="348"/>
      <c r="T98" s="348"/>
      <c r="U98" s="348"/>
    </row>
    <row r="99" spans="1:21" s="94" customFormat="1" ht="12.75">
      <c r="A99" s="410"/>
      <c r="L99" s="348"/>
      <c r="M99" s="348"/>
      <c r="N99" s="348"/>
      <c r="O99" s="348"/>
      <c r="P99" s="348"/>
      <c r="Q99" s="348"/>
      <c r="R99" s="348"/>
      <c r="S99" s="348"/>
      <c r="T99" s="348"/>
      <c r="U99" s="348"/>
    </row>
    <row r="100" spans="1:21" s="94" customFormat="1" ht="12.75">
      <c r="A100" s="410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</row>
    <row r="101" spans="1:21" s="94" customFormat="1" ht="12.75">
      <c r="A101" s="410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</row>
    <row r="102" spans="1:21" s="94" customFormat="1" ht="12.75">
      <c r="A102" s="410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</row>
    <row r="103" spans="1:21" s="94" customFormat="1" ht="12.75">
      <c r="A103" s="410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</row>
    <row r="104" spans="1:21" s="94" customFormat="1" ht="12.75">
      <c r="A104" s="410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</row>
    <row r="105" spans="1:21" s="94" customFormat="1" ht="12.75">
      <c r="A105" s="410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</row>
    <row r="106" spans="1:21" s="94" customFormat="1" ht="12.75">
      <c r="A106" s="410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</row>
  </sheetData>
  <sheetProtection/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PageLayoutView="0" workbookViewId="0" topLeftCell="A1">
      <pane xSplit="3" ySplit="8" topLeftCell="D9" activePane="bottomRight" state="frozen"/>
      <selection pane="topLeft" activeCell="U91" sqref="U91"/>
      <selection pane="topRight" activeCell="U91" sqref="U91"/>
      <selection pane="bottomLeft" activeCell="U91" sqref="U91"/>
      <selection pane="bottomRight" activeCell="F1" sqref="F1"/>
    </sheetView>
  </sheetViews>
  <sheetFormatPr defaultColWidth="9.00390625" defaultRowHeight="12.75"/>
  <cols>
    <col min="1" max="1" width="2.50390625" style="0" customWidth="1"/>
    <col min="2" max="2" width="3.50390625" style="22" customWidth="1"/>
    <col min="3" max="3" width="96.375" style="22" customWidth="1"/>
    <col min="4" max="6" width="13.875" style="22" customWidth="1"/>
  </cols>
  <sheetData>
    <row r="1" spans="2:6" ht="10.5" customHeight="1">
      <c r="B1" s="38"/>
      <c r="F1" s="109" t="s">
        <v>857</v>
      </c>
    </row>
    <row r="2" spans="2:6" ht="12" customHeight="1">
      <c r="B2" s="38"/>
      <c r="F2" s="109" t="s">
        <v>93</v>
      </c>
    </row>
    <row r="3" ht="23.25" customHeight="1">
      <c r="B3" s="38"/>
    </row>
    <row r="4" spans="1:6" s="94" customFormat="1" ht="33" customHeight="1">
      <c r="A4" s="131"/>
      <c r="B4" s="1924" t="s">
        <v>579</v>
      </c>
      <c r="C4" s="1924"/>
      <c r="D4" s="1924"/>
      <c r="E4" s="1924"/>
      <c r="F4" s="1924"/>
    </row>
    <row r="5" spans="1:6" s="569" customFormat="1" ht="19.5" customHeight="1">
      <c r="A5" s="679"/>
      <c r="B5" s="1925" t="s">
        <v>586</v>
      </c>
      <c r="C5" s="1925"/>
      <c r="D5" s="1925"/>
      <c r="E5" s="1925"/>
      <c r="F5" s="1925"/>
    </row>
    <row r="6" spans="3:6" ht="21" customHeight="1" thickBot="1">
      <c r="C6" s="39"/>
      <c r="D6" s="40"/>
      <c r="E6" s="40"/>
      <c r="F6" s="274" t="s">
        <v>134</v>
      </c>
    </row>
    <row r="7" spans="2:6" ht="24.75" thickBot="1">
      <c r="B7" s="87" t="s">
        <v>151</v>
      </c>
      <c r="C7" s="88"/>
      <c r="D7" s="1526" t="s">
        <v>665</v>
      </c>
      <c r="E7" s="132" t="s">
        <v>130</v>
      </c>
      <c r="F7" s="133" t="s">
        <v>661</v>
      </c>
    </row>
    <row r="8" spans="2:6" ht="13.5" thickBot="1">
      <c r="B8" s="84"/>
      <c r="C8" s="85">
        <v>1</v>
      </c>
      <c r="D8" s="86">
        <v>2</v>
      </c>
      <c r="E8" s="86">
        <v>3</v>
      </c>
      <c r="F8" s="86">
        <v>4</v>
      </c>
    </row>
    <row r="9" spans="2:6" ht="12.75">
      <c r="B9" s="80"/>
      <c r="C9" s="1726" t="s">
        <v>810</v>
      </c>
      <c r="D9" s="75">
        <v>0</v>
      </c>
      <c r="E9" s="75">
        <v>370734</v>
      </c>
      <c r="F9" s="137">
        <f aca="true" t="shared" si="0" ref="F9:F18">SUM(D9:E9)</f>
        <v>370734</v>
      </c>
    </row>
    <row r="10" spans="2:6" ht="12.75">
      <c r="B10" s="80"/>
      <c r="C10" s="1726" t="s">
        <v>193</v>
      </c>
      <c r="D10" s="75">
        <v>10000</v>
      </c>
      <c r="E10" s="75"/>
      <c r="F10" s="137">
        <f t="shared" si="0"/>
        <v>10000</v>
      </c>
    </row>
    <row r="11" spans="2:6" ht="12.75">
      <c r="B11" s="80"/>
      <c r="C11" s="1726" t="s">
        <v>476</v>
      </c>
      <c r="D11" s="75">
        <v>1000</v>
      </c>
      <c r="E11" s="75"/>
      <c r="F11" s="137">
        <f t="shared" si="0"/>
        <v>1000</v>
      </c>
    </row>
    <row r="12" spans="2:6" ht="12.75">
      <c r="B12" s="80"/>
      <c r="C12" s="1726" t="s">
        <v>550</v>
      </c>
      <c r="D12" s="75">
        <v>44878</v>
      </c>
      <c r="E12" s="75">
        <v>-1481</v>
      </c>
      <c r="F12" s="137">
        <f t="shared" si="0"/>
        <v>43397</v>
      </c>
    </row>
    <row r="13" spans="2:6" ht="12.75">
      <c r="B13" s="80"/>
      <c r="C13" s="1727" t="s">
        <v>820</v>
      </c>
      <c r="D13" s="75">
        <v>15382</v>
      </c>
      <c r="E13" s="75">
        <v>-5000</v>
      </c>
      <c r="F13" s="137">
        <f t="shared" si="0"/>
        <v>10382</v>
      </c>
    </row>
    <row r="14" spans="2:6" ht="12.75">
      <c r="B14" s="80"/>
      <c r="C14" s="1727" t="s">
        <v>821</v>
      </c>
      <c r="D14" s="75"/>
      <c r="E14" s="75">
        <v>5000</v>
      </c>
      <c r="F14" s="137">
        <f t="shared" si="0"/>
        <v>5000</v>
      </c>
    </row>
    <row r="15" spans="2:6" ht="12.75">
      <c r="B15" s="80"/>
      <c r="C15" s="1727" t="s">
        <v>842</v>
      </c>
      <c r="D15" s="75">
        <v>1165</v>
      </c>
      <c r="E15" s="75">
        <v>-1165</v>
      </c>
      <c r="F15" s="137">
        <f t="shared" si="0"/>
        <v>0</v>
      </c>
    </row>
    <row r="16" spans="2:6" ht="12.75">
      <c r="B16" s="80"/>
      <c r="C16" s="1726" t="s">
        <v>503</v>
      </c>
      <c r="D16" s="75">
        <v>15200</v>
      </c>
      <c r="E16" s="75"/>
      <c r="F16" s="137">
        <f t="shared" si="0"/>
        <v>15200</v>
      </c>
    </row>
    <row r="17" spans="2:6" ht="12.75">
      <c r="B17" s="80"/>
      <c r="C17" s="1726" t="s">
        <v>141</v>
      </c>
      <c r="D17" s="75">
        <v>279</v>
      </c>
      <c r="E17" s="75"/>
      <c r="F17" s="75">
        <f t="shared" si="0"/>
        <v>279</v>
      </c>
    </row>
    <row r="18" spans="2:6" ht="12.75">
      <c r="B18" s="80"/>
      <c r="C18" s="1726" t="s">
        <v>780</v>
      </c>
      <c r="D18" s="75">
        <v>175</v>
      </c>
      <c r="E18" s="75"/>
      <c r="F18" s="75">
        <f t="shared" si="0"/>
        <v>175</v>
      </c>
    </row>
    <row r="19" spans="2:6" ht="12.75">
      <c r="B19" s="80"/>
      <c r="C19" s="41" t="s">
        <v>166</v>
      </c>
      <c r="D19" s="76"/>
      <c r="E19" s="76">
        <v>190</v>
      </c>
      <c r="F19" s="75">
        <f>SUM(D19:E19)</f>
        <v>190</v>
      </c>
    </row>
    <row r="20" spans="2:6" ht="12.75">
      <c r="B20" s="80"/>
      <c r="C20" s="41" t="s">
        <v>77</v>
      </c>
      <c r="D20" s="76"/>
      <c r="E20" s="76">
        <v>271</v>
      </c>
      <c r="F20" s="75">
        <f>SUM(D20:E20)</f>
        <v>271</v>
      </c>
    </row>
    <row r="21" spans="2:6" ht="13.5" thickBot="1">
      <c r="B21" s="1536"/>
      <c r="C21" s="1728" t="s">
        <v>811</v>
      </c>
      <c r="D21" s="1725">
        <f>SUM(D19:D20)</f>
        <v>0</v>
      </c>
      <c r="E21" s="1725">
        <f>SUM(E19:E20)</f>
        <v>461</v>
      </c>
      <c r="F21" s="1725">
        <f>SUM(F19:F20)</f>
        <v>461</v>
      </c>
    </row>
    <row r="22" spans="2:9" ht="13.5" thickBot="1">
      <c r="B22" s="118">
        <v>1</v>
      </c>
      <c r="C22" s="119" t="s">
        <v>501</v>
      </c>
      <c r="D22" s="110">
        <f>D9+D10+D11+D12+D13+D14+D15+D16+D17+D18+D21</f>
        <v>88079</v>
      </c>
      <c r="E22" s="110">
        <f>E9+E10+E11+E12+E13+E14+E15+E16+E17+E18+E21</f>
        <v>368549</v>
      </c>
      <c r="F22" s="110">
        <f>F9+F10+F11+F12+F13+F14+F15+F16+F17+F18+F21</f>
        <v>456628</v>
      </c>
      <c r="G22" s="18">
        <f>SUM(D22:E22)</f>
        <v>456628</v>
      </c>
      <c r="H22" s="18">
        <f>hivatal9!K30</f>
        <v>456628</v>
      </c>
      <c r="I22" s="18"/>
    </row>
    <row r="23" spans="2:9" ht="12.75">
      <c r="B23" s="1750"/>
      <c r="C23" s="1752" t="s">
        <v>842</v>
      </c>
      <c r="D23" s="1751"/>
      <c r="E23" s="1751">
        <v>1165</v>
      </c>
      <c r="F23" s="1751">
        <f>SUM(D23:E23)</f>
        <v>1165</v>
      </c>
      <c r="G23" s="18"/>
      <c r="H23" s="18"/>
      <c r="I23" s="18"/>
    </row>
    <row r="24" spans="2:9" ht="13.5" thickBot="1">
      <c r="B24" s="1536"/>
      <c r="C24" s="1753" t="s">
        <v>843</v>
      </c>
      <c r="D24" s="1725"/>
      <c r="E24" s="1725">
        <v>6019</v>
      </c>
      <c r="F24" s="137">
        <f>SUM(D24:E24)</f>
        <v>6019</v>
      </c>
      <c r="G24" s="18"/>
      <c r="H24" s="18"/>
      <c r="I24" s="18"/>
    </row>
    <row r="25" spans="2:9" ht="13.5" thickBot="1">
      <c r="B25" s="118">
        <v>2</v>
      </c>
      <c r="C25" s="119" t="s">
        <v>841</v>
      </c>
      <c r="D25" s="110">
        <f>SUM(D23:D24)</f>
        <v>0</v>
      </c>
      <c r="E25" s="110">
        <f>SUM(E23:E24)</f>
        <v>7184</v>
      </c>
      <c r="F25" s="110">
        <f>SUM(F23:F24)</f>
        <v>7184</v>
      </c>
      <c r="G25" s="18">
        <f>SUM(D25:E25)</f>
        <v>7184</v>
      </c>
      <c r="H25" s="18">
        <f>hivatal9!K28</f>
        <v>7184</v>
      </c>
      <c r="I25" s="18"/>
    </row>
    <row r="26" spans="2:8" ht="13.5" thickBot="1">
      <c r="B26" s="123" t="s">
        <v>108</v>
      </c>
      <c r="C26" s="126" t="s">
        <v>422</v>
      </c>
      <c r="D26" s="115">
        <f>D22+D25</f>
        <v>88079</v>
      </c>
      <c r="E26" s="115">
        <f>E22+E25</f>
        <v>375733</v>
      </c>
      <c r="F26" s="115">
        <f>F22+F25</f>
        <v>463812</v>
      </c>
      <c r="G26" s="18">
        <f>SUM(D26:E26)</f>
        <v>463812</v>
      </c>
      <c r="H26" s="18"/>
    </row>
    <row r="27" spans="2:8" ht="12.75">
      <c r="B27" s="1394"/>
      <c r="C27" s="1395" t="s">
        <v>779</v>
      </c>
      <c r="D27" s="1399">
        <v>146882</v>
      </c>
      <c r="E27" s="1399"/>
      <c r="F27" s="76">
        <f>SUM(D27:E27)</f>
        <v>146882</v>
      </c>
      <c r="G27" s="18"/>
      <c r="H27" s="18"/>
    </row>
    <row r="28" spans="2:8" ht="12.75">
      <c r="B28" s="1396"/>
      <c r="C28" s="1398" t="s">
        <v>596</v>
      </c>
      <c r="D28" s="1400">
        <v>13000</v>
      </c>
      <c r="E28" s="1400">
        <v>-734</v>
      </c>
      <c r="F28" s="76">
        <f>SUM(D28:E28)</f>
        <v>12266</v>
      </c>
      <c r="G28" s="18"/>
      <c r="H28" s="18"/>
    </row>
    <row r="29" spans="2:8" ht="12.75">
      <c r="B29" s="1396"/>
      <c r="C29" s="1398" t="s">
        <v>597</v>
      </c>
      <c r="D29" s="1400">
        <v>6480</v>
      </c>
      <c r="E29" s="1397"/>
      <c r="F29" s="76">
        <f>SUM(D29:E29)</f>
        <v>6480</v>
      </c>
      <c r="G29" s="18"/>
      <c r="H29" s="18"/>
    </row>
    <row r="30" spans="2:8" ht="12.75">
      <c r="B30" s="1392"/>
      <c r="C30" s="1401" t="s">
        <v>598</v>
      </c>
      <c r="D30" s="1402">
        <v>67686</v>
      </c>
      <c r="E30" s="1393"/>
      <c r="F30" s="76">
        <f>SUM(D30:E30)</f>
        <v>67686</v>
      </c>
      <c r="G30" s="18"/>
      <c r="H30" s="18"/>
    </row>
    <row r="31" spans="2:6" ht="12.75">
      <c r="B31" s="80"/>
      <c r="C31" s="103" t="s">
        <v>778</v>
      </c>
      <c r="D31" s="1336">
        <f>SUM(D27:D30)</f>
        <v>234048</v>
      </c>
      <c r="E31" s="1336">
        <f>SUM(E27:E30)</f>
        <v>-734</v>
      </c>
      <c r="F31" s="72">
        <f>SUM(F27:F30)</f>
        <v>233314</v>
      </c>
    </row>
    <row r="32" spans="2:6" ht="13.5" customHeight="1">
      <c r="B32" s="80"/>
      <c r="C32" s="103" t="s">
        <v>569</v>
      </c>
      <c r="D32" s="1336">
        <v>319030</v>
      </c>
      <c r="E32" s="75"/>
      <c r="F32" s="72">
        <f aca="true" t="shared" si="1" ref="F32:F37">SUM(D32:E32)</f>
        <v>319030</v>
      </c>
    </row>
    <row r="33" spans="2:6" ht="13.5" customHeight="1">
      <c r="B33" s="80"/>
      <c r="C33" s="103" t="s">
        <v>65</v>
      </c>
      <c r="D33" s="1336">
        <v>103155</v>
      </c>
      <c r="E33" s="75"/>
      <c r="F33" s="72">
        <f t="shared" si="1"/>
        <v>103155</v>
      </c>
    </row>
    <row r="34" spans="2:6" ht="12.75">
      <c r="B34" s="102"/>
      <c r="C34" s="103" t="s">
        <v>165</v>
      </c>
      <c r="D34" s="1336"/>
      <c r="E34" s="72"/>
      <c r="F34" s="72">
        <f t="shared" si="1"/>
        <v>0</v>
      </c>
    </row>
    <row r="35" spans="2:6" ht="12.75">
      <c r="B35" s="102"/>
      <c r="C35" s="41" t="s">
        <v>439</v>
      </c>
      <c r="D35" s="1337"/>
      <c r="E35" s="76">
        <v>10000</v>
      </c>
      <c r="F35" s="76">
        <f t="shared" si="1"/>
        <v>10000</v>
      </c>
    </row>
    <row r="36" spans="2:6" ht="12.75">
      <c r="B36" s="102"/>
      <c r="C36" s="41" t="s">
        <v>166</v>
      </c>
      <c r="D36" s="1337">
        <v>2274</v>
      </c>
      <c r="E36" s="76">
        <v>-190</v>
      </c>
      <c r="F36" s="76">
        <f t="shared" si="1"/>
        <v>2084</v>
      </c>
    </row>
    <row r="37" spans="2:6" ht="12.75">
      <c r="B37" s="102"/>
      <c r="C37" s="41" t="s">
        <v>167</v>
      </c>
      <c r="D37" s="1337">
        <v>1600</v>
      </c>
      <c r="E37" s="76"/>
      <c r="F37" s="76">
        <f t="shared" si="1"/>
        <v>1600</v>
      </c>
    </row>
    <row r="38" spans="2:6" ht="12.75">
      <c r="B38" s="102"/>
      <c r="C38" s="41" t="s">
        <v>168</v>
      </c>
      <c r="D38" s="1337">
        <v>9623</v>
      </c>
      <c r="E38" s="76"/>
      <c r="F38" s="76">
        <f aca="true" t="shared" si="2" ref="F38:F44">SUM(D38:E38)</f>
        <v>9623</v>
      </c>
    </row>
    <row r="39" spans="2:6" ht="12.75">
      <c r="B39" s="102"/>
      <c r="C39" s="41" t="s">
        <v>527</v>
      </c>
      <c r="D39" s="1337">
        <v>867</v>
      </c>
      <c r="E39" s="76"/>
      <c r="F39" s="76">
        <f t="shared" si="2"/>
        <v>867</v>
      </c>
    </row>
    <row r="40" spans="2:6" ht="12.75">
      <c r="B40" s="102"/>
      <c r="C40" s="41" t="s">
        <v>170</v>
      </c>
      <c r="D40" s="1337">
        <v>4982</v>
      </c>
      <c r="E40" s="76"/>
      <c r="F40" s="76">
        <f t="shared" si="2"/>
        <v>4982</v>
      </c>
    </row>
    <row r="41" spans="2:6" ht="12.75">
      <c r="B41" s="102"/>
      <c r="C41" s="41" t="s">
        <v>169</v>
      </c>
      <c r="D41" s="1337">
        <v>3684</v>
      </c>
      <c r="E41" s="76"/>
      <c r="F41" s="76">
        <f t="shared" si="2"/>
        <v>3684</v>
      </c>
    </row>
    <row r="42" spans="2:6" ht="12.75">
      <c r="B42" s="102"/>
      <c r="C42" s="41" t="s">
        <v>91</v>
      </c>
      <c r="D42" s="1337">
        <v>1000</v>
      </c>
      <c r="E42" s="76"/>
      <c r="F42" s="76">
        <f t="shared" si="2"/>
        <v>1000</v>
      </c>
    </row>
    <row r="43" spans="2:6" ht="12.75">
      <c r="B43" s="102"/>
      <c r="C43" s="41" t="s">
        <v>77</v>
      </c>
      <c r="D43" s="1337">
        <v>1200</v>
      </c>
      <c r="E43" s="76">
        <v>-271</v>
      </c>
      <c r="F43" s="76">
        <f t="shared" si="2"/>
        <v>929</v>
      </c>
    </row>
    <row r="44" spans="2:6" ht="12.75">
      <c r="B44" s="102"/>
      <c r="C44" s="41" t="s">
        <v>599</v>
      </c>
      <c r="D44" s="1337">
        <v>8000</v>
      </c>
      <c r="E44" s="76">
        <v>-154</v>
      </c>
      <c r="F44" s="76">
        <f t="shared" si="2"/>
        <v>7846</v>
      </c>
    </row>
    <row r="45" spans="2:6" ht="12.75">
      <c r="B45" s="80"/>
      <c r="C45" s="103" t="s">
        <v>195</v>
      </c>
      <c r="D45" s="1336">
        <f>SUM(D35:D44)</f>
        <v>33230</v>
      </c>
      <c r="E45" s="1336">
        <f>SUM(E35:E44)</f>
        <v>9385</v>
      </c>
      <c r="F45" s="1336">
        <f>SUM(F35:F44)</f>
        <v>42615</v>
      </c>
    </row>
    <row r="46" spans="2:6" ht="12.75">
      <c r="B46" s="80"/>
      <c r="C46" s="103" t="s">
        <v>438</v>
      </c>
      <c r="D46" s="1336">
        <v>4000</v>
      </c>
      <c r="E46" s="75">
        <v>-1034</v>
      </c>
      <c r="F46" s="72">
        <f aca="true" t="shared" si="3" ref="F46:F65">SUM(D46:E46)</f>
        <v>2966</v>
      </c>
    </row>
    <row r="47" spans="2:6" ht="12.75">
      <c r="B47" s="81"/>
      <c r="C47" s="42" t="s">
        <v>152</v>
      </c>
      <c r="D47" s="1226">
        <v>27428</v>
      </c>
      <c r="E47" s="77"/>
      <c r="F47" s="76">
        <f t="shared" si="3"/>
        <v>27428</v>
      </c>
    </row>
    <row r="48" spans="2:6" ht="12.75">
      <c r="B48" s="81"/>
      <c r="C48" s="42" t="s">
        <v>153</v>
      </c>
      <c r="D48" s="1226">
        <v>4500</v>
      </c>
      <c r="E48" s="77"/>
      <c r="F48" s="76">
        <f t="shared" si="3"/>
        <v>4500</v>
      </c>
    </row>
    <row r="49" spans="2:6" ht="12.75">
      <c r="B49" s="81"/>
      <c r="C49" s="42" t="s">
        <v>154</v>
      </c>
      <c r="D49" s="1226">
        <v>7000</v>
      </c>
      <c r="E49" s="77"/>
      <c r="F49" s="76">
        <f t="shared" si="3"/>
        <v>7000</v>
      </c>
    </row>
    <row r="50" spans="2:6" ht="12.75">
      <c r="B50" s="81"/>
      <c r="C50" s="42" t="s">
        <v>155</v>
      </c>
      <c r="D50" s="1226">
        <v>8000</v>
      </c>
      <c r="E50" s="77"/>
      <c r="F50" s="76">
        <f t="shared" si="3"/>
        <v>8000</v>
      </c>
    </row>
    <row r="51" spans="2:6" ht="12.75">
      <c r="B51" s="81"/>
      <c r="C51" s="42" t="s">
        <v>528</v>
      </c>
      <c r="D51" s="1226">
        <v>2000</v>
      </c>
      <c r="E51" s="77"/>
      <c r="F51" s="76">
        <f t="shared" si="3"/>
        <v>2000</v>
      </c>
    </row>
    <row r="52" spans="2:6" ht="12.75">
      <c r="B52" s="81"/>
      <c r="C52" s="42" t="s">
        <v>156</v>
      </c>
      <c r="D52" s="1226">
        <v>5500</v>
      </c>
      <c r="E52" s="77"/>
      <c r="F52" s="76">
        <f t="shared" si="3"/>
        <v>5500</v>
      </c>
    </row>
    <row r="53" spans="2:6" ht="12.75">
      <c r="B53" s="100"/>
      <c r="C53" s="101" t="s">
        <v>157</v>
      </c>
      <c r="D53" s="1338">
        <f>SUM(D47:D52)</f>
        <v>54428</v>
      </c>
      <c r="E53" s="73">
        <f>SUM(E47:E52)</f>
        <v>0</v>
      </c>
      <c r="F53" s="73">
        <f>SUM(F47:F52)</f>
        <v>54428</v>
      </c>
    </row>
    <row r="54" spans="2:6" ht="12.75">
      <c r="B54" s="100"/>
      <c r="C54" s="101" t="s">
        <v>550</v>
      </c>
      <c r="D54" s="1338"/>
      <c r="E54" s="73"/>
      <c r="F54" s="74">
        <f t="shared" si="3"/>
        <v>0</v>
      </c>
    </row>
    <row r="55" spans="2:6" s="66" customFormat="1" ht="12.75">
      <c r="B55" s="83"/>
      <c r="C55" s="105" t="s">
        <v>158</v>
      </c>
      <c r="D55" s="1338">
        <v>5184</v>
      </c>
      <c r="E55" s="107"/>
      <c r="F55" s="74">
        <f t="shared" si="3"/>
        <v>5184</v>
      </c>
    </row>
    <row r="56" spans="2:6" s="66" customFormat="1" ht="12.75">
      <c r="B56" s="83"/>
      <c r="C56" s="105" t="s">
        <v>504</v>
      </c>
      <c r="D56" s="1338">
        <v>3000</v>
      </c>
      <c r="E56" s="107"/>
      <c r="F56" s="74">
        <f t="shared" si="3"/>
        <v>3000</v>
      </c>
    </row>
    <row r="57" spans="2:6" s="66" customFormat="1" ht="12.75">
      <c r="B57" s="83"/>
      <c r="C57" s="201" t="s">
        <v>571</v>
      </c>
      <c r="D57" s="1338">
        <v>2500</v>
      </c>
      <c r="E57" s="107"/>
      <c r="F57" s="74">
        <f t="shared" si="3"/>
        <v>2500</v>
      </c>
    </row>
    <row r="58" spans="2:6" s="15" customFormat="1" ht="12.75">
      <c r="B58" s="451"/>
      <c r="C58" s="1361" t="s">
        <v>535</v>
      </c>
      <c r="D58" s="1338">
        <v>200</v>
      </c>
      <c r="E58" s="107"/>
      <c r="F58" s="74">
        <f t="shared" si="3"/>
        <v>200</v>
      </c>
    </row>
    <row r="59" spans="2:6" s="15" customFormat="1" ht="12.75">
      <c r="B59" s="451"/>
      <c r="C59" s="1361" t="s">
        <v>780</v>
      </c>
      <c r="D59" s="1338">
        <v>560</v>
      </c>
      <c r="E59" s="107"/>
      <c r="F59" s="74">
        <f t="shared" si="3"/>
        <v>560</v>
      </c>
    </row>
    <row r="60" spans="2:6" s="15" customFormat="1" ht="12.75">
      <c r="B60" s="451"/>
      <c r="C60" s="1361" t="s">
        <v>141</v>
      </c>
      <c r="D60" s="1338">
        <v>6500</v>
      </c>
      <c r="E60" s="107">
        <v>-1200</v>
      </c>
      <c r="F60" s="74">
        <f t="shared" si="3"/>
        <v>5300</v>
      </c>
    </row>
    <row r="61" spans="2:6" s="15" customFormat="1" ht="12.75">
      <c r="B61" s="451"/>
      <c r="C61" s="1361" t="s">
        <v>812</v>
      </c>
      <c r="D61" s="1338"/>
      <c r="E61" s="107">
        <v>170</v>
      </c>
      <c r="F61" s="74">
        <f t="shared" si="3"/>
        <v>170</v>
      </c>
    </row>
    <row r="62" spans="2:6" s="15" customFormat="1" ht="12.75">
      <c r="B62" s="451"/>
      <c r="C62" s="1361" t="s">
        <v>822</v>
      </c>
      <c r="D62" s="1338"/>
      <c r="E62" s="107">
        <v>1034</v>
      </c>
      <c r="F62" s="74">
        <f t="shared" si="3"/>
        <v>1034</v>
      </c>
    </row>
    <row r="63" spans="2:6" s="15" customFormat="1" ht="12.75">
      <c r="B63" s="451"/>
      <c r="C63" s="1361" t="s">
        <v>844</v>
      </c>
      <c r="D63" s="1338"/>
      <c r="E63" s="107">
        <v>3900</v>
      </c>
      <c r="F63" s="74">
        <f t="shared" si="3"/>
        <v>3900</v>
      </c>
    </row>
    <row r="64" spans="2:6" s="66" customFormat="1" ht="12.75">
      <c r="B64" s="83"/>
      <c r="C64" s="106" t="s">
        <v>196</v>
      </c>
      <c r="D64" s="77">
        <v>700</v>
      </c>
      <c r="E64" s="79"/>
      <c r="F64" s="79">
        <f t="shared" si="3"/>
        <v>700</v>
      </c>
    </row>
    <row r="65" spans="2:6" s="66" customFormat="1" ht="12.75">
      <c r="B65" s="83"/>
      <c r="C65" s="106" t="s">
        <v>529</v>
      </c>
      <c r="D65" s="1226">
        <v>2000</v>
      </c>
      <c r="E65" s="79"/>
      <c r="F65" s="79">
        <f t="shared" si="3"/>
        <v>2000</v>
      </c>
    </row>
    <row r="66" spans="2:8" s="66" customFormat="1" ht="12.75">
      <c r="B66" s="82"/>
      <c r="C66" s="108" t="s">
        <v>595</v>
      </c>
      <c r="D66" s="76"/>
      <c r="E66" s="78"/>
      <c r="F66" s="78">
        <f>SUM(D66:E66)</f>
        <v>0</v>
      </c>
      <c r="H66" s="15"/>
    </row>
    <row r="67" spans="2:8" s="66" customFormat="1" ht="12.75">
      <c r="B67" s="83"/>
      <c r="C67" s="105" t="s">
        <v>197</v>
      </c>
      <c r="D67" s="73">
        <f>SUM(D64:D66)</f>
        <v>2700</v>
      </c>
      <c r="E67" s="73">
        <f>SUM(E64:E66)</f>
        <v>0</v>
      </c>
      <c r="F67" s="74">
        <f>SUM(D67:E67)</f>
        <v>2700</v>
      </c>
      <c r="H67" s="95"/>
    </row>
    <row r="68" spans="2:9" s="66" customFormat="1" ht="12.75">
      <c r="B68" s="83"/>
      <c r="C68" s="67" t="s">
        <v>218</v>
      </c>
      <c r="D68" s="77">
        <v>6607</v>
      </c>
      <c r="E68" s="79"/>
      <c r="F68" s="209">
        <f>SUM(D68:E68)</f>
        <v>6607</v>
      </c>
      <c r="I68" s="134"/>
    </row>
    <row r="69" spans="2:6" s="66" customFormat="1" ht="12.75">
      <c r="B69" s="82"/>
      <c r="C69" s="43" t="s">
        <v>92</v>
      </c>
      <c r="D69" s="76">
        <v>30700</v>
      </c>
      <c r="E69" s="78"/>
      <c r="F69" s="209">
        <f>SUM(D69:E69)</f>
        <v>30700</v>
      </c>
    </row>
    <row r="70" spans="2:7" ht="12.75">
      <c r="B70" s="104"/>
      <c r="C70" s="201" t="s">
        <v>530</v>
      </c>
      <c r="D70" s="1336">
        <f>SUM(D68:D69)</f>
        <v>37307</v>
      </c>
      <c r="E70" s="202">
        <f>SUM(E68:E69)</f>
        <v>0</v>
      </c>
      <c r="F70" s="202">
        <f>SUM(F68:F69)</f>
        <v>37307</v>
      </c>
      <c r="G70" s="18"/>
    </row>
    <row r="71" spans="1:7" ht="12.75">
      <c r="A71" s="1689"/>
      <c r="B71" s="451"/>
      <c r="C71" s="1361" t="s">
        <v>676</v>
      </c>
      <c r="D71" s="1338">
        <v>87</v>
      </c>
      <c r="E71" s="107"/>
      <c r="F71" s="107">
        <f>SUM(D71:E71)</f>
        <v>87</v>
      </c>
      <c r="G71" s="18"/>
    </row>
    <row r="72" spans="2:7" ht="12.75">
      <c r="B72" s="104"/>
      <c r="C72" s="201" t="s">
        <v>669</v>
      </c>
      <c r="D72" s="1336">
        <v>4400</v>
      </c>
      <c r="E72" s="202"/>
      <c r="F72" s="202">
        <f>SUM(D72:E72)</f>
        <v>4400</v>
      </c>
      <c r="G72" s="18"/>
    </row>
    <row r="73" spans="2:7" ht="12.75">
      <c r="B73" s="104"/>
      <c r="C73" s="201" t="s">
        <v>756</v>
      </c>
      <c r="D73" s="1336">
        <v>500</v>
      </c>
      <c r="E73" s="202"/>
      <c r="F73" s="202">
        <f>SUM(D73:E73)</f>
        <v>500</v>
      </c>
      <c r="G73" s="18"/>
    </row>
    <row r="74" spans="2:7" ht="13.5" thickBot="1">
      <c r="B74" s="1537"/>
      <c r="C74" s="1538" t="s">
        <v>790</v>
      </c>
      <c r="D74" s="1539">
        <v>43</v>
      </c>
      <c r="E74" s="1540"/>
      <c r="F74" s="202">
        <f>SUM(D74:E74)</f>
        <v>43</v>
      </c>
      <c r="G74" s="18"/>
    </row>
    <row r="75" spans="2:9" ht="13.5" thickBot="1">
      <c r="B75" s="120">
        <v>3</v>
      </c>
      <c r="C75" s="121" t="s">
        <v>387</v>
      </c>
      <c r="D75" s="110">
        <f>D31+D32+D33+D34+D45+D46+D53+D54+D55+D56+D57+D58+D59+D60+D61+D62+D67+D70+D71+D72+D73+D74+D63</f>
        <v>810872</v>
      </c>
      <c r="E75" s="110">
        <f>E31+E32+E33+E34+E45+E46+E53+E54+E55+E56+E57+E58+E59+E60+E61+E62+E67+E70+E71+E72+E73+E74+E63</f>
        <v>11521</v>
      </c>
      <c r="F75" s="110">
        <f>F31+F32+F33+F34+F45+F46+F53+F54+F55+F56+F57+F58+F59+F60+F61+F62+F67+F70+F71+F72+F73+F74+F63</f>
        <v>822393</v>
      </c>
      <c r="G75" s="18">
        <f>SUM(D75:E75)</f>
        <v>822393</v>
      </c>
      <c r="H75" s="18">
        <f>hivatal9!K21</f>
        <v>822393</v>
      </c>
      <c r="I75" s="18">
        <f>H75-F75</f>
        <v>0</v>
      </c>
    </row>
    <row r="76" spans="2:7" s="15" customFormat="1" ht="12.75">
      <c r="B76" s="104"/>
      <c r="C76" s="105" t="s">
        <v>845</v>
      </c>
      <c r="D76" s="73">
        <v>241</v>
      </c>
      <c r="E76" s="137">
        <v>4727</v>
      </c>
      <c r="F76" s="72">
        <f>SUM(D76:E76)</f>
        <v>4968</v>
      </c>
      <c r="G76" s="95"/>
    </row>
    <row r="77" spans="2:7" s="15" customFormat="1" ht="12.75">
      <c r="B77" s="104"/>
      <c r="C77" s="105" t="s">
        <v>321</v>
      </c>
      <c r="D77" s="73">
        <v>12253</v>
      </c>
      <c r="E77" s="137"/>
      <c r="F77" s="72">
        <f>SUM(D77:E77)</f>
        <v>12253</v>
      </c>
      <c r="G77" s="95"/>
    </row>
    <row r="78" spans="2:7" s="15" customFormat="1" ht="12.75">
      <c r="B78" s="104"/>
      <c r="C78" s="105" t="s">
        <v>526</v>
      </c>
      <c r="D78" s="73">
        <v>11300</v>
      </c>
      <c r="E78" s="137"/>
      <c r="F78" s="72">
        <f>SUM(D78:E78)</f>
        <v>11300</v>
      </c>
      <c r="G78" s="95"/>
    </row>
    <row r="79" spans="2:7" s="15" customFormat="1" ht="12.75">
      <c r="B79" s="104"/>
      <c r="C79" s="1688" t="s">
        <v>781</v>
      </c>
      <c r="D79" s="72">
        <v>144</v>
      </c>
      <c r="E79" s="75"/>
      <c r="F79" s="75">
        <f>SUM(D79:E79)</f>
        <v>144</v>
      </c>
      <c r="G79" s="95"/>
    </row>
    <row r="80" spans="2:7" ht="12.75">
      <c r="B80" s="104"/>
      <c r="C80" s="108" t="s">
        <v>783</v>
      </c>
      <c r="D80" s="1687">
        <v>350</v>
      </c>
      <c r="E80" s="1687"/>
      <c r="F80" s="1687">
        <f aca="true" t="shared" si="4" ref="F80:F86">SUM(D80:E80)</f>
        <v>350</v>
      </c>
      <c r="G80" s="18"/>
    </row>
    <row r="81" spans="2:7" ht="12.75">
      <c r="B81" s="104"/>
      <c r="C81" s="108" t="s">
        <v>784</v>
      </c>
      <c r="D81" s="1687">
        <v>1059</v>
      </c>
      <c r="E81" s="1687"/>
      <c r="F81" s="1687">
        <f t="shared" si="4"/>
        <v>1059</v>
      </c>
      <c r="G81" s="18"/>
    </row>
    <row r="82" spans="2:7" ht="12.75">
      <c r="B82" s="104"/>
      <c r="C82" s="108" t="s">
        <v>785</v>
      </c>
      <c r="D82" s="1687">
        <f>1148-531</f>
        <v>617</v>
      </c>
      <c r="E82" s="1687"/>
      <c r="F82" s="1687">
        <f t="shared" si="4"/>
        <v>617</v>
      </c>
      <c r="G82" s="18"/>
    </row>
    <row r="83" spans="2:7" ht="12.75">
      <c r="B83" s="104"/>
      <c r="C83" s="108" t="s">
        <v>786</v>
      </c>
      <c r="D83" s="1687">
        <f>3065-800</f>
        <v>2265</v>
      </c>
      <c r="E83" s="1687">
        <v>250</v>
      </c>
      <c r="F83" s="1687">
        <f t="shared" si="4"/>
        <v>2515</v>
      </c>
      <c r="G83" s="18"/>
    </row>
    <row r="84" spans="2:7" ht="12.75">
      <c r="B84" s="104"/>
      <c r="C84" s="108" t="s">
        <v>787</v>
      </c>
      <c r="D84" s="1687">
        <v>1135</v>
      </c>
      <c r="E84" s="1687"/>
      <c r="F84" s="1687">
        <f t="shared" si="4"/>
        <v>1135</v>
      </c>
      <c r="G84" s="18"/>
    </row>
    <row r="85" spans="2:7" ht="12.75">
      <c r="B85" s="104"/>
      <c r="C85" s="108" t="s">
        <v>788</v>
      </c>
      <c r="D85" s="1687">
        <v>2420</v>
      </c>
      <c r="E85" s="1687"/>
      <c r="F85" s="1687">
        <f t="shared" si="4"/>
        <v>2420</v>
      </c>
      <c r="G85" s="18"/>
    </row>
    <row r="86" spans="2:7" ht="12.75">
      <c r="B86" s="104"/>
      <c r="C86" s="108" t="s">
        <v>789</v>
      </c>
      <c r="D86" s="1687">
        <f>823-110</f>
        <v>713</v>
      </c>
      <c r="E86" s="1687"/>
      <c r="F86" s="1687">
        <f t="shared" si="4"/>
        <v>713</v>
      </c>
      <c r="G86" s="18"/>
    </row>
    <row r="87" spans="2:7" ht="12.75">
      <c r="B87" s="104"/>
      <c r="C87" s="201" t="s">
        <v>782</v>
      </c>
      <c r="D87" s="75">
        <f>SUM(D80:D86)</f>
        <v>8559</v>
      </c>
      <c r="E87" s="75">
        <f>SUM(E80:E86)</f>
        <v>250</v>
      </c>
      <c r="F87" s="75">
        <f>SUM(F80:F86)</f>
        <v>8809</v>
      </c>
      <c r="G87" s="18"/>
    </row>
    <row r="88" spans="2:7" s="15" customFormat="1" ht="13.5" thickBot="1">
      <c r="B88" s="104"/>
      <c r="C88" s="1688" t="s">
        <v>675</v>
      </c>
      <c r="D88" s="72">
        <v>179</v>
      </c>
      <c r="E88" s="75"/>
      <c r="F88" s="72">
        <f>SUM(D88:E88)</f>
        <v>179</v>
      </c>
      <c r="G88" s="95"/>
    </row>
    <row r="89" spans="2:8" ht="13.5" thickBot="1">
      <c r="B89" s="120">
        <v>4</v>
      </c>
      <c r="C89" s="121" t="s">
        <v>388</v>
      </c>
      <c r="D89" s="122">
        <f>D76+D77+D78+D79+D87+D88</f>
        <v>32676</v>
      </c>
      <c r="E89" s="122">
        <f>E76+E77+E78+E79+E87+E88</f>
        <v>4977</v>
      </c>
      <c r="F89" s="122">
        <f>F76+F77+F78+F79+F87+F88</f>
        <v>37653</v>
      </c>
      <c r="G89" s="18">
        <f>SUM(D89:E89)</f>
        <v>37653</v>
      </c>
      <c r="H89" s="18">
        <f>hivatal9!K18</f>
        <v>37653</v>
      </c>
    </row>
    <row r="90" spans="2:9" ht="13.5" thickBot="1">
      <c r="B90" s="123" t="s">
        <v>109</v>
      </c>
      <c r="C90" s="124" t="s">
        <v>386</v>
      </c>
      <c r="D90" s="125">
        <f>D75+D89</f>
        <v>843548</v>
      </c>
      <c r="E90" s="125">
        <f>E75+E89</f>
        <v>16498</v>
      </c>
      <c r="F90" s="125">
        <f>SUM(D90:E90)</f>
        <v>860046</v>
      </c>
      <c r="G90" s="18">
        <f>F75+F89</f>
        <v>860046</v>
      </c>
      <c r="H90" s="18">
        <f>hivatal9!K18+hivatal9!K21</f>
        <v>860046</v>
      </c>
      <c r="I90" s="18">
        <f>H90-G90</f>
        <v>0</v>
      </c>
    </row>
    <row r="93" ht="12.75">
      <c r="D93" s="223"/>
    </row>
    <row r="101" ht="11.25" customHeight="1"/>
  </sheetData>
  <sheetProtection/>
  <mergeCells count="2">
    <mergeCell ref="B4:F4"/>
    <mergeCell ref="B5:F5"/>
  </mergeCells>
  <printOptions horizontalCentered="1"/>
  <pageMargins left="0.7874015748031497" right="0.7874015748031497" top="0.67" bottom="0.984251968503937" header="0.5118110236220472" footer="0.5118110236220472"/>
  <pageSetup fitToHeight="1" fitToWidth="1" horizontalDpi="600" verticalDpi="600" orientation="portrait" paperSize="9" scale="59" r:id="rId1"/>
  <headerFooter alignWithMargins="0">
    <oddFooter>&amp;L&amp;F&amp;C&amp;D, &amp;T&amp;R&amp;A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2.50390625" style="0" customWidth="1"/>
    <col min="2" max="2" width="4.875" style="22" customWidth="1"/>
    <col min="3" max="3" width="9.50390625" style="274" customWidth="1"/>
    <col min="4" max="4" width="69.375" style="22" customWidth="1"/>
    <col min="5" max="5" width="8.125" style="22" customWidth="1"/>
    <col min="6" max="8" width="14.50390625" style="22" customWidth="1"/>
    <col min="9" max="9" width="12.125" style="0" customWidth="1"/>
    <col min="10" max="10" width="10.875" style="0" bestFit="1" customWidth="1"/>
    <col min="11" max="11" width="12.125" style="0" customWidth="1"/>
  </cols>
  <sheetData>
    <row r="1" spans="2:8" ht="10.5" customHeight="1">
      <c r="B1" s="38"/>
      <c r="H1" s="109" t="s">
        <v>858</v>
      </c>
    </row>
    <row r="2" spans="2:8" ht="12" customHeight="1">
      <c r="B2" s="38"/>
      <c r="H2" s="109" t="s">
        <v>93</v>
      </c>
    </row>
    <row r="3" ht="23.25" customHeight="1">
      <c r="B3" s="38"/>
    </row>
    <row r="4" spans="1:8" s="94" customFormat="1" ht="40.5" customHeight="1">
      <c r="A4" s="131"/>
      <c r="B4" s="1926" t="s">
        <v>579</v>
      </c>
      <c r="C4" s="1926"/>
      <c r="D4" s="1926"/>
      <c r="E4" s="1926"/>
      <c r="F4" s="1926"/>
      <c r="G4" s="1926"/>
      <c r="H4" s="1926"/>
    </row>
    <row r="5" spans="1:8" s="569" customFormat="1" ht="34.5" customHeight="1">
      <c r="A5" s="679"/>
      <c r="B5" s="1932" t="s">
        <v>587</v>
      </c>
      <c r="C5" s="1932"/>
      <c r="D5" s="1932"/>
      <c r="E5" s="1932"/>
      <c r="F5" s="1932"/>
      <c r="G5" s="1932"/>
      <c r="H5" s="1932"/>
    </row>
    <row r="6" spans="4:8" ht="31.5" customHeight="1" thickBot="1">
      <c r="D6" s="39"/>
      <c r="E6" s="39"/>
      <c r="F6" s="40"/>
      <c r="G6" s="40"/>
      <c r="H6" s="275" t="s">
        <v>134</v>
      </c>
    </row>
    <row r="7" spans="2:8" ht="35.25" customHeight="1" thickBot="1">
      <c r="B7" s="775"/>
      <c r="C7" s="1930" t="s">
        <v>151</v>
      </c>
      <c r="D7" s="1931"/>
      <c r="E7" s="784" t="s">
        <v>390</v>
      </c>
      <c r="F7" s="1526" t="s">
        <v>665</v>
      </c>
      <c r="G7" s="132" t="s">
        <v>130</v>
      </c>
      <c r="H7" s="133" t="s">
        <v>661</v>
      </c>
    </row>
    <row r="8" spans="2:8" ht="13.5" thickBot="1">
      <c r="B8" s="780">
        <v>1</v>
      </c>
      <c r="C8" s="1933">
        <v>2</v>
      </c>
      <c r="D8" s="1934"/>
      <c r="E8" s="785">
        <v>3</v>
      </c>
      <c r="F8" s="789">
        <v>4</v>
      </c>
      <c r="G8" s="269">
        <v>5</v>
      </c>
      <c r="H8" s="270">
        <v>6</v>
      </c>
    </row>
    <row r="9" spans="2:8" s="564" customFormat="1" ht="20.25" customHeight="1">
      <c r="B9" s="801" t="s">
        <v>112</v>
      </c>
      <c r="C9" s="1935" t="s">
        <v>395</v>
      </c>
      <c r="D9" s="1936"/>
      <c r="E9" s="802" t="s">
        <v>391</v>
      </c>
      <c r="F9" s="803">
        <f>SUM(F10:F10)</f>
        <v>0</v>
      </c>
      <c r="G9" s="804"/>
      <c r="H9" s="805">
        <f>SUM(F9:G9)</f>
        <v>0</v>
      </c>
    </row>
    <row r="10" spans="2:8" s="776" customFormat="1" ht="32.25" customHeight="1" thickBot="1">
      <c r="B10" s="796"/>
      <c r="C10" s="777" t="s">
        <v>243</v>
      </c>
      <c r="D10" s="781" t="s">
        <v>480</v>
      </c>
      <c r="E10" s="786" t="s">
        <v>391</v>
      </c>
      <c r="F10" s="816"/>
      <c r="G10" s="791"/>
      <c r="H10" s="810">
        <f>SUM(F10:G10)</f>
        <v>0</v>
      </c>
    </row>
    <row r="11" spans="2:11" s="564" customFormat="1" ht="20.25" customHeight="1" thickBot="1">
      <c r="B11" s="806" t="s">
        <v>114</v>
      </c>
      <c r="C11" s="1937" t="s">
        <v>396</v>
      </c>
      <c r="D11" s="1938"/>
      <c r="E11" s="807" t="s">
        <v>392</v>
      </c>
      <c r="F11" s="808">
        <f>SUM(F12:F12)</f>
        <v>0</v>
      </c>
      <c r="G11" s="808">
        <f>SUM(G12:G12)</f>
        <v>0</v>
      </c>
      <c r="H11" s="808">
        <f>SUM(H12:H12)</f>
        <v>0</v>
      </c>
      <c r="I11" s="574"/>
      <c r="J11" s="574"/>
      <c r="K11" s="574"/>
    </row>
    <row r="12" spans="2:11" s="776" customFormat="1" ht="30.75" customHeight="1" thickBot="1">
      <c r="B12" s="795"/>
      <c r="C12" s="798" t="s">
        <v>243</v>
      </c>
      <c r="D12" s="799" t="s">
        <v>402</v>
      </c>
      <c r="E12" s="800" t="s">
        <v>392</v>
      </c>
      <c r="F12" s="817"/>
      <c r="G12" s="797"/>
      <c r="H12" s="810">
        <f>SUM(F12:G12)</f>
        <v>0</v>
      </c>
      <c r="I12" s="778"/>
      <c r="J12" s="778"/>
      <c r="K12" s="778"/>
    </row>
    <row r="13" spans="2:11" s="564" customFormat="1" ht="20.25" customHeight="1" thickBot="1">
      <c r="B13" s="806" t="s">
        <v>115</v>
      </c>
      <c r="C13" s="1939" t="s">
        <v>397</v>
      </c>
      <c r="D13" s="1940"/>
      <c r="E13" s="807" t="s">
        <v>393</v>
      </c>
      <c r="F13" s="809">
        <f>SUM(F14:F26)+F27</f>
        <v>91423</v>
      </c>
      <c r="G13" s="809">
        <f>SUM(G14:G26)+G27</f>
        <v>0</v>
      </c>
      <c r="H13" s="809">
        <f>SUM(H14:H26)+H27</f>
        <v>91423</v>
      </c>
      <c r="I13" s="574"/>
      <c r="J13" s="574"/>
      <c r="K13" s="574"/>
    </row>
    <row r="14" spans="2:11" s="776" customFormat="1" ht="29.25" customHeight="1">
      <c r="B14" s="795"/>
      <c r="C14" s="777" t="s">
        <v>243</v>
      </c>
      <c r="D14" s="781" t="s">
        <v>440</v>
      </c>
      <c r="E14" s="786" t="s">
        <v>393</v>
      </c>
      <c r="F14" s="816">
        <v>6000</v>
      </c>
      <c r="G14" s="792"/>
      <c r="H14" s="810">
        <f aca="true" t="shared" si="0" ref="H14:H21">SUM(F14:G14)</f>
        <v>6000</v>
      </c>
      <c r="I14" s="778"/>
      <c r="J14" s="778"/>
      <c r="K14" s="778"/>
    </row>
    <row r="15" spans="2:11" s="776" customFormat="1" ht="29.25" customHeight="1">
      <c r="B15" s="795"/>
      <c r="C15" s="777" t="s">
        <v>243</v>
      </c>
      <c r="D15" s="781" t="s">
        <v>549</v>
      </c>
      <c r="E15" s="1362" t="s">
        <v>393</v>
      </c>
      <c r="F15" s="816">
        <v>2000</v>
      </c>
      <c r="G15" s="1541">
        <v>-1000</v>
      </c>
      <c r="H15" s="810">
        <f t="shared" si="0"/>
        <v>1000</v>
      </c>
      <c r="I15" s="778"/>
      <c r="J15" s="778"/>
      <c r="K15" s="778"/>
    </row>
    <row r="16" spans="2:11" s="776" customFormat="1" ht="29.25" customHeight="1">
      <c r="B16" s="795"/>
      <c r="C16" s="777" t="s">
        <v>243</v>
      </c>
      <c r="D16" s="781" t="s">
        <v>441</v>
      </c>
      <c r="E16" s="786" t="s">
        <v>393</v>
      </c>
      <c r="F16" s="816">
        <v>18000</v>
      </c>
      <c r="G16" s="1541">
        <v>4500</v>
      </c>
      <c r="H16" s="810">
        <f t="shared" si="0"/>
        <v>22500</v>
      </c>
      <c r="I16" s="778"/>
      <c r="J16" s="778"/>
      <c r="K16" s="778"/>
    </row>
    <row r="17" spans="2:11" s="776" customFormat="1" ht="29.25" customHeight="1">
      <c r="B17" s="795"/>
      <c r="C17" s="777" t="s">
        <v>243</v>
      </c>
      <c r="D17" s="781" t="s">
        <v>442</v>
      </c>
      <c r="E17" s="786" t="s">
        <v>393</v>
      </c>
      <c r="F17" s="816">
        <v>7000</v>
      </c>
      <c r="G17" s="1541">
        <v>-1000</v>
      </c>
      <c r="H17" s="810">
        <f t="shared" si="0"/>
        <v>6000</v>
      </c>
      <c r="I17" s="778"/>
      <c r="J17" s="778"/>
      <c r="K17" s="778"/>
    </row>
    <row r="18" spans="2:11" s="776" customFormat="1" ht="29.25" customHeight="1">
      <c r="B18" s="795"/>
      <c r="C18" s="777" t="s">
        <v>243</v>
      </c>
      <c r="D18" s="781" t="s">
        <v>443</v>
      </c>
      <c r="E18" s="786" t="s">
        <v>393</v>
      </c>
      <c r="F18" s="816">
        <v>14000</v>
      </c>
      <c r="G18" s="1541">
        <v>-1000</v>
      </c>
      <c r="H18" s="810">
        <f t="shared" si="0"/>
        <v>13000</v>
      </c>
      <c r="I18" s="778"/>
      <c r="J18" s="778"/>
      <c r="K18" s="778"/>
    </row>
    <row r="19" spans="2:11" s="776" customFormat="1" ht="29.25" customHeight="1">
      <c r="B19" s="795"/>
      <c r="C19" s="777" t="s">
        <v>243</v>
      </c>
      <c r="D19" s="781" t="s">
        <v>444</v>
      </c>
      <c r="E19" s="786" t="s">
        <v>393</v>
      </c>
      <c r="F19" s="816">
        <v>3000</v>
      </c>
      <c r="G19" s="1541">
        <v>-1000</v>
      </c>
      <c r="H19" s="810">
        <f t="shared" si="0"/>
        <v>2000</v>
      </c>
      <c r="I19" s="778"/>
      <c r="J19" s="778"/>
      <c r="K19" s="778"/>
    </row>
    <row r="20" spans="2:11" s="776" customFormat="1" ht="29.25" customHeight="1">
      <c r="B20" s="795"/>
      <c r="C20" s="777" t="s">
        <v>243</v>
      </c>
      <c r="D20" s="781" t="s">
        <v>445</v>
      </c>
      <c r="E20" s="786" t="s">
        <v>393</v>
      </c>
      <c r="F20" s="816">
        <v>19000</v>
      </c>
      <c r="G20" s="1541"/>
      <c r="H20" s="810">
        <f t="shared" si="0"/>
        <v>19000</v>
      </c>
      <c r="I20" s="778"/>
      <c r="J20" s="778"/>
      <c r="K20" s="778"/>
    </row>
    <row r="21" spans="2:11" s="776" customFormat="1" ht="29.25" customHeight="1">
      <c r="B21" s="795"/>
      <c r="C21" s="777" t="s">
        <v>243</v>
      </c>
      <c r="D21" s="781" t="s">
        <v>447</v>
      </c>
      <c r="E21" s="786" t="s">
        <v>393</v>
      </c>
      <c r="F21" s="816">
        <v>5000</v>
      </c>
      <c r="G21" s="1541">
        <v>-500</v>
      </c>
      <c r="H21" s="810">
        <f t="shared" si="0"/>
        <v>4500</v>
      </c>
      <c r="I21" s="778"/>
      <c r="J21" s="778"/>
      <c r="K21" s="778"/>
    </row>
    <row r="22" spans="2:11" s="776" customFormat="1" ht="19.5" customHeight="1">
      <c r="B22" s="795"/>
      <c r="C22" s="777" t="s">
        <v>243</v>
      </c>
      <c r="D22" s="815" t="s">
        <v>507</v>
      </c>
      <c r="E22" s="787" t="str">
        <f>E26</f>
        <v>K48</v>
      </c>
      <c r="F22" s="818">
        <v>1000</v>
      </c>
      <c r="G22" s="822"/>
      <c r="H22" s="810">
        <f aca="true" t="shared" si="1" ref="H22:H27">SUM(F22:G22)</f>
        <v>1000</v>
      </c>
      <c r="I22" s="778"/>
      <c r="J22" s="778"/>
      <c r="K22" s="778"/>
    </row>
    <row r="23" spans="2:11" s="776" customFormat="1" ht="21" customHeight="1">
      <c r="B23" s="795"/>
      <c r="C23" s="821" t="s">
        <v>243</v>
      </c>
      <c r="D23" s="815" t="s">
        <v>508</v>
      </c>
      <c r="E23" s="787" t="str">
        <f>E25</f>
        <v>K48</v>
      </c>
      <c r="F23" s="818">
        <v>1000</v>
      </c>
      <c r="G23" s="793"/>
      <c r="H23" s="810">
        <f t="shared" si="1"/>
        <v>1000</v>
      </c>
      <c r="I23" s="778"/>
      <c r="J23" s="778"/>
      <c r="K23" s="778"/>
    </row>
    <row r="24" spans="2:11" s="776" customFormat="1" ht="21" customHeight="1">
      <c r="B24" s="795"/>
      <c r="C24" s="821" t="s">
        <v>243</v>
      </c>
      <c r="D24" s="815" t="s">
        <v>791</v>
      </c>
      <c r="E24" s="787" t="s">
        <v>393</v>
      </c>
      <c r="F24" s="818">
        <v>10000</v>
      </c>
      <c r="G24" s="1690"/>
      <c r="H24" s="810">
        <f t="shared" si="1"/>
        <v>10000</v>
      </c>
      <c r="I24" s="778"/>
      <c r="J24" s="778"/>
      <c r="K24" s="778"/>
    </row>
    <row r="25" spans="2:11" s="776" customFormat="1" ht="20.25" customHeight="1">
      <c r="B25" s="795"/>
      <c r="C25" s="777" t="s">
        <v>243</v>
      </c>
      <c r="D25" s="781" t="s">
        <v>398</v>
      </c>
      <c r="E25" s="786" t="s">
        <v>393</v>
      </c>
      <c r="F25" s="816">
        <v>5423</v>
      </c>
      <c r="G25" s="1541"/>
      <c r="H25" s="823">
        <f t="shared" si="1"/>
        <v>5423</v>
      </c>
      <c r="I25" s="778"/>
      <c r="J25" s="778"/>
      <c r="K25" s="778"/>
    </row>
    <row r="26" spans="2:11" s="776" customFormat="1" ht="30.75" customHeight="1">
      <c r="B26" s="795"/>
      <c r="C26" s="821" t="s">
        <v>243</v>
      </c>
      <c r="D26" s="781" t="s">
        <v>399</v>
      </c>
      <c r="E26" s="786" t="s">
        <v>393</v>
      </c>
      <c r="F26" s="824"/>
      <c r="G26" s="824"/>
      <c r="H26" s="823">
        <f t="shared" si="1"/>
        <v>0</v>
      </c>
      <c r="I26" s="778"/>
      <c r="J26" s="778"/>
      <c r="K26" s="778"/>
    </row>
    <row r="27" spans="2:11" s="776" customFormat="1" ht="29.25" customHeight="1" thickBot="1">
      <c r="B27" s="794"/>
      <c r="C27" s="777" t="s">
        <v>243</v>
      </c>
      <c r="D27" s="782" t="s">
        <v>400</v>
      </c>
      <c r="E27" s="787" t="s">
        <v>393</v>
      </c>
      <c r="F27" s="818"/>
      <c r="G27" s="793"/>
      <c r="H27" s="810">
        <f t="shared" si="1"/>
        <v>0</v>
      </c>
      <c r="I27" s="778"/>
      <c r="J27" s="778"/>
      <c r="K27" s="778"/>
    </row>
    <row r="28" spans="2:11" s="564" customFormat="1" ht="23.25" customHeight="1" thickBot="1">
      <c r="B28" s="1927" t="s">
        <v>394</v>
      </c>
      <c r="C28" s="1928"/>
      <c r="D28" s="1929"/>
      <c r="E28" s="812" t="s">
        <v>346</v>
      </c>
      <c r="F28" s="790">
        <f>F9+F11+F13</f>
        <v>91423</v>
      </c>
      <c r="G28" s="779">
        <f>G9+G11+G13</f>
        <v>0</v>
      </c>
      <c r="H28" s="779">
        <f>H9+H11+H13</f>
        <v>91423</v>
      </c>
      <c r="I28" s="574">
        <f>hivatal9!K14</f>
        <v>91423</v>
      </c>
      <c r="J28" s="574">
        <f>SUM(F28:G28)</f>
        <v>91423</v>
      </c>
      <c r="K28" s="574">
        <f>'kiadfő '!H12</f>
        <v>91423</v>
      </c>
    </row>
    <row r="29" spans="2:11" s="776" customFormat="1" ht="30.75" customHeight="1" thickBot="1">
      <c r="B29" s="796"/>
      <c r="C29" s="813" t="s">
        <v>243</v>
      </c>
      <c r="D29" s="783" t="s">
        <v>401</v>
      </c>
      <c r="E29" s="788"/>
      <c r="F29" s="819">
        <f>F10</f>
        <v>0</v>
      </c>
      <c r="G29" s="814">
        <f>G12</f>
        <v>0</v>
      </c>
      <c r="H29" s="811">
        <f>SUM(F29:G29)</f>
        <v>0</v>
      </c>
      <c r="I29" s="778"/>
      <c r="J29" s="778"/>
      <c r="K29" s="778"/>
    </row>
    <row r="30" spans="2:11" s="776" customFormat="1" ht="30.75" customHeight="1" thickBot="1">
      <c r="B30" s="796"/>
      <c r="C30" s="813" t="s">
        <v>243</v>
      </c>
      <c r="D30" s="783" t="s">
        <v>446</v>
      </c>
      <c r="E30" s="788"/>
      <c r="F30" s="1028">
        <f>F14+F16+F17+F18+F19+F20+F21+F22+F23+F24+F15</f>
        <v>86000</v>
      </c>
      <c r="G30" s="1028">
        <f>G14+G16+G17+G18+G19+G20+G21+G22+G23+G24+G15</f>
        <v>0</v>
      </c>
      <c r="H30" s="1028">
        <f>H14+H16+H17+H18+H19+H20+H21+H22+H23+H24+H15</f>
        <v>86000</v>
      </c>
      <c r="I30" s="778"/>
      <c r="J30" s="778"/>
      <c r="K30" s="778"/>
    </row>
    <row r="31" spans="2:11" s="776" customFormat="1" ht="30.75" customHeight="1" thickBot="1">
      <c r="B31" s="796"/>
      <c r="C31" s="813" t="s">
        <v>243</v>
      </c>
      <c r="D31" s="783" t="s">
        <v>448</v>
      </c>
      <c r="E31" s="788"/>
      <c r="F31" s="1161">
        <f>F25</f>
        <v>5423</v>
      </c>
      <c r="G31" s="1161">
        <f>G25</f>
        <v>0</v>
      </c>
      <c r="H31" s="1161">
        <f>H25</f>
        <v>5423</v>
      </c>
      <c r="I31" s="778"/>
      <c r="J31" s="778"/>
      <c r="K31" s="778"/>
    </row>
    <row r="32" spans="6:8" ht="12.75">
      <c r="F32" s="820">
        <f>SUM(F29:F31)</f>
        <v>91423</v>
      </c>
      <c r="H32" s="223">
        <f>SUM(H29:H31)</f>
        <v>91423</v>
      </c>
    </row>
    <row r="33" ht="12.75">
      <c r="F33" s="223"/>
    </row>
    <row r="34" ht="12.75">
      <c r="H34" s="223"/>
    </row>
    <row r="35" ht="12.75">
      <c r="H35" s="223"/>
    </row>
    <row r="39" ht="11.25" customHeight="1"/>
  </sheetData>
  <sheetProtection/>
  <mergeCells count="8">
    <mergeCell ref="B4:H4"/>
    <mergeCell ref="B28:D28"/>
    <mergeCell ref="C7:D7"/>
    <mergeCell ref="B5:H5"/>
    <mergeCell ref="C8:D8"/>
    <mergeCell ref="C9:D9"/>
    <mergeCell ref="C11:D11"/>
    <mergeCell ref="C13:D13"/>
  </mergeCells>
  <printOptions horizontalCentered="1" verticalCentered="1"/>
  <pageMargins left="0.7874015748031497" right="0.7874015748031497" top="0.6692913385826772" bottom="0.984251968503937" header="0.5118110236220472" footer="0.5118110236220472"/>
  <pageSetup fitToHeight="1" fitToWidth="1" horizontalDpi="600" verticalDpi="600" orientation="portrait" paperSize="9" scale="69" r:id="rId1"/>
  <headerFooter alignWithMargins="0">
    <oddFooter>&amp;L&amp;F&amp;C&amp;D, &amp;T&amp;R&amp;A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2"/>
  <sheetViews>
    <sheetView showGridLines="0" view="pageLayout" workbookViewId="0" topLeftCell="A89">
      <selection activeCell="N110" sqref="N110"/>
    </sheetView>
  </sheetViews>
  <sheetFormatPr defaultColWidth="9.00390625" defaultRowHeight="12.75"/>
  <cols>
    <col min="1" max="1" width="5.50390625" style="254" customWidth="1"/>
    <col min="2" max="2" width="107.375" style="254" bestFit="1" customWidth="1"/>
    <col min="3" max="3" width="14.625" style="254" customWidth="1"/>
    <col min="4" max="4" width="15.00390625" style="254" customWidth="1"/>
    <col min="5" max="5" width="14.125" style="255" customWidth="1"/>
    <col min="6" max="6" width="11.00390625" style="94" customWidth="1"/>
    <col min="7" max="7" width="9.875" style="94" bestFit="1" customWidth="1"/>
    <col min="8" max="8" width="9.375" style="94" customWidth="1"/>
    <col min="9" max="9" width="9.375" style="1744" customWidth="1"/>
    <col min="10" max="10" width="10.875" style="1677" customWidth="1"/>
    <col min="11" max="16384" width="9.375" style="94" customWidth="1"/>
  </cols>
  <sheetData>
    <row r="1" ht="12.75">
      <c r="E1" s="109"/>
    </row>
    <row r="2" ht="12.75">
      <c r="E2" s="109"/>
    </row>
    <row r="3" spans="1:5" ht="15.75">
      <c r="A3" s="1926" t="s">
        <v>573</v>
      </c>
      <c r="B3" s="1926"/>
      <c r="C3" s="1926"/>
      <c r="D3" s="1926"/>
      <c r="E3" s="1926"/>
    </row>
    <row r="4" spans="1:5" ht="12.75" customHeight="1">
      <c r="A4" s="962"/>
      <c r="B4" s="963" t="s">
        <v>588</v>
      </c>
      <c r="C4" s="961"/>
      <c r="D4" s="961"/>
      <c r="E4" s="964"/>
    </row>
    <row r="5" spans="2:5" ht="26.25" customHeight="1" thickBot="1">
      <c r="B5" s="965"/>
      <c r="C5" s="966"/>
      <c r="D5" s="966"/>
      <c r="E5" s="275" t="s">
        <v>134</v>
      </c>
    </row>
    <row r="6" spans="1:10" ht="27.75" customHeight="1" thickBot="1">
      <c r="A6" s="271" t="s">
        <v>163</v>
      </c>
      <c r="B6" s="958" t="s">
        <v>151</v>
      </c>
      <c r="C6" s="1526" t="s">
        <v>665</v>
      </c>
      <c r="D6" s="132" t="s">
        <v>130</v>
      </c>
      <c r="E6" s="133" t="s">
        <v>661</v>
      </c>
      <c r="I6" s="1746" t="s">
        <v>839</v>
      </c>
      <c r="J6" s="1676" t="s">
        <v>775</v>
      </c>
    </row>
    <row r="7" spans="1:5" ht="13.5" thickBot="1">
      <c r="A7" s="959">
        <v>1</v>
      </c>
      <c r="B7" s="959">
        <v>2</v>
      </c>
      <c r="C7" s="86">
        <v>3</v>
      </c>
      <c r="D7" s="86">
        <v>4</v>
      </c>
      <c r="E7" s="1380">
        <v>5</v>
      </c>
    </row>
    <row r="8" spans="1:10" s="258" customFormat="1" ht="15" customHeight="1">
      <c r="A8" s="956"/>
      <c r="B8" s="1403" t="s">
        <v>601</v>
      </c>
      <c r="C8" s="1215"/>
      <c r="D8" s="1059"/>
      <c r="E8" s="957">
        <f>SUM(C8:D8)</f>
        <v>0</v>
      </c>
      <c r="F8" s="257"/>
      <c r="I8" s="1743"/>
      <c r="J8" s="1678"/>
    </row>
    <row r="9" spans="1:10" s="258" customFormat="1" ht="15" customHeight="1">
      <c r="A9" s="956"/>
      <c r="B9" s="1404" t="s">
        <v>602</v>
      </c>
      <c r="C9" s="1250"/>
      <c r="D9" s="1059"/>
      <c r="E9" s="957">
        <f>SUM(C9:D9)</f>
        <v>0</v>
      </c>
      <c r="F9" s="257"/>
      <c r="I9" s="1743"/>
      <c r="J9" s="1678"/>
    </row>
    <row r="10" spans="1:10" s="258" customFormat="1" ht="15" customHeight="1">
      <c r="A10" s="956"/>
      <c r="B10" s="1569" t="s">
        <v>680</v>
      </c>
      <c r="C10" s="1250">
        <v>712</v>
      </c>
      <c r="D10" s="1059"/>
      <c r="E10" s="256">
        <f>SUM(C10:D10)</f>
        <v>712</v>
      </c>
      <c r="F10" s="257"/>
      <c r="I10" s="1743"/>
      <c r="J10" s="1678"/>
    </row>
    <row r="11" spans="1:10" s="258" customFormat="1" ht="15" customHeight="1" thickBot="1">
      <c r="A11" s="956"/>
      <c r="B11" s="1403" t="s">
        <v>681</v>
      </c>
      <c r="C11" s="1031">
        <v>2835</v>
      </c>
      <c r="D11" s="1568"/>
      <c r="E11" s="256">
        <f>SUM(C11:D11)</f>
        <v>2835</v>
      </c>
      <c r="F11" s="257"/>
      <c r="I11" s="1743">
        <v>2835</v>
      </c>
      <c r="J11" s="1678">
        <v>2835</v>
      </c>
    </row>
    <row r="12" spans="1:10" s="258" customFormat="1" ht="15" customHeight="1" thickBot="1">
      <c r="A12" s="1058" t="s">
        <v>112</v>
      </c>
      <c r="B12" s="1366" t="s">
        <v>481</v>
      </c>
      <c r="C12" s="1060">
        <f>SUM(C8:C11)</f>
        <v>3547</v>
      </c>
      <c r="D12" s="1060">
        <f>SUM(D8:D11)</f>
        <v>0</v>
      </c>
      <c r="E12" s="1060">
        <f>SUM(E8:E11)</f>
        <v>3547</v>
      </c>
      <c r="F12" s="257">
        <f>SUM(C12:D12)</f>
        <v>3547</v>
      </c>
      <c r="I12" s="1743"/>
      <c r="J12" s="1678"/>
    </row>
    <row r="13" spans="1:10" s="258" customFormat="1" ht="15" customHeight="1">
      <c r="A13" s="1009"/>
      <c r="B13" s="1406" t="s">
        <v>603</v>
      </c>
      <c r="C13" s="1030"/>
      <c r="D13" s="1508"/>
      <c r="E13" s="256">
        <f>SUM(C13:D13)</f>
        <v>0</v>
      </c>
      <c r="F13" s="257"/>
      <c r="I13" s="1743"/>
      <c r="J13" s="1678"/>
    </row>
    <row r="14" spans="1:10" s="258" customFormat="1" ht="15" customHeight="1">
      <c r="A14" s="1405"/>
      <c r="B14" s="1407" t="s">
        <v>604</v>
      </c>
      <c r="C14" s="1578"/>
      <c r="D14" s="1729"/>
      <c r="E14" s="1598"/>
      <c r="F14" s="257"/>
      <c r="I14" s="1743"/>
      <c r="J14" s="1678"/>
    </row>
    <row r="15" spans="1:10" s="258" customFormat="1" ht="15" customHeight="1">
      <c r="A15" s="1405"/>
      <c r="B15" s="1407" t="s">
        <v>813</v>
      </c>
      <c r="C15" s="1250"/>
      <c r="D15" s="1515">
        <v>5400</v>
      </c>
      <c r="E15" s="1574">
        <f>SUM(C15:D15)</f>
        <v>5400</v>
      </c>
      <c r="F15" s="257"/>
      <c r="I15" s="1743"/>
      <c r="J15" s="1678"/>
    </row>
    <row r="16" spans="1:10" s="258" customFormat="1" ht="15" customHeight="1">
      <c r="A16" s="1405"/>
      <c r="B16" s="1407" t="s">
        <v>814</v>
      </c>
      <c r="C16" s="1030"/>
      <c r="D16" s="1508">
        <v>15350</v>
      </c>
      <c r="E16" s="1574">
        <f>SUM(C16:D16)</f>
        <v>15350</v>
      </c>
      <c r="F16" s="257"/>
      <c r="I16" s="1743"/>
      <c r="J16" s="1678"/>
    </row>
    <row r="17" spans="1:10" s="258" customFormat="1" ht="15" customHeight="1" thickBot="1">
      <c r="A17" s="1405"/>
      <c r="B17" s="1408" t="s">
        <v>605</v>
      </c>
      <c r="C17" s="1031"/>
      <c r="D17" s="1516"/>
      <c r="E17" s="1382">
        <f>SUM(C17:D17)</f>
        <v>0</v>
      </c>
      <c r="F17" s="257"/>
      <c r="I17" s="1743"/>
      <c r="J17" s="1678"/>
    </row>
    <row r="18" spans="1:10" s="258" customFormat="1" ht="15" customHeight="1" thickBot="1">
      <c r="A18" s="235" t="s">
        <v>114</v>
      </c>
      <c r="B18" s="1367" t="s">
        <v>453</v>
      </c>
      <c r="C18" s="212">
        <f>SUM(C13:C17)</f>
        <v>0</v>
      </c>
      <c r="D18" s="212">
        <f>SUM(D13:D17)</f>
        <v>20750</v>
      </c>
      <c r="E18" s="212">
        <f>SUM(E13:E17)</f>
        <v>20750</v>
      </c>
      <c r="F18" s="257">
        <f>SUM(C18:D18)</f>
        <v>20750</v>
      </c>
      <c r="I18" s="1743"/>
      <c r="J18" s="1678"/>
    </row>
    <row r="19" spans="1:10" s="258" customFormat="1" ht="15" customHeight="1">
      <c r="A19" s="1009"/>
      <c r="B19" s="1570" t="s">
        <v>482</v>
      </c>
      <c r="C19" s="1030">
        <v>2576</v>
      </c>
      <c r="D19" s="1508"/>
      <c r="E19" s="957">
        <f>SUM(C19:D19)</f>
        <v>2576</v>
      </c>
      <c r="F19" s="257"/>
      <c r="I19" s="1743">
        <v>1708</v>
      </c>
      <c r="J19" s="1678">
        <v>1575</v>
      </c>
    </row>
    <row r="20" spans="1:10" s="258" customFormat="1" ht="15" customHeight="1" thickBot="1">
      <c r="A20" s="1009"/>
      <c r="B20" s="1571" t="s">
        <v>682</v>
      </c>
      <c r="C20" s="1031">
        <v>5532</v>
      </c>
      <c r="D20" s="1516"/>
      <c r="E20" s="957">
        <f>SUM(C20:D20)</f>
        <v>5532</v>
      </c>
      <c r="F20" s="257"/>
      <c r="I20" s="1743"/>
      <c r="J20" s="1678"/>
    </row>
    <row r="21" spans="1:10" s="258" customFormat="1" ht="15" customHeight="1" thickBot="1">
      <c r="A21" s="289" t="s">
        <v>115</v>
      </c>
      <c r="B21" s="1367" t="s">
        <v>454</v>
      </c>
      <c r="C21" s="212">
        <f>SUM(C19:C20)</f>
        <v>8108</v>
      </c>
      <c r="D21" s="212">
        <f>SUM(D19:D20)</f>
        <v>0</v>
      </c>
      <c r="E21" s="212">
        <f>SUM(E19:E20)</f>
        <v>8108</v>
      </c>
      <c r="F21" s="257">
        <f>SUM(C21:D21)</f>
        <v>8108</v>
      </c>
      <c r="I21" s="1743"/>
      <c r="J21" s="1678"/>
    </row>
    <row r="22" spans="1:10" s="258" customFormat="1" ht="15" customHeight="1">
      <c r="A22" s="259"/>
      <c r="B22" s="1572" t="s">
        <v>683</v>
      </c>
      <c r="C22" s="1580"/>
      <c r="D22" s="1581"/>
      <c r="E22" s="1581"/>
      <c r="F22" s="257"/>
      <c r="I22" s="1743"/>
      <c r="J22" s="1678"/>
    </row>
    <row r="23" spans="1:10" s="258" customFormat="1" ht="15" customHeight="1">
      <c r="A23" s="259"/>
      <c r="B23" s="1573" t="s">
        <v>835</v>
      </c>
      <c r="C23" s="213">
        <v>191</v>
      </c>
      <c r="D23" s="213">
        <v>1200</v>
      </c>
      <c r="E23" s="1574">
        <f>SUM(C23:D23)</f>
        <v>1391</v>
      </c>
      <c r="F23" s="257"/>
      <c r="I23" s="1743">
        <f>191+1200</f>
        <v>1391</v>
      </c>
      <c r="J23" s="1678">
        <v>191</v>
      </c>
    </row>
    <row r="24" spans="1:10" s="258" customFormat="1" ht="15" customHeight="1">
      <c r="A24" s="259"/>
      <c r="B24" s="1573" t="s">
        <v>684</v>
      </c>
      <c r="C24" s="210">
        <v>3243</v>
      </c>
      <c r="D24" s="210"/>
      <c r="E24" s="1574">
        <f>SUM(C24:D24)</f>
        <v>3243</v>
      </c>
      <c r="F24" s="257"/>
      <c r="I24" s="1743">
        <v>3243</v>
      </c>
      <c r="J24" s="1678">
        <v>3243</v>
      </c>
    </row>
    <row r="25" spans="1:10" s="258" customFormat="1" ht="15" customHeight="1">
      <c r="A25" s="259"/>
      <c r="B25" s="1572" t="s">
        <v>685</v>
      </c>
      <c r="C25" s="210">
        <v>30340</v>
      </c>
      <c r="D25" s="210"/>
      <c r="E25" s="256">
        <f>SUM(C25:D25)</f>
        <v>30340</v>
      </c>
      <c r="F25" s="257"/>
      <c r="I25" s="1743">
        <v>29239</v>
      </c>
      <c r="J25" s="1678">
        <v>29239</v>
      </c>
    </row>
    <row r="26" spans="1:10" s="258" customFormat="1" ht="15" customHeight="1">
      <c r="A26" s="259"/>
      <c r="B26" s="1573" t="s">
        <v>798</v>
      </c>
      <c r="C26" s="210">
        <v>7300</v>
      </c>
      <c r="D26" s="210"/>
      <c r="E26" s="1574">
        <f>SUM(C26:D26)</f>
        <v>7300</v>
      </c>
      <c r="F26" s="257"/>
      <c r="I26" s="1743">
        <v>7264</v>
      </c>
      <c r="J26" s="1678"/>
    </row>
    <row r="27" spans="1:10" s="258" customFormat="1" ht="15" customHeight="1" thickBot="1">
      <c r="A27" s="259"/>
      <c r="B27" s="1696" t="s">
        <v>815</v>
      </c>
      <c r="C27" s="1697"/>
      <c r="D27" s="1697">
        <v>4444</v>
      </c>
      <c r="E27" s="1698">
        <f>SUM(C27:D27)</f>
        <v>4444</v>
      </c>
      <c r="F27" s="257"/>
      <c r="I27" s="1743"/>
      <c r="J27" s="1678"/>
    </row>
    <row r="28" spans="1:10" s="258" customFormat="1" ht="15" customHeight="1" thickBot="1">
      <c r="A28" s="289" t="s">
        <v>117</v>
      </c>
      <c r="B28" s="1367" t="s">
        <v>483</v>
      </c>
      <c r="C28" s="1251">
        <f>SUM(C22:C27)</f>
        <v>41074</v>
      </c>
      <c r="D28" s="1251">
        <f>SUM(D22:D27)</f>
        <v>5644</v>
      </c>
      <c r="E28" s="1251">
        <f>SUM(E22:E27)</f>
        <v>46718</v>
      </c>
      <c r="F28" s="1027">
        <f>SUM(C28:D28)</f>
        <v>46718</v>
      </c>
      <c r="I28" s="1743"/>
      <c r="J28" s="1678"/>
    </row>
    <row r="29" spans="1:10" s="258" customFormat="1" ht="15" customHeight="1">
      <c r="A29" s="1178"/>
      <c r="B29" s="1542" t="s">
        <v>609</v>
      </c>
      <c r="C29" s="1061"/>
      <c r="D29" s="1061">
        <v>1359</v>
      </c>
      <c r="E29" s="1062">
        <f>SUM(C29:D29)</f>
        <v>1359</v>
      </c>
      <c r="F29" s="257"/>
      <c r="I29" s="1743"/>
      <c r="J29" s="1678"/>
    </row>
    <row r="30" spans="1:10" s="258" customFormat="1" ht="15" customHeight="1">
      <c r="A30" s="960"/>
      <c r="B30" s="1543" t="s">
        <v>616</v>
      </c>
      <c r="C30" s="213"/>
      <c r="D30" s="213"/>
      <c r="E30" s="217">
        <f>SUM(C30:D30)</f>
        <v>0</v>
      </c>
      <c r="F30" s="257"/>
      <c r="I30" s="1743"/>
      <c r="J30" s="1678"/>
    </row>
    <row r="31" spans="1:10" s="258" customFormat="1" ht="15" customHeight="1">
      <c r="A31" s="960"/>
      <c r="B31" s="1542" t="s">
        <v>540</v>
      </c>
      <c r="C31" s="213"/>
      <c r="D31" s="213"/>
      <c r="E31" s="217">
        <f>SUM(C31:D31)</f>
        <v>0</v>
      </c>
      <c r="F31" s="257"/>
      <c r="I31" s="1743"/>
      <c r="J31" s="1678"/>
    </row>
    <row r="32" spans="1:10" s="258" customFormat="1" ht="15" customHeight="1" thickBot="1">
      <c r="A32" s="960"/>
      <c r="B32" s="1544" t="s">
        <v>612</v>
      </c>
      <c r="C32" s="213"/>
      <c r="D32" s="213"/>
      <c r="E32" s="211">
        <f>SUM(C32:D32)</f>
        <v>0</v>
      </c>
      <c r="F32" s="257"/>
      <c r="I32" s="1743"/>
      <c r="J32" s="1678"/>
    </row>
    <row r="33" spans="1:10" s="258" customFormat="1" ht="15" customHeight="1" thickBot="1">
      <c r="A33" s="272" t="s">
        <v>98</v>
      </c>
      <c r="B33" s="1368" t="s">
        <v>486</v>
      </c>
      <c r="C33" s="262">
        <f>SUM(C29:C32)</f>
        <v>0</v>
      </c>
      <c r="D33" s="262">
        <f>SUM(D29:D32)</f>
        <v>1359</v>
      </c>
      <c r="E33" s="1309">
        <f>SUM(E29:E32)</f>
        <v>1359</v>
      </c>
      <c r="F33" s="257"/>
      <c r="I33" s="1743"/>
      <c r="J33" s="1678"/>
    </row>
    <row r="34" spans="1:10" s="1194" customFormat="1" ht="15" customHeight="1" thickBot="1">
      <c r="A34" s="960"/>
      <c r="B34" s="1345" t="s">
        <v>537</v>
      </c>
      <c r="C34" s="1343"/>
      <c r="D34" s="1343"/>
      <c r="E34" s="256">
        <f>SUM(C34:D34)</f>
        <v>0</v>
      </c>
      <c r="F34" s="1193"/>
      <c r="I34" s="1749"/>
      <c r="J34" s="1684"/>
    </row>
    <row r="35" spans="1:10" s="258" customFormat="1" ht="15" customHeight="1" thickBot="1">
      <c r="A35" s="234" t="s">
        <v>99</v>
      </c>
      <c r="B35" s="1369" t="s">
        <v>485</v>
      </c>
      <c r="C35" s="262">
        <f>SUM(C34:C34)</f>
        <v>0</v>
      </c>
      <c r="D35" s="262">
        <f>SUM(D34:D34)</f>
        <v>0</v>
      </c>
      <c r="E35" s="1309">
        <f>SUM(E34:E34)</f>
        <v>0</v>
      </c>
      <c r="F35" s="257"/>
      <c r="I35" s="1743"/>
      <c r="J35" s="1678"/>
    </row>
    <row r="36" spans="1:10" s="258" customFormat="1" ht="15" customHeight="1">
      <c r="A36" s="259"/>
      <c r="B36" s="1370" t="s">
        <v>572</v>
      </c>
      <c r="C36" s="1346"/>
      <c r="D36" s="210"/>
      <c r="E36" s="211">
        <f>SUM(C36:D36)</f>
        <v>0</v>
      </c>
      <c r="F36" s="257"/>
      <c r="I36" s="1743"/>
      <c r="J36" s="1678"/>
    </row>
    <row r="37" spans="1:10" s="258" customFormat="1" ht="15" customHeight="1">
      <c r="A37" s="259"/>
      <c r="B37" s="1547" t="s">
        <v>629</v>
      </c>
      <c r="C37" s="1346"/>
      <c r="D37" s="210">
        <v>5574</v>
      </c>
      <c r="E37" s="211">
        <f>SUM(C37:D37)</f>
        <v>5574</v>
      </c>
      <c r="F37" s="257"/>
      <c r="I37" s="1743"/>
      <c r="J37" s="1678"/>
    </row>
    <row r="38" spans="1:10" s="258" customFormat="1" ht="15" customHeight="1" thickBot="1">
      <c r="A38" s="259"/>
      <c r="B38" s="1546" t="s">
        <v>615</v>
      </c>
      <c r="C38" s="1545">
        <v>1595</v>
      </c>
      <c r="D38" s="1347"/>
      <c r="E38" s="211">
        <f>SUM(C38:D38)</f>
        <v>1595</v>
      </c>
      <c r="F38" s="257"/>
      <c r="I38" s="1743"/>
      <c r="J38" s="1678"/>
    </row>
    <row r="39" spans="1:10" s="258" customFormat="1" ht="15" customHeight="1" thickBot="1">
      <c r="A39" s="234" t="s">
        <v>100</v>
      </c>
      <c r="B39" s="1369" t="s">
        <v>487</v>
      </c>
      <c r="C39" s="262">
        <f>SUM(C36:C38)</f>
        <v>1595</v>
      </c>
      <c r="D39" s="262">
        <f>SUM(D36:D38)</f>
        <v>5574</v>
      </c>
      <c r="E39" s="262">
        <f>SUM(E36:E38)</f>
        <v>7169</v>
      </c>
      <c r="F39" s="257"/>
      <c r="I39" s="1743"/>
      <c r="J39" s="1678"/>
    </row>
    <row r="40" spans="1:10" s="258" customFormat="1" ht="15" customHeight="1">
      <c r="A40" s="259"/>
      <c r="B40" s="1550" t="s">
        <v>610</v>
      </c>
      <c r="C40" s="1348"/>
      <c r="D40" s="1387"/>
      <c r="E40" s="1381">
        <f aca="true" t="shared" si="0" ref="E40:E45">SUM(C40:D40)</f>
        <v>0</v>
      </c>
      <c r="F40" s="257"/>
      <c r="I40" s="1743"/>
      <c r="J40" s="1678"/>
    </row>
    <row r="41" spans="1:10" s="258" customFormat="1" ht="15" customHeight="1">
      <c r="A41" s="259"/>
      <c r="B41" s="1551" t="s">
        <v>613</v>
      </c>
      <c r="C41" s="249"/>
      <c r="D41" s="1548"/>
      <c r="E41" s="256">
        <f t="shared" si="0"/>
        <v>0</v>
      </c>
      <c r="F41" s="257"/>
      <c r="I41" s="1743"/>
      <c r="J41" s="1678"/>
    </row>
    <row r="42" spans="1:10" s="258" customFormat="1" ht="15" customHeight="1">
      <c r="A42" s="259"/>
      <c r="B42" s="1552" t="s">
        <v>628</v>
      </c>
      <c r="C42" s="1388"/>
      <c r="D42" s="1548"/>
      <c r="E42" s="256">
        <f t="shared" si="0"/>
        <v>0</v>
      </c>
      <c r="F42" s="257"/>
      <c r="I42" s="1743"/>
      <c r="J42" s="1678"/>
    </row>
    <row r="43" spans="1:10" s="258" customFormat="1" ht="15" customHeight="1">
      <c r="A43" s="259"/>
      <c r="B43" s="1553" t="s">
        <v>547</v>
      </c>
      <c r="C43" s="261">
        <v>500</v>
      </c>
      <c r="D43" s="1548">
        <v>-260</v>
      </c>
      <c r="E43" s="256">
        <f t="shared" si="0"/>
        <v>240</v>
      </c>
      <c r="F43" s="257"/>
      <c r="I43" s="1743"/>
      <c r="J43" s="1678"/>
    </row>
    <row r="44" spans="1:10" s="258" customFormat="1" ht="15" customHeight="1">
      <c r="A44" s="259"/>
      <c r="B44" s="1551" t="s">
        <v>541</v>
      </c>
      <c r="C44" s="249"/>
      <c r="D44" s="1353"/>
      <c r="E44" s="256">
        <f t="shared" si="0"/>
        <v>0</v>
      </c>
      <c r="F44" s="257"/>
      <c r="I44" s="1743"/>
      <c r="J44" s="1678"/>
    </row>
    <row r="45" spans="1:10" s="258" customFormat="1" ht="15" customHeight="1" thickBot="1">
      <c r="A45" s="259"/>
      <c r="B45" s="1554" t="s">
        <v>619</v>
      </c>
      <c r="C45" s="261"/>
      <c r="D45" s="1353"/>
      <c r="E45" s="256">
        <f t="shared" si="0"/>
        <v>0</v>
      </c>
      <c r="F45" s="257"/>
      <c r="I45" s="1743"/>
      <c r="J45" s="1678"/>
    </row>
    <row r="46" spans="1:10" s="258" customFormat="1" ht="15" customHeight="1" thickBot="1">
      <c r="A46" s="234" t="s">
        <v>101</v>
      </c>
      <c r="B46" s="1369" t="s">
        <v>488</v>
      </c>
      <c r="C46" s="262">
        <f>SUM(C40:C45)</f>
        <v>500</v>
      </c>
      <c r="D46" s="262">
        <f>SUM(D40:D45)</f>
        <v>-260</v>
      </c>
      <c r="E46" s="1309">
        <f>SUM(E40:E45)</f>
        <v>240</v>
      </c>
      <c r="F46" s="257"/>
      <c r="I46" s="1743"/>
      <c r="J46" s="1678"/>
    </row>
    <row r="47" spans="1:10" s="258" customFormat="1" ht="15" customHeight="1" thickBot="1">
      <c r="A47" s="960"/>
      <c r="B47" s="1412" t="s">
        <v>618</v>
      </c>
      <c r="C47" s="249">
        <v>4000</v>
      </c>
      <c r="D47" s="260"/>
      <c r="E47" s="256">
        <f>SUM(C47:D47)</f>
        <v>4000</v>
      </c>
      <c r="F47" s="257"/>
      <c r="I47" s="1743">
        <v>3912</v>
      </c>
      <c r="J47" s="1678"/>
    </row>
    <row r="48" spans="1:10" s="258" customFormat="1" ht="15" customHeight="1" thickBot="1">
      <c r="A48" s="234" t="s">
        <v>192</v>
      </c>
      <c r="B48" s="1369" t="s">
        <v>489</v>
      </c>
      <c r="C48" s="262">
        <f>SUM(C47:C47)</f>
        <v>4000</v>
      </c>
      <c r="D48" s="262">
        <f>SUM(D47:D47)</f>
        <v>0</v>
      </c>
      <c r="E48" s="1309">
        <f>SUM(E47:E47)</f>
        <v>4000</v>
      </c>
      <c r="F48" s="257"/>
      <c r="I48" s="1743"/>
      <c r="J48" s="1678"/>
    </row>
    <row r="49" spans="1:10" s="258" customFormat="1" ht="15" customHeight="1" thickBot="1">
      <c r="A49" s="300"/>
      <c r="B49" s="1179"/>
      <c r="C49" s="249"/>
      <c r="D49" s="260"/>
      <c r="E49" s="256">
        <f>SUM(C49:D49)</f>
        <v>0</v>
      </c>
      <c r="F49" s="257"/>
      <c r="I49" s="1743"/>
      <c r="J49" s="1678"/>
    </row>
    <row r="50" spans="1:10" s="258" customFormat="1" ht="15" customHeight="1" thickBot="1">
      <c r="A50" s="234" t="s">
        <v>327</v>
      </c>
      <c r="B50" s="1369" t="s">
        <v>490</v>
      </c>
      <c r="C50" s="262">
        <f>SUM(C49)</f>
        <v>0</v>
      </c>
      <c r="D50" s="262">
        <f>SUM(D49)</f>
        <v>0</v>
      </c>
      <c r="E50" s="1309">
        <f>SUM(E49)</f>
        <v>0</v>
      </c>
      <c r="F50" s="1027"/>
      <c r="I50" s="1743"/>
      <c r="J50" s="1678"/>
    </row>
    <row r="51" spans="1:10" s="258" customFormat="1" ht="15" customHeight="1" thickBot="1">
      <c r="A51" s="300"/>
      <c r="B51" s="1575" t="s">
        <v>686</v>
      </c>
      <c r="C51" s="249">
        <v>89588</v>
      </c>
      <c r="D51" s="260"/>
      <c r="E51" s="256">
        <f>SUM(C51:D51)</f>
        <v>89588</v>
      </c>
      <c r="F51" s="257"/>
      <c r="I51" s="1743"/>
      <c r="J51" s="1678"/>
    </row>
    <row r="52" spans="1:10" s="258" customFormat="1" ht="15" customHeight="1" thickBot="1">
      <c r="A52" s="272" t="s">
        <v>328</v>
      </c>
      <c r="B52" s="1369" t="s">
        <v>491</v>
      </c>
      <c r="C52" s="262">
        <f>SUM(C51:C51)</f>
        <v>89588</v>
      </c>
      <c r="D52" s="262">
        <f>SUM(D51:D51)</f>
        <v>0</v>
      </c>
      <c r="E52" s="1309">
        <f>SUM(E51:E51)</f>
        <v>89588</v>
      </c>
      <c r="F52" s="257"/>
      <c r="I52" s="1743"/>
      <c r="J52" s="1678"/>
    </row>
    <row r="53" spans="1:10" s="258" customFormat="1" ht="15" customHeight="1" thickBot="1">
      <c r="A53" s="300"/>
      <c r="B53" s="1371"/>
      <c r="C53" s="249"/>
      <c r="D53" s="260"/>
      <c r="E53" s="256">
        <f>SUM(C53:D53)</f>
        <v>0</v>
      </c>
      <c r="F53" s="257"/>
      <c r="I53" s="1743"/>
      <c r="J53" s="1678"/>
    </row>
    <row r="54" spans="1:10" s="258" customFormat="1" ht="15" customHeight="1" thickBot="1">
      <c r="A54" s="272" t="s">
        <v>69</v>
      </c>
      <c r="B54" s="1369" t="s">
        <v>492</v>
      </c>
      <c r="C54" s="262">
        <f>SUM(C53)</f>
        <v>0</v>
      </c>
      <c r="D54" s="262">
        <f>SUM(D53)</f>
        <v>0</v>
      </c>
      <c r="E54" s="1309">
        <f>SUM(E53)</f>
        <v>0</v>
      </c>
      <c r="F54" s="257"/>
      <c r="I54" s="1743"/>
      <c r="J54" s="1678"/>
    </row>
    <row r="55" spans="1:10" s="258" customFormat="1" ht="15" customHeight="1" thickBot="1">
      <c r="A55" s="300"/>
      <c r="B55" s="1371"/>
      <c r="C55" s="249"/>
      <c r="D55" s="260"/>
      <c r="E55" s="256">
        <f>SUM(C55:D55)</f>
        <v>0</v>
      </c>
      <c r="F55" s="257"/>
      <c r="I55" s="1743"/>
      <c r="J55" s="1678"/>
    </row>
    <row r="56" spans="1:10" s="258" customFormat="1" ht="15" customHeight="1" thickBot="1">
      <c r="A56" s="118" t="s">
        <v>495</v>
      </c>
      <c r="B56" s="1369" t="s">
        <v>493</v>
      </c>
      <c r="C56" s="262">
        <f>SUM(C55)</f>
        <v>0</v>
      </c>
      <c r="D56" s="262">
        <f>SUM(D55)</f>
        <v>0</v>
      </c>
      <c r="E56" s="1309">
        <f>SUM(E55)</f>
        <v>0</v>
      </c>
      <c r="F56" s="257"/>
      <c r="I56" s="1743"/>
      <c r="J56" s="1678"/>
    </row>
    <row r="57" spans="1:10" s="258" customFormat="1" ht="15" customHeight="1">
      <c r="A57" s="1216"/>
      <c r="B57" s="1555" t="s">
        <v>536</v>
      </c>
      <c r="C57" s="1348"/>
      <c r="D57" s="1507"/>
      <c r="E57" s="256">
        <f>SUM(C57:D57)</f>
        <v>0</v>
      </c>
      <c r="F57" s="257"/>
      <c r="I57" s="1743"/>
      <c r="J57" s="1678"/>
    </row>
    <row r="58" spans="1:10" s="258" customFormat="1" ht="15" customHeight="1">
      <c r="A58" s="267"/>
      <c r="B58" s="1549" t="s">
        <v>614</v>
      </c>
      <c r="C58" s="1349"/>
      <c r="D58" s="260"/>
      <c r="E58" s="256">
        <f>SUM(C58:D58)</f>
        <v>0</v>
      </c>
      <c r="F58" s="257"/>
      <c r="I58" s="1743"/>
      <c r="J58" s="1678"/>
    </row>
    <row r="59" spans="1:10" s="258" customFormat="1" ht="15" customHeight="1">
      <c r="A59" s="267"/>
      <c r="B59" s="1556" t="s">
        <v>611</v>
      </c>
      <c r="C59" s="1349"/>
      <c r="D59" s="260"/>
      <c r="E59" s="256">
        <f>SUM(C59:D59)</f>
        <v>0</v>
      </c>
      <c r="F59" s="257"/>
      <c r="I59" s="1743"/>
      <c r="J59" s="1678"/>
    </row>
    <row r="60" spans="1:10" s="258" customFormat="1" ht="15" customHeight="1">
      <c r="A60" s="267"/>
      <c r="B60" s="1557" t="s">
        <v>617</v>
      </c>
      <c r="C60" s="1349">
        <v>800</v>
      </c>
      <c r="D60" s="260">
        <v>-800</v>
      </c>
      <c r="E60" s="256">
        <f>SUM(C60:D60)</f>
        <v>0</v>
      </c>
      <c r="F60" s="257"/>
      <c r="I60" s="1743"/>
      <c r="J60" s="1678"/>
    </row>
    <row r="61" spans="1:10" s="258" customFormat="1" ht="15" customHeight="1" thickBot="1">
      <c r="A61" s="267"/>
      <c r="B61" s="1558" t="s">
        <v>630</v>
      </c>
      <c r="C61" s="1350">
        <v>40462</v>
      </c>
      <c r="D61" s="1340">
        <v>-7908</v>
      </c>
      <c r="E61" s="957">
        <f>SUM(C61:D61)</f>
        <v>32554</v>
      </c>
      <c r="F61" s="257"/>
      <c r="I61" s="1743">
        <v>26641</v>
      </c>
      <c r="J61" s="1678">
        <v>22756</v>
      </c>
    </row>
    <row r="62" spans="1:10" s="264" customFormat="1" ht="15" customHeight="1" thickBot="1">
      <c r="A62" s="250" t="s">
        <v>418</v>
      </c>
      <c r="B62" s="1369" t="s">
        <v>494</v>
      </c>
      <c r="C62" s="262">
        <f>SUM(C57:C61)</f>
        <v>41262</v>
      </c>
      <c r="D62" s="262">
        <f>SUM(D57:D61)</f>
        <v>-8708</v>
      </c>
      <c r="E62" s="262">
        <f>SUM(E57:E61)</f>
        <v>32554</v>
      </c>
      <c r="F62" s="263"/>
      <c r="I62" s="1743"/>
      <c r="J62" s="1678"/>
    </row>
    <row r="63" spans="1:10" s="264" customFormat="1" ht="15" customHeight="1">
      <c r="A63" s="1941"/>
      <c r="B63" s="1372" t="s">
        <v>484</v>
      </c>
      <c r="C63" s="1030">
        <v>12720</v>
      </c>
      <c r="D63" s="213"/>
      <c r="E63" s="957">
        <f>SUM(C63:D63)</f>
        <v>12720</v>
      </c>
      <c r="F63" s="263"/>
      <c r="I63" s="1743">
        <v>4427</v>
      </c>
      <c r="J63" s="1678">
        <v>3220</v>
      </c>
    </row>
    <row r="64" spans="1:10" s="264" customFormat="1" ht="15" customHeight="1">
      <c r="A64" s="1941"/>
      <c r="B64" s="1409" t="s">
        <v>606</v>
      </c>
      <c r="C64" s="1030">
        <v>3058</v>
      </c>
      <c r="D64" s="213"/>
      <c r="E64" s="957">
        <f>SUM(C64:D64)</f>
        <v>3058</v>
      </c>
      <c r="F64" s="263"/>
      <c r="I64" s="1743">
        <v>2266</v>
      </c>
      <c r="J64" s="1678">
        <v>1132</v>
      </c>
    </row>
    <row r="65" spans="1:10" s="264" customFormat="1" ht="15" customHeight="1">
      <c r="A65" s="1941"/>
      <c r="B65" s="1409" t="s">
        <v>545</v>
      </c>
      <c r="C65" s="1030">
        <v>2000</v>
      </c>
      <c r="D65" s="213"/>
      <c r="E65" s="957">
        <f>SUM(C65:D65)</f>
        <v>2000</v>
      </c>
      <c r="F65" s="263"/>
      <c r="I65" s="1743"/>
      <c r="J65" s="1678"/>
    </row>
    <row r="66" spans="1:10" s="264" customFormat="1" ht="15" customHeight="1">
      <c r="A66" s="1941"/>
      <c r="B66" s="1410" t="s">
        <v>607</v>
      </c>
      <c r="C66" s="1030">
        <v>1843</v>
      </c>
      <c r="D66" s="213"/>
      <c r="E66" s="957">
        <f>SUM(C66:D66)</f>
        <v>1843</v>
      </c>
      <c r="F66" s="263"/>
      <c r="I66" s="1743"/>
      <c r="J66" s="1678"/>
    </row>
    <row r="67" spans="1:10" s="264" customFormat="1" ht="15" customHeight="1">
      <c r="A67" s="259"/>
      <c r="B67" s="1576" t="s">
        <v>687</v>
      </c>
      <c r="C67" s="1578"/>
      <c r="D67" s="1582"/>
      <c r="E67" s="1579"/>
      <c r="F67" s="263"/>
      <c r="I67" s="1743"/>
      <c r="J67" s="1678"/>
    </row>
    <row r="68" spans="1:10" s="264" customFormat="1" ht="15" customHeight="1">
      <c r="A68" s="259"/>
      <c r="B68" s="1742" t="s">
        <v>836</v>
      </c>
      <c r="C68" s="1250"/>
      <c r="D68" s="210">
        <v>100</v>
      </c>
      <c r="E68" s="957">
        <f aca="true" t="shared" si="1" ref="E68:E86">SUM(C68:D68)</f>
        <v>100</v>
      </c>
      <c r="F68" s="263"/>
      <c r="I68" s="1743"/>
      <c r="J68" s="1678"/>
    </row>
    <row r="69" spans="1:10" s="264" customFormat="1" ht="15" customHeight="1">
      <c r="A69" s="259"/>
      <c r="B69" s="1577" t="s">
        <v>777</v>
      </c>
      <c r="C69" s="1250">
        <v>1220</v>
      </c>
      <c r="D69" s="210"/>
      <c r="E69" s="957">
        <f t="shared" si="1"/>
        <v>1220</v>
      </c>
      <c r="F69" s="263"/>
      <c r="I69" s="1743">
        <v>1109</v>
      </c>
      <c r="J69" s="1678">
        <v>1109</v>
      </c>
    </row>
    <row r="70" spans="1:10" s="264" customFormat="1" ht="15" customHeight="1">
      <c r="A70" s="259"/>
      <c r="B70" s="1577" t="s">
        <v>688</v>
      </c>
      <c r="C70" s="1250">
        <v>339</v>
      </c>
      <c r="D70" s="210"/>
      <c r="E70" s="957">
        <f t="shared" si="1"/>
        <v>339</v>
      </c>
      <c r="F70" s="263"/>
      <c r="I70" s="1743">
        <v>339</v>
      </c>
      <c r="J70" s="1678">
        <v>339</v>
      </c>
    </row>
    <row r="71" spans="1:10" s="264" customFormat="1" ht="15" customHeight="1">
      <c r="A71" s="259"/>
      <c r="B71" s="1577" t="s">
        <v>837</v>
      </c>
      <c r="C71" s="1250"/>
      <c r="D71" s="210">
        <v>282</v>
      </c>
      <c r="E71" s="957">
        <f t="shared" si="1"/>
        <v>282</v>
      </c>
      <c r="F71" s="263"/>
      <c r="I71" s="1743">
        <v>282</v>
      </c>
      <c r="J71" s="1678"/>
    </row>
    <row r="72" spans="1:10" s="264" customFormat="1" ht="15" customHeight="1">
      <c r="A72" s="259"/>
      <c r="B72" s="1577" t="s">
        <v>765</v>
      </c>
      <c r="C72" s="1250">
        <v>58</v>
      </c>
      <c r="D72" s="210"/>
      <c r="E72" s="957">
        <f t="shared" si="1"/>
        <v>58</v>
      </c>
      <c r="F72" s="263"/>
      <c r="I72" s="1743">
        <v>58</v>
      </c>
      <c r="J72" s="1678"/>
    </row>
    <row r="73" spans="1:10" s="264" customFormat="1" ht="15" customHeight="1">
      <c r="A73" s="259"/>
      <c r="B73" s="1577" t="s">
        <v>689</v>
      </c>
      <c r="C73" s="1250">
        <v>642</v>
      </c>
      <c r="D73" s="210"/>
      <c r="E73" s="957">
        <f t="shared" si="1"/>
        <v>642</v>
      </c>
      <c r="F73" s="263"/>
      <c r="I73" s="1743"/>
      <c r="J73" s="1678"/>
    </row>
    <row r="74" spans="1:10" s="264" customFormat="1" ht="15" customHeight="1">
      <c r="A74" s="259"/>
      <c r="B74" s="1577" t="s">
        <v>690</v>
      </c>
      <c r="C74" s="1250">
        <v>3106</v>
      </c>
      <c r="D74" s="210"/>
      <c r="E74" s="957">
        <f t="shared" si="1"/>
        <v>3106</v>
      </c>
      <c r="F74" s="263"/>
      <c r="I74" s="1743">
        <v>3106</v>
      </c>
      <c r="J74" s="1678">
        <v>3106</v>
      </c>
    </row>
    <row r="75" spans="1:10" s="264" customFormat="1" ht="15" customHeight="1">
      <c r="A75" s="259"/>
      <c r="B75" s="1670" t="s">
        <v>766</v>
      </c>
      <c r="C75" s="1250">
        <v>1133</v>
      </c>
      <c r="D75" s="210"/>
      <c r="E75" s="957">
        <f t="shared" si="1"/>
        <v>1133</v>
      </c>
      <c r="F75" s="263"/>
      <c r="I75" s="1743">
        <v>1133</v>
      </c>
      <c r="J75" s="1678">
        <v>1133</v>
      </c>
    </row>
    <row r="76" spans="1:10" s="264" customFormat="1" ht="15" customHeight="1">
      <c r="A76" s="259"/>
      <c r="B76" s="1670" t="s">
        <v>838</v>
      </c>
      <c r="C76" s="1250"/>
      <c r="D76" s="210">
        <v>467</v>
      </c>
      <c r="E76" s="957">
        <f t="shared" si="1"/>
        <v>467</v>
      </c>
      <c r="F76" s="263"/>
      <c r="I76" s="1743"/>
      <c r="J76" s="1678"/>
    </row>
    <row r="77" spans="1:10" s="264" customFormat="1" ht="15" customHeight="1">
      <c r="A77" s="259"/>
      <c r="B77" s="1583" t="s">
        <v>691</v>
      </c>
      <c r="C77" s="1578"/>
      <c r="D77" s="1582"/>
      <c r="E77" s="1579"/>
      <c r="F77" s="263"/>
      <c r="I77" s="1743"/>
      <c r="J77" s="1678"/>
    </row>
    <row r="78" spans="1:10" s="264" customFormat="1" ht="15" customHeight="1">
      <c r="A78" s="259"/>
      <c r="B78" s="1577" t="s">
        <v>692</v>
      </c>
      <c r="C78" s="1250">
        <v>736</v>
      </c>
      <c r="D78" s="210"/>
      <c r="E78" s="256">
        <f t="shared" si="1"/>
        <v>736</v>
      </c>
      <c r="F78" s="263"/>
      <c r="I78" s="1743">
        <v>669</v>
      </c>
      <c r="J78" s="1678">
        <v>669</v>
      </c>
    </row>
    <row r="79" spans="1:10" s="264" customFormat="1" ht="15" customHeight="1">
      <c r="A79" s="259"/>
      <c r="B79" s="1577" t="s">
        <v>767</v>
      </c>
      <c r="C79" s="1250">
        <v>4916</v>
      </c>
      <c r="D79" s="210"/>
      <c r="E79" s="256">
        <f t="shared" si="1"/>
        <v>4916</v>
      </c>
      <c r="F79" s="263"/>
      <c r="I79" s="1743"/>
      <c r="J79" s="1678"/>
    </row>
    <row r="80" spans="1:10" s="264" customFormat="1" ht="15" customHeight="1">
      <c r="A80" s="259"/>
      <c r="B80" s="1673" t="s">
        <v>768</v>
      </c>
      <c r="C80" s="1674"/>
      <c r="D80" s="1675"/>
      <c r="E80" s="1579"/>
      <c r="F80" s="263"/>
      <c r="I80" s="1743"/>
      <c r="J80" s="1678"/>
    </row>
    <row r="81" spans="1:10" s="264" customFormat="1" ht="15" customHeight="1">
      <c r="A81" s="259"/>
      <c r="B81" s="1671" t="s">
        <v>769</v>
      </c>
      <c r="C81" s="1030">
        <v>2678</v>
      </c>
      <c r="D81" s="213"/>
      <c r="E81" s="256">
        <f t="shared" si="1"/>
        <v>2678</v>
      </c>
      <c r="F81" s="263"/>
      <c r="I81" s="1743">
        <v>2678</v>
      </c>
      <c r="J81" s="1678"/>
    </row>
    <row r="82" spans="1:10" s="264" customFormat="1" ht="15" customHeight="1">
      <c r="A82" s="259"/>
      <c r="B82" s="1672" t="s">
        <v>770</v>
      </c>
      <c r="C82" s="1030">
        <v>175</v>
      </c>
      <c r="D82" s="213"/>
      <c r="E82" s="256">
        <f t="shared" si="1"/>
        <v>175</v>
      </c>
      <c r="F82" s="263"/>
      <c r="I82" s="1743"/>
      <c r="J82" s="1678"/>
    </row>
    <row r="83" spans="1:10" s="264" customFormat="1" ht="15" customHeight="1">
      <c r="A83" s="259"/>
      <c r="B83" s="1672" t="s">
        <v>771</v>
      </c>
      <c r="C83" s="1030">
        <v>369</v>
      </c>
      <c r="D83" s="213"/>
      <c r="E83" s="256">
        <f t="shared" si="1"/>
        <v>369</v>
      </c>
      <c r="F83" s="263"/>
      <c r="I83" s="1743"/>
      <c r="J83" s="1678"/>
    </row>
    <row r="84" spans="1:10" s="264" customFormat="1" ht="15" customHeight="1">
      <c r="A84" s="259"/>
      <c r="B84" s="1673" t="s">
        <v>772</v>
      </c>
      <c r="C84" s="1674"/>
      <c r="D84" s="1675"/>
      <c r="E84" s="1579"/>
      <c r="F84" s="263"/>
      <c r="I84" s="1743"/>
      <c r="J84" s="1678"/>
    </row>
    <row r="85" spans="1:10" s="264" customFormat="1" ht="15" customHeight="1">
      <c r="A85" s="259"/>
      <c r="B85" s="1672" t="s">
        <v>773</v>
      </c>
      <c r="C85" s="1030">
        <v>2814</v>
      </c>
      <c r="D85" s="213">
        <v>-2814</v>
      </c>
      <c r="E85" s="256">
        <f t="shared" si="1"/>
        <v>0</v>
      </c>
      <c r="F85" s="263"/>
      <c r="I85" s="1743"/>
      <c r="J85" s="1678"/>
    </row>
    <row r="86" spans="1:10" s="264" customFormat="1" ht="15" customHeight="1" thickBot="1">
      <c r="A86" s="259"/>
      <c r="B86" s="1672" t="s">
        <v>774</v>
      </c>
      <c r="C86" s="1030">
        <v>1528</v>
      </c>
      <c r="D86" s="213">
        <v>-1528</v>
      </c>
      <c r="E86" s="256">
        <f t="shared" si="1"/>
        <v>0</v>
      </c>
      <c r="F86" s="263"/>
      <c r="I86" s="1743"/>
      <c r="J86" s="1678"/>
    </row>
    <row r="87" spans="1:10" s="264" customFormat="1" ht="15" customHeight="1" thickBot="1">
      <c r="A87" s="1252" t="s">
        <v>467</v>
      </c>
      <c r="B87" s="1373" t="s">
        <v>531</v>
      </c>
      <c r="C87" s="1253">
        <f>SUM(C63:C86)</f>
        <v>39335</v>
      </c>
      <c r="D87" s="1253">
        <f>SUM(D63:D86)</f>
        <v>-3493</v>
      </c>
      <c r="E87" s="1253">
        <f>SUM(E63:E86)</f>
        <v>35842</v>
      </c>
      <c r="F87" s="263"/>
      <c r="I87" s="1743"/>
      <c r="J87" s="1678"/>
    </row>
    <row r="88" spans="1:10" s="258" customFormat="1" ht="15" customHeight="1" thickBot="1">
      <c r="A88" s="235" t="s">
        <v>53</v>
      </c>
      <c r="B88" s="1367" t="s">
        <v>693</v>
      </c>
      <c r="C88" s="212">
        <f>C33+C35+C39+C46+C48+C50+C52+C54+C56+C62+C87</f>
        <v>176280</v>
      </c>
      <c r="D88" s="212">
        <f>D33+D35+D39+D46+D48+D50+D52+D54+D56+D62+D87</f>
        <v>-5528</v>
      </c>
      <c r="E88" s="212">
        <f>E33+E35+E39+E46+E48+E50+E52+E54+E56+E62+E87</f>
        <v>170752</v>
      </c>
      <c r="F88" s="257">
        <f>SUM(C88:D88)</f>
        <v>170752</v>
      </c>
      <c r="I88" s="1743"/>
      <c r="J88" s="1678"/>
    </row>
    <row r="89" spans="1:10" s="258" customFormat="1" ht="15" customHeight="1" thickBot="1">
      <c r="A89" s="1197"/>
      <c r="B89" s="1585" t="s">
        <v>696</v>
      </c>
      <c r="C89" s="1199">
        <v>12011</v>
      </c>
      <c r="D89" s="1199"/>
      <c r="E89" s="1383">
        <f>SUM(C89:D89)</f>
        <v>12011</v>
      </c>
      <c r="F89" s="257"/>
      <c r="I89" s="1743"/>
      <c r="J89" s="1678"/>
    </row>
    <row r="90" spans="1:10" s="258" customFormat="1" ht="15" customHeight="1" thickBot="1">
      <c r="A90" s="1195" t="s">
        <v>54</v>
      </c>
      <c r="B90" s="1584" t="s">
        <v>697</v>
      </c>
      <c r="C90" s="1196">
        <f>SUM(C89)</f>
        <v>12011</v>
      </c>
      <c r="D90" s="1196">
        <f>SUM(D89)</f>
        <v>0</v>
      </c>
      <c r="E90" s="1384">
        <f>SUM(E89)</f>
        <v>12011</v>
      </c>
      <c r="F90" s="257"/>
      <c r="I90" s="1743"/>
      <c r="J90" s="1678"/>
    </row>
    <row r="91" spans="1:10" s="1194" customFormat="1" ht="15" customHeight="1" thickBot="1">
      <c r="A91" s="1197"/>
      <c r="B91" s="1411" t="s">
        <v>608</v>
      </c>
      <c r="C91" s="1199">
        <v>1000</v>
      </c>
      <c r="D91" s="1198"/>
      <c r="E91" s="1383">
        <f>SUM(C91:D91)</f>
        <v>1000</v>
      </c>
      <c r="F91" s="1193"/>
      <c r="I91" s="1749"/>
      <c r="J91" s="1684"/>
    </row>
    <row r="92" spans="1:10" s="1194" customFormat="1" ht="15" customHeight="1" thickBot="1">
      <c r="A92" s="1195" t="s">
        <v>118</v>
      </c>
      <c r="B92" s="1367" t="s">
        <v>695</v>
      </c>
      <c r="C92" s="1196">
        <f>SUM(C91)</f>
        <v>1000</v>
      </c>
      <c r="D92" s="1196">
        <f>SUM(D91)</f>
        <v>0</v>
      </c>
      <c r="E92" s="1384">
        <f>SUM(E91)</f>
        <v>1000</v>
      </c>
      <c r="F92" s="1193"/>
      <c r="I92" s="1749"/>
      <c r="J92" s="1684"/>
    </row>
    <row r="93" spans="1:10" s="258" customFormat="1" ht="15" customHeight="1" thickBot="1" thickTop="1">
      <c r="A93" s="265" t="s">
        <v>95</v>
      </c>
      <c r="B93" s="1374" t="s">
        <v>694</v>
      </c>
      <c r="C93" s="219">
        <f>C12+C18+C21+C28+C88+C92+C90</f>
        <v>242020</v>
      </c>
      <c r="D93" s="219">
        <f>D12+D18+D21+D28+D88+D92+D90</f>
        <v>20866</v>
      </c>
      <c r="E93" s="219">
        <f>E12+E18+E21+E28+E88+E92+E90</f>
        <v>262886</v>
      </c>
      <c r="F93" s="257">
        <f>SUM(C93:D93)</f>
        <v>262886</v>
      </c>
      <c r="G93" s="257">
        <f>'hivatal5 '!E25</f>
        <v>262886</v>
      </c>
      <c r="H93" s="257">
        <f>F93-G93</f>
        <v>0</v>
      </c>
      <c r="I93" s="1743"/>
      <c r="J93" s="1678"/>
    </row>
    <row r="94" spans="1:10" s="258" customFormat="1" ht="15" customHeight="1" thickTop="1">
      <c r="A94" s="1942"/>
      <c r="B94" s="1375" t="s">
        <v>320</v>
      </c>
      <c r="C94" s="249">
        <v>46130</v>
      </c>
      <c r="D94" s="260">
        <v>-1000</v>
      </c>
      <c r="E94" s="957">
        <f>SUM(C94:D94)</f>
        <v>45130</v>
      </c>
      <c r="F94" s="257"/>
      <c r="I94" s="1743">
        <v>34458</v>
      </c>
      <c r="J94" s="1678">
        <v>22505</v>
      </c>
    </row>
    <row r="95" spans="1:10" s="258" customFormat="1" ht="15" customHeight="1">
      <c r="A95" s="1941"/>
      <c r="B95" s="1559" t="s">
        <v>538</v>
      </c>
      <c r="C95" s="261">
        <v>12847</v>
      </c>
      <c r="D95" s="1560"/>
      <c r="E95" s="256">
        <f>SUM(C95:D95)</f>
        <v>12847</v>
      </c>
      <c r="F95" s="257"/>
      <c r="I95" s="1743">
        <v>3497</v>
      </c>
      <c r="J95" s="1678">
        <v>3097</v>
      </c>
    </row>
    <row r="96" spans="1:10" s="258" customFormat="1" ht="15" customHeight="1" thickBot="1">
      <c r="A96" s="1943"/>
      <c r="B96" s="1561" t="s">
        <v>677</v>
      </c>
      <c r="C96" s="1339">
        <v>18648</v>
      </c>
      <c r="D96" s="1340">
        <v>1301</v>
      </c>
      <c r="E96" s="256">
        <f>SUM(C96:D96)</f>
        <v>19949</v>
      </c>
      <c r="F96" s="257"/>
      <c r="I96" s="1743">
        <v>18425</v>
      </c>
      <c r="J96" s="1678">
        <v>15765</v>
      </c>
    </row>
    <row r="97" spans="1:10" s="266" customFormat="1" ht="15" customHeight="1" thickBot="1">
      <c r="A97" s="234" t="s">
        <v>98</v>
      </c>
      <c r="B97" s="1369" t="s">
        <v>581</v>
      </c>
      <c r="C97" s="262">
        <f>SUM(C94:C96)</f>
        <v>77625</v>
      </c>
      <c r="D97" s="262">
        <f>SUM(D94:D96)</f>
        <v>301</v>
      </c>
      <c r="E97" s="262">
        <f>SUM(E94:E96)</f>
        <v>77926</v>
      </c>
      <c r="F97" s="700">
        <f>SUM(C97:D97)</f>
        <v>77926</v>
      </c>
      <c r="I97" s="1749"/>
      <c r="J97" s="1684"/>
    </row>
    <row r="98" spans="1:10" s="258" customFormat="1" ht="15" customHeight="1">
      <c r="A98" s="267"/>
      <c r="B98" s="1375" t="s">
        <v>200</v>
      </c>
      <c r="C98" s="261">
        <v>35481</v>
      </c>
      <c r="D98" s="260">
        <f>280-6175</f>
        <v>-5895</v>
      </c>
      <c r="E98" s="957">
        <f>SUM(C98:D98)</f>
        <v>29586</v>
      </c>
      <c r="F98" s="257"/>
      <c r="I98" s="1743">
        <v>23996</v>
      </c>
      <c r="J98" s="1678">
        <v>18572</v>
      </c>
    </row>
    <row r="99" spans="1:10" s="258" customFormat="1" ht="15" customHeight="1">
      <c r="A99" s="267"/>
      <c r="B99" s="1375" t="s">
        <v>539</v>
      </c>
      <c r="C99" s="261">
        <v>30349</v>
      </c>
      <c r="D99" s="260"/>
      <c r="E99" s="957">
        <f>SUM(C99:D99)</f>
        <v>30349</v>
      </c>
      <c r="F99" s="257"/>
      <c r="I99" s="1743">
        <v>349</v>
      </c>
      <c r="J99" s="1678">
        <v>349</v>
      </c>
    </row>
    <row r="100" spans="1:10" s="258" customFormat="1" ht="15" customHeight="1">
      <c r="A100" s="267"/>
      <c r="B100" s="1685" t="s">
        <v>776</v>
      </c>
      <c r="C100" s="261">
        <v>657</v>
      </c>
      <c r="D100" s="260">
        <v>209</v>
      </c>
      <c r="E100" s="957">
        <f>SUM(C100:D100)</f>
        <v>866</v>
      </c>
      <c r="F100" s="257"/>
      <c r="I100" s="1743">
        <v>710</v>
      </c>
      <c r="J100" s="1678">
        <v>500</v>
      </c>
    </row>
    <row r="101" spans="1:10" s="258" customFormat="1" ht="15" customHeight="1" thickBot="1">
      <c r="A101" s="267"/>
      <c r="B101" s="1375" t="s">
        <v>201</v>
      </c>
      <c r="C101" s="261">
        <v>11500</v>
      </c>
      <c r="D101" s="260">
        <v>-280</v>
      </c>
      <c r="E101" s="957">
        <f>SUM(C101:D101)</f>
        <v>11220</v>
      </c>
      <c r="F101" s="257"/>
      <c r="I101" s="1743">
        <v>222</v>
      </c>
      <c r="J101" s="1678"/>
    </row>
    <row r="102" spans="1:10" s="268" customFormat="1" ht="15" customHeight="1" thickBot="1">
      <c r="A102" s="250" t="s">
        <v>99</v>
      </c>
      <c r="B102" s="1369" t="s">
        <v>580</v>
      </c>
      <c r="C102" s="1054">
        <f>SUM(C98:C101)</f>
        <v>77987</v>
      </c>
      <c r="D102" s="1054">
        <f>SUM(D98:D101)</f>
        <v>-5966</v>
      </c>
      <c r="E102" s="1056">
        <f>SUM(E98:E101)</f>
        <v>72021</v>
      </c>
      <c r="F102" s="248">
        <f>SUM(C102:D102)</f>
        <v>72021</v>
      </c>
      <c r="I102" s="1744"/>
      <c r="J102" s="1677"/>
    </row>
    <row r="103" spans="1:10" s="268" customFormat="1" ht="15" customHeight="1" thickBot="1">
      <c r="A103" s="250" t="s">
        <v>100</v>
      </c>
      <c r="B103" s="1369" t="s">
        <v>792</v>
      </c>
      <c r="C103" s="1054">
        <v>2148</v>
      </c>
      <c r="D103" s="1054">
        <v>-2148</v>
      </c>
      <c r="E103" s="1057">
        <f>SUM(C103:D103)</f>
        <v>0</v>
      </c>
      <c r="F103" s="248"/>
      <c r="I103" s="1744"/>
      <c r="J103" s="1677"/>
    </row>
    <row r="104" spans="1:10" s="268" customFormat="1" ht="15" customHeight="1" thickBot="1">
      <c r="A104" s="118" t="s">
        <v>101</v>
      </c>
      <c r="B104" s="1369" t="s">
        <v>658</v>
      </c>
      <c r="C104" s="1505">
        <v>500</v>
      </c>
      <c r="D104" s="251"/>
      <c r="E104" s="1057">
        <f>SUM(C104:D104)</f>
        <v>500</v>
      </c>
      <c r="F104" s="248"/>
      <c r="I104" s="1744"/>
      <c r="J104" s="1677"/>
    </row>
    <row r="105" spans="1:10" s="268" customFormat="1" ht="15" customHeight="1" thickBot="1">
      <c r="A105" s="1562" t="s">
        <v>192</v>
      </c>
      <c r="B105" s="1563" t="s">
        <v>678</v>
      </c>
      <c r="C105" s="1564">
        <v>34925</v>
      </c>
      <c r="D105" s="1565"/>
      <c r="E105" s="1566">
        <f>SUM(C105:D105)</f>
        <v>34925</v>
      </c>
      <c r="F105" s="248"/>
      <c r="I105" s="1744">
        <v>34832</v>
      </c>
      <c r="J105" s="1677">
        <v>34832</v>
      </c>
    </row>
    <row r="106" spans="1:8" ht="15" customHeight="1" thickBot="1" thickTop="1">
      <c r="A106" s="1180" t="s">
        <v>102</v>
      </c>
      <c r="B106" s="1376" t="s">
        <v>793</v>
      </c>
      <c r="C106" s="1055">
        <f>+C97+C102+C104+C105+C103</f>
        <v>193185</v>
      </c>
      <c r="D106" s="1055">
        <f>+D97+D102+D104+D105+D103</f>
        <v>-7813</v>
      </c>
      <c r="E106" s="1055">
        <f>+E97+E102+E104+E105+E103</f>
        <v>185372</v>
      </c>
      <c r="F106" s="111">
        <f>SUM(C106:D106)</f>
        <v>185372</v>
      </c>
      <c r="G106" s="111">
        <f>hivatal4!N25</f>
        <v>185372</v>
      </c>
      <c r="H106" s="111">
        <f>F106-G106</f>
        <v>0</v>
      </c>
    </row>
    <row r="107" spans="1:8" ht="15" customHeight="1" thickBot="1" thickTop="1">
      <c r="A107" s="1736" t="s">
        <v>105</v>
      </c>
      <c r="B107" s="1737" t="s">
        <v>707</v>
      </c>
      <c r="C107" s="1738">
        <f>hivatal1!C25</f>
        <v>0</v>
      </c>
      <c r="D107" s="1738">
        <f>hivatal1!D25</f>
        <v>1000</v>
      </c>
      <c r="E107" s="1738">
        <f>SUM(C107:D107)</f>
        <v>1000</v>
      </c>
      <c r="F107" s="111"/>
      <c r="G107" s="111"/>
      <c r="H107" s="111"/>
    </row>
    <row r="108" spans="1:8" ht="15" customHeight="1" thickBot="1" thickTop="1">
      <c r="A108" s="1180" t="s">
        <v>106</v>
      </c>
      <c r="B108" s="1737" t="s">
        <v>679</v>
      </c>
      <c r="C108" s="1738">
        <f>hivatal1!I25</f>
        <v>4000</v>
      </c>
      <c r="D108" s="1738">
        <f>hivatal1!J25</f>
        <v>33981</v>
      </c>
      <c r="E108" s="1754">
        <f>SUM(C108:D108)</f>
        <v>37981</v>
      </c>
      <c r="F108" s="111"/>
      <c r="G108" s="111"/>
      <c r="H108" s="111"/>
    </row>
    <row r="109" spans="1:8" ht="15" customHeight="1" thickBot="1" thickTop="1">
      <c r="A109" s="1180" t="s">
        <v>107</v>
      </c>
      <c r="B109" s="1376" t="s">
        <v>847</v>
      </c>
      <c r="C109" s="1567">
        <f>hivatal6!C25</f>
        <v>0</v>
      </c>
      <c r="D109" s="1567">
        <f>hivatal6!D25</f>
        <v>56203</v>
      </c>
      <c r="E109" s="1754">
        <f>SUM(C109:D109)</f>
        <v>56203</v>
      </c>
      <c r="F109" s="111"/>
      <c r="G109" s="111"/>
      <c r="H109" s="111"/>
    </row>
    <row r="110" spans="1:7" ht="15" customHeight="1" thickBot="1" thickTop="1">
      <c r="A110" s="252" t="s">
        <v>120</v>
      </c>
      <c r="B110" s="1377" t="s">
        <v>846</v>
      </c>
      <c r="C110" s="253">
        <f>C93+C106+C108+C107+C109</f>
        <v>439205</v>
      </c>
      <c r="D110" s="253">
        <f>D93+D106+D108+D107+D109</f>
        <v>104237</v>
      </c>
      <c r="E110" s="253">
        <f>E93+E106+E108+E107+E109</f>
        <v>543442</v>
      </c>
      <c r="F110" s="111">
        <f>SUM(C110:D110)</f>
        <v>543442</v>
      </c>
      <c r="G110" s="111"/>
    </row>
    <row r="111" spans="1:5" ht="15" customHeight="1" thickBot="1" thickTop="1">
      <c r="A111" s="246" t="s">
        <v>121</v>
      </c>
      <c r="B111" s="1378" t="s">
        <v>90</v>
      </c>
      <c r="C111" s="247">
        <f>'önállóan gazd.'!O25</f>
        <v>18646</v>
      </c>
      <c r="D111" s="247">
        <f>'önállóan gazd.'!P25</f>
        <v>0</v>
      </c>
      <c r="E111" s="1385">
        <f>'önállóan gazd.'!Q25</f>
        <v>18646</v>
      </c>
    </row>
    <row r="112" spans="1:10" ht="15" customHeight="1" thickBot="1" thickTop="1">
      <c r="A112" s="135"/>
      <c r="B112" s="1379" t="s">
        <v>220</v>
      </c>
      <c r="C112" s="116">
        <f>SUM(C110:C111)</f>
        <v>457851</v>
      </c>
      <c r="D112" s="116">
        <f>SUM(D110:D111)</f>
        <v>104237</v>
      </c>
      <c r="E112" s="1386">
        <f>SUM(E110:E111)</f>
        <v>562088</v>
      </c>
      <c r="F112" s="111">
        <f>SUM(E110:E111)</f>
        <v>562088</v>
      </c>
      <c r="G112" s="111">
        <f>hivatal9!K25</f>
        <v>562088</v>
      </c>
      <c r="H112" s="111">
        <f>E112-G112</f>
        <v>0</v>
      </c>
      <c r="I112" s="1744">
        <f>SUM(I7:I108)</f>
        <v>208789</v>
      </c>
      <c r="J112" s="1677">
        <f>SUM(J8:J111)</f>
        <v>166167</v>
      </c>
    </row>
    <row r="113" ht="13.5" thickTop="1"/>
  </sheetData>
  <sheetProtection/>
  <mergeCells count="3">
    <mergeCell ref="A3:E3"/>
    <mergeCell ref="A63:A66"/>
    <mergeCell ref="A94:A96"/>
  </mergeCells>
  <printOptions horizontalCentered="1" verticalCentered="1"/>
  <pageMargins left="0.4330708661417323" right="0.4330708661417323" top="0.2362204724409449" bottom="0.15748031496062992" header="0.1968503937007874" footer="0.15748031496062992"/>
  <pageSetup fitToHeight="2" horizontalDpi="600" verticalDpi="600" orientation="portrait" paperSize="9" scale="55" r:id="rId1"/>
  <headerFooter>
    <oddHeader>&amp;R7. melléklet a 19/2020.(XI.12.)számú
Önkormányzati rendelethez
&amp;P. oldal</oddHeader>
    <oddFooter>&amp;L&amp;F&amp;C&amp;D, &amp;T&amp;R&amp;A</oddFooter>
  </headerFooter>
  <rowBreaks count="1" manualBreakCount="1">
    <brk id="88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0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E3"/>
    </sheetView>
  </sheetViews>
  <sheetFormatPr defaultColWidth="9.00390625" defaultRowHeight="12.75"/>
  <cols>
    <col min="1" max="1" width="5.375" style="996" customWidth="1"/>
    <col min="2" max="2" width="103.125" style="1605" customWidth="1"/>
    <col min="3" max="3" width="12.375" style="996" customWidth="1"/>
    <col min="4" max="4" width="12.375" style="997" customWidth="1"/>
    <col min="5" max="5" width="12.375" style="998" customWidth="1"/>
    <col min="6" max="6" width="12.625" style="94" customWidth="1"/>
    <col min="7" max="7" width="11.375" style="94" bestFit="1" customWidth="1"/>
    <col min="8" max="8" width="12.375" style="94" customWidth="1"/>
    <col min="9" max="9" width="11.125" style="1744" customWidth="1"/>
    <col min="10" max="10" width="11.625" style="1677" customWidth="1"/>
    <col min="11" max="16384" width="9.375" style="94" customWidth="1"/>
  </cols>
  <sheetData>
    <row r="1" ht="12.75">
      <c r="E1" s="109"/>
    </row>
    <row r="2" ht="12.75">
      <c r="E2" s="109"/>
    </row>
    <row r="3" spans="1:6" ht="18.75">
      <c r="A3" s="1945" t="s">
        <v>573</v>
      </c>
      <c r="B3" s="1945"/>
      <c r="C3" s="1945"/>
      <c r="D3" s="1945"/>
      <c r="E3" s="1945"/>
      <c r="F3" s="970"/>
    </row>
    <row r="4" spans="1:6" ht="15.75">
      <c r="A4" s="1946" t="s">
        <v>589</v>
      </c>
      <c r="B4" s="1946"/>
      <c r="C4" s="1946"/>
      <c r="D4" s="1946"/>
      <c r="E4" s="1946"/>
      <c r="F4" s="970"/>
    </row>
    <row r="5" spans="1:6" ht="13.5" thickBot="1">
      <c r="A5" s="967"/>
      <c r="B5" s="1606"/>
      <c r="C5" s="968"/>
      <c r="D5" s="969"/>
      <c r="E5" s="1162" t="s">
        <v>134</v>
      </c>
      <c r="F5" s="970"/>
    </row>
    <row r="6" spans="1:10" ht="26.25" thickBot="1">
      <c r="A6" s="112" t="s">
        <v>151</v>
      </c>
      <c r="B6" s="1607"/>
      <c r="C6" s="1526" t="s">
        <v>665</v>
      </c>
      <c r="D6" s="132" t="s">
        <v>130</v>
      </c>
      <c r="E6" s="133" t="s">
        <v>661</v>
      </c>
      <c r="F6" s="970"/>
      <c r="I6" s="1746" t="s">
        <v>839</v>
      </c>
      <c r="J6" s="1676" t="s">
        <v>775</v>
      </c>
    </row>
    <row r="7" spans="1:6" ht="14.25" thickBot="1" thickTop="1">
      <c r="A7" s="971"/>
      <c r="B7" s="1608">
        <v>1</v>
      </c>
      <c r="C7" s="1590">
        <v>2</v>
      </c>
      <c r="D7" s="1591">
        <v>3</v>
      </c>
      <c r="E7" s="1592">
        <v>4</v>
      </c>
      <c r="F7" s="970"/>
    </row>
    <row r="8" spans="1:10" s="701" customFormat="1" ht="12.75">
      <c r="A8" s="956"/>
      <c r="B8" s="1609" t="s">
        <v>542</v>
      </c>
      <c r="C8" s="1030">
        <v>12048</v>
      </c>
      <c r="D8" s="1510">
        <v>-3</v>
      </c>
      <c r="E8" s="214">
        <f>SUM(C8:D8)</f>
        <v>12045</v>
      </c>
      <c r="F8" s="1027"/>
      <c r="I8" s="1743">
        <v>1695</v>
      </c>
      <c r="J8" s="1678"/>
    </row>
    <row r="9" spans="1:10" s="701" customFormat="1" ht="12.75">
      <c r="A9" s="956"/>
      <c r="B9" s="1610" t="s">
        <v>523</v>
      </c>
      <c r="C9" s="1030">
        <v>0</v>
      </c>
      <c r="D9" s="1510">
        <v>700</v>
      </c>
      <c r="E9" s="215">
        <f aca="true" t="shared" si="0" ref="E9:E18">SUM(C9:D9)</f>
        <v>700</v>
      </c>
      <c r="F9" s="1027"/>
      <c r="I9" s="1743"/>
      <c r="J9" s="1678"/>
    </row>
    <row r="10" spans="1:10" s="701" customFormat="1" ht="12.75">
      <c r="A10" s="956"/>
      <c r="B10" s="1611" t="s">
        <v>543</v>
      </c>
      <c r="C10" s="1030">
        <v>20167</v>
      </c>
      <c r="D10" s="1510"/>
      <c r="E10" s="215">
        <f t="shared" si="0"/>
        <v>20167</v>
      </c>
      <c r="F10" s="1027"/>
      <c r="I10" s="1743">
        <v>10552</v>
      </c>
      <c r="J10" s="1678">
        <v>5552</v>
      </c>
    </row>
    <row r="11" spans="1:10" s="701" customFormat="1" ht="12.75">
      <c r="A11" s="956"/>
      <c r="B11" s="1612" t="s">
        <v>551</v>
      </c>
      <c r="C11" s="1250">
        <v>230</v>
      </c>
      <c r="D11" s="1511"/>
      <c r="E11" s="215">
        <f t="shared" si="0"/>
        <v>230</v>
      </c>
      <c r="F11" s="1027"/>
      <c r="I11" s="1743"/>
      <c r="J11" s="1678"/>
    </row>
    <row r="12" spans="1:10" s="701" customFormat="1" ht="12.75">
      <c r="A12" s="956"/>
      <c r="B12" s="1404" t="s">
        <v>631</v>
      </c>
      <c r="C12" s="1250">
        <v>30000</v>
      </c>
      <c r="D12" s="1302"/>
      <c r="E12" s="215">
        <f t="shared" si="0"/>
        <v>30000</v>
      </c>
      <c r="F12" s="1027"/>
      <c r="I12" s="1743"/>
      <c r="J12" s="1678"/>
    </row>
    <row r="13" spans="1:10" s="701" customFormat="1" ht="12.75">
      <c r="A13" s="956"/>
      <c r="B13" s="1404" t="s">
        <v>713</v>
      </c>
      <c r="C13" s="1250">
        <v>15</v>
      </c>
      <c r="D13" s="1511"/>
      <c r="E13" s="215">
        <f t="shared" si="0"/>
        <v>15</v>
      </c>
      <c r="F13" s="1027"/>
      <c r="I13" s="1743"/>
      <c r="J13" s="1678"/>
    </row>
    <row r="14" spans="1:10" s="701" customFormat="1" ht="12.75">
      <c r="A14" s="956"/>
      <c r="B14" s="1569" t="s">
        <v>757</v>
      </c>
      <c r="C14" s="1250">
        <v>0</v>
      </c>
      <c r="D14" s="1511"/>
      <c r="E14" s="215">
        <f t="shared" si="0"/>
        <v>0</v>
      </c>
      <c r="F14" s="1027"/>
      <c r="I14" s="1743"/>
      <c r="J14" s="1678"/>
    </row>
    <row r="15" spans="1:10" s="701" customFormat="1" ht="12.75">
      <c r="A15" s="956"/>
      <c r="B15" s="1404" t="s">
        <v>760</v>
      </c>
      <c r="C15" s="1250">
        <v>88500</v>
      </c>
      <c r="D15" s="1511">
        <v>40000</v>
      </c>
      <c r="E15" s="215">
        <f t="shared" si="0"/>
        <v>128500</v>
      </c>
      <c r="F15" s="1027"/>
      <c r="I15" s="1743"/>
      <c r="J15" s="1678"/>
    </row>
    <row r="16" spans="1:10" s="701" customFormat="1" ht="12.75">
      <c r="A16" s="956"/>
      <c r="B16" s="1667" t="s">
        <v>761</v>
      </c>
      <c r="C16" s="1250">
        <v>38</v>
      </c>
      <c r="D16" s="1511"/>
      <c r="E16" s="215">
        <f t="shared" si="0"/>
        <v>38</v>
      </c>
      <c r="F16" s="1027"/>
      <c r="I16" s="1743">
        <v>38</v>
      </c>
      <c r="J16" s="1678">
        <v>38</v>
      </c>
    </row>
    <row r="17" spans="1:10" s="701" customFormat="1" ht="12.75">
      <c r="A17" s="956"/>
      <c r="B17" s="1404" t="s">
        <v>762</v>
      </c>
      <c r="C17" s="1250">
        <v>921</v>
      </c>
      <c r="D17" s="1511"/>
      <c r="E17" s="215">
        <f t="shared" si="0"/>
        <v>921</v>
      </c>
      <c r="F17" s="1027"/>
      <c r="I17" s="1743">
        <v>921</v>
      </c>
      <c r="J17" s="1678"/>
    </row>
    <row r="18" spans="1:10" s="701" customFormat="1" ht="13.5" thickBot="1">
      <c r="A18" s="956"/>
      <c r="B18" s="1730" t="s">
        <v>816</v>
      </c>
      <c r="C18" s="1220"/>
      <c r="D18" s="1593">
        <v>6970</v>
      </c>
      <c r="E18" s="1739">
        <f t="shared" si="0"/>
        <v>6970</v>
      </c>
      <c r="F18" s="1027"/>
      <c r="I18" s="1743"/>
      <c r="J18" s="1678"/>
    </row>
    <row r="19" spans="1:6" ht="13.5" thickBot="1">
      <c r="A19" s="973">
        <v>1</v>
      </c>
      <c r="B19" s="1613" t="s">
        <v>198</v>
      </c>
      <c r="C19" s="1251">
        <f>SUM(C8:C18)</f>
        <v>151919</v>
      </c>
      <c r="D19" s="1251">
        <f>SUM(D8:D18)</f>
        <v>47667</v>
      </c>
      <c r="E19" s="1251">
        <f>SUM(E8:E18)</f>
        <v>199586</v>
      </c>
      <c r="F19" s="974">
        <f>SUM(C19:D19)</f>
        <v>199586</v>
      </c>
    </row>
    <row r="20" spans="1:10" s="268" customFormat="1" ht="13.5" thickBot="1">
      <c r="A20" s="1356"/>
      <c r="B20" s="1594" t="s">
        <v>516</v>
      </c>
      <c r="C20" s="1031">
        <v>17604</v>
      </c>
      <c r="D20" s="1304"/>
      <c r="E20" s="1217">
        <f>SUM(C20:D20)</f>
        <v>17604</v>
      </c>
      <c r="F20" s="972"/>
      <c r="I20" s="1744">
        <v>6172</v>
      </c>
      <c r="J20" s="1677">
        <v>178</v>
      </c>
    </row>
    <row r="21" spans="1:10" s="268" customFormat="1" ht="13.5" thickBot="1">
      <c r="A21" s="1218">
        <v>2</v>
      </c>
      <c r="B21" s="1614" t="s">
        <v>515</v>
      </c>
      <c r="C21" s="1334">
        <f>SUM(C20:C20)</f>
        <v>17604</v>
      </c>
      <c r="D21" s="1335">
        <f>SUM(D20)</f>
        <v>0</v>
      </c>
      <c r="E21" s="1334">
        <f>SUM(E20:E20)</f>
        <v>17604</v>
      </c>
      <c r="F21" s="972"/>
      <c r="I21" s="1744"/>
      <c r="J21" s="1677"/>
    </row>
    <row r="22" spans="1:10" s="233" customFormat="1" ht="12.75">
      <c r="A22" s="1264"/>
      <c r="B22" s="1615" t="s">
        <v>505</v>
      </c>
      <c r="C22" s="1314">
        <v>1031</v>
      </c>
      <c r="D22" s="1307"/>
      <c r="E22" s="217">
        <f>SUM(C22:D22)</f>
        <v>1031</v>
      </c>
      <c r="F22" s="940"/>
      <c r="I22" s="1747"/>
      <c r="J22" s="1679"/>
    </row>
    <row r="23" spans="1:10" s="233" customFormat="1" ht="13.5" thickBot="1">
      <c r="A23" s="1264"/>
      <c r="B23" s="1616" t="s">
        <v>548</v>
      </c>
      <c r="C23" s="1357"/>
      <c r="D23" s="1306"/>
      <c r="E23" s="217">
        <f>SUM(C23:D23)</f>
        <v>0</v>
      </c>
      <c r="F23" s="940"/>
      <c r="I23" s="1747"/>
      <c r="J23" s="1679"/>
    </row>
    <row r="24" spans="1:10" s="268" customFormat="1" ht="13.5" thickBot="1">
      <c r="A24" s="973">
        <v>3</v>
      </c>
      <c r="B24" s="1617" t="s">
        <v>509</v>
      </c>
      <c r="C24" s="212">
        <f>SUM(C22:C23)</f>
        <v>1031</v>
      </c>
      <c r="D24" s="1303">
        <f>SUM(D22:D23)</f>
        <v>0</v>
      </c>
      <c r="E24" s="212">
        <f>SUM(E22:E23)</f>
        <v>1031</v>
      </c>
      <c r="F24" s="972">
        <f>SUM(C24:D24)</f>
        <v>1031</v>
      </c>
      <c r="I24" s="1744"/>
      <c r="J24" s="1677"/>
    </row>
    <row r="25" spans="1:10" s="268" customFormat="1" ht="12.75">
      <c r="A25" s="1356"/>
      <c r="B25" s="1618" t="s">
        <v>517</v>
      </c>
      <c r="C25" s="1219">
        <v>500</v>
      </c>
      <c r="D25" s="1305"/>
      <c r="E25" s="1217">
        <f>SUM(C25:D25)</f>
        <v>500</v>
      </c>
      <c r="F25" s="972"/>
      <c r="I25" s="1744"/>
      <c r="J25" s="1677"/>
    </row>
    <row r="26" spans="1:10" s="268" customFormat="1" ht="13.5" thickBot="1">
      <c r="A26" s="1356"/>
      <c r="B26" s="1619" t="s">
        <v>518</v>
      </c>
      <c r="C26" s="1220"/>
      <c r="D26" s="1304"/>
      <c r="E26" s="1217">
        <f>SUM(C26:D26)</f>
        <v>0</v>
      </c>
      <c r="F26" s="972"/>
      <c r="I26" s="1744"/>
      <c r="J26" s="1677"/>
    </row>
    <row r="27" spans="1:10" s="268" customFormat="1" ht="13.5" thickBot="1">
      <c r="A27" s="973">
        <v>4</v>
      </c>
      <c r="B27" s="1620" t="s">
        <v>160</v>
      </c>
      <c r="C27" s="212">
        <f>SUM(C25:C26)</f>
        <v>500</v>
      </c>
      <c r="D27" s="1303">
        <f>SUM(D25:D26)</f>
        <v>0</v>
      </c>
      <c r="E27" s="212">
        <f>SUM(E25:E26)</f>
        <v>500</v>
      </c>
      <c r="F27" s="972"/>
      <c r="I27" s="1744"/>
      <c r="J27" s="1677"/>
    </row>
    <row r="28" spans="1:10" s="268" customFormat="1" ht="13.5" thickBot="1">
      <c r="A28" s="1363"/>
      <c r="B28" s="1621" t="s">
        <v>450</v>
      </c>
      <c r="C28" s="1221">
        <v>31499</v>
      </c>
      <c r="D28" s="1025"/>
      <c r="E28" s="211">
        <f>SUM(C28:D28)</f>
        <v>31499</v>
      </c>
      <c r="F28" s="972"/>
      <c r="I28" s="1744">
        <v>9274</v>
      </c>
      <c r="J28" s="1677">
        <v>9273</v>
      </c>
    </row>
    <row r="29" spans="1:10" s="268" customFormat="1" ht="13.5" thickBot="1">
      <c r="A29" s="973">
        <v>5</v>
      </c>
      <c r="B29" s="1620" t="s">
        <v>324</v>
      </c>
      <c r="C29" s="212">
        <f>SUM(C28:C28)</f>
        <v>31499</v>
      </c>
      <c r="D29" s="1303">
        <f>SUM(D28:D28)</f>
        <v>0</v>
      </c>
      <c r="E29" s="212">
        <f>SUM(E28:E28)</f>
        <v>31499</v>
      </c>
      <c r="F29" s="972">
        <f>SUM(C29:D29)</f>
        <v>31499</v>
      </c>
      <c r="I29" s="1744"/>
      <c r="J29" s="1680"/>
    </row>
    <row r="30" spans="1:10" s="268" customFormat="1" ht="12.75">
      <c r="A30" s="1947"/>
      <c r="B30" s="1622" t="s">
        <v>451</v>
      </c>
      <c r="C30" s="1413">
        <v>18687</v>
      </c>
      <c r="D30" s="1307">
        <v>-2000</v>
      </c>
      <c r="E30" s="214">
        <f>SUM(C30:D30)</f>
        <v>16687</v>
      </c>
      <c r="F30" s="972"/>
      <c r="I30" s="1744">
        <v>6387</v>
      </c>
      <c r="J30" s="1680">
        <v>4330</v>
      </c>
    </row>
    <row r="31" spans="1:10" s="268" customFormat="1" ht="12.75">
      <c r="A31" s="1947"/>
      <c r="B31" s="1594" t="s">
        <v>482</v>
      </c>
      <c r="C31" s="1413">
        <v>2540</v>
      </c>
      <c r="D31" s="1307"/>
      <c r="E31" s="214">
        <f>SUM(C31:D31)</f>
        <v>2540</v>
      </c>
      <c r="F31" s="972"/>
      <c r="I31" s="1744">
        <v>635</v>
      </c>
      <c r="J31" s="1680"/>
    </row>
    <row r="32" spans="1:10" s="268" customFormat="1" ht="12.75" customHeight="1">
      <c r="A32" s="1947"/>
      <c r="B32" s="1403" t="s">
        <v>714</v>
      </c>
      <c r="C32" s="1656"/>
      <c r="D32" s="1657"/>
      <c r="E32" s="1604"/>
      <c r="F32" s="972"/>
      <c r="I32" s="1744"/>
      <c r="J32" s="1680"/>
    </row>
    <row r="33" spans="1:10" s="268" customFormat="1" ht="12.75">
      <c r="A33" s="1947"/>
      <c r="B33" s="1654" t="s">
        <v>721</v>
      </c>
      <c r="C33" s="1413">
        <v>1391</v>
      </c>
      <c r="D33" s="1307"/>
      <c r="E33" s="214">
        <f>SUM(C33:D33)</f>
        <v>1391</v>
      </c>
      <c r="F33" s="972"/>
      <c r="I33" s="1744"/>
      <c r="J33" s="1680"/>
    </row>
    <row r="34" spans="1:10" s="268" customFormat="1" ht="12.75">
      <c r="A34" s="1947"/>
      <c r="B34" s="1654" t="s">
        <v>722</v>
      </c>
      <c r="C34" s="1413">
        <v>1384</v>
      </c>
      <c r="D34" s="1307"/>
      <c r="E34" s="214">
        <f>SUM(C34:D34)</f>
        <v>1384</v>
      </c>
      <c r="F34" s="972"/>
      <c r="I34" s="1744"/>
      <c r="J34" s="1680"/>
    </row>
    <row r="35" spans="1:10" s="268" customFormat="1" ht="12.75">
      <c r="A35" s="1947"/>
      <c r="B35" s="1654" t="s">
        <v>726</v>
      </c>
      <c r="C35" s="1413">
        <v>400</v>
      </c>
      <c r="D35" s="1307"/>
      <c r="E35" s="214">
        <f aca="true" t="shared" si="1" ref="E35:E40">SUM(C35:D35)</f>
        <v>400</v>
      </c>
      <c r="F35" s="972"/>
      <c r="I35" s="1744"/>
      <c r="J35" s="1680"/>
    </row>
    <row r="36" spans="1:10" s="268" customFormat="1" ht="12.75" customHeight="1">
      <c r="A36" s="1947"/>
      <c r="B36" s="1654" t="s">
        <v>723</v>
      </c>
      <c r="C36" s="1413">
        <v>1472</v>
      </c>
      <c r="D36" s="1307"/>
      <c r="E36" s="214">
        <f t="shared" si="1"/>
        <v>1472</v>
      </c>
      <c r="F36" s="972"/>
      <c r="I36" s="1744"/>
      <c r="J36" s="1680"/>
    </row>
    <row r="37" spans="1:10" s="268" customFormat="1" ht="12.75">
      <c r="A37" s="1947"/>
      <c r="B37" s="1654" t="s">
        <v>724</v>
      </c>
      <c r="C37" s="1413">
        <v>1730</v>
      </c>
      <c r="D37" s="1307"/>
      <c r="E37" s="214">
        <f t="shared" si="1"/>
        <v>1730</v>
      </c>
      <c r="F37" s="972"/>
      <c r="I37" s="1744"/>
      <c r="J37" s="1680"/>
    </row>
    <row r="38" spans="1:10" s="268" customFormat="1" ht="12.75">
      <c r="A38" s="1947"/>
      <c r="B38" s="1654" t="s">
        <v>725</v>
      </c>
      <c r="C38" s="1413">
        <v>2165</v>
      </c>
      <c r="D38" s="1307"/>
      <c r="E38" s="214">
        <f t="shared" si="1"/>
        <v>2165</v>
      </c>
      <c r="F38" s="972"/>
      <c r="I38" s="1744"/>
      <c r="J38" s="1680"/>
    </row>
    <row r="39" spans="1:10" s="268" customFormat="1" ht="12.75">
      <c r="A39" s="1947"/>
      <c r="B39" s="1654" t="s">
        <v>727</v>
      </c>
      <c r="C39" s="1413">
        <v>9826</v>
      </c>
      <c r="D39" s="1307"/>
      <c r="E39" s="214">
        <f t="shared" si="1"/>
        <v>9826</v>
      </c>
      <c r="F39" s="972"/>
      <c r="I39" s="1744"/>
      <c r="J39" s="1680"/>
    </row>
    <row r="40" spans="1:10" s="268" customFormat="1" ht="12.75">
      <c r="A40" s="1947"/>
      <c r="B40" s="1655" t="s">
        <v>728</v>
      </c>
      <c r="C40" s="1413">
        <v>7403</v>
      </c>
      <c r="D40" s="1307"/>
      <c r="E40" s="214">
        <f t="shared" si="1"/>
        <v>7403</v>
      </c>
      <c r="F40" s="972"/>
      <c r="I40" s="1744"/>
      <c r="J40" s="1680"/>
    </row>
    <row r="41" spans="1:10" s="268" customFormat="1" ht="12.75" customHeight="1">
      <c r="A41" s="1947"/>
      <c r="B41" s="1403" t="s">
        <v>632</v>
      </c>
      <c r="C41" s="1413">
        <v>56746</v>
      </c>
      <c r="D41" s="1307"/>
      <c r="E41" s="214">
        <f>SUM(C41:D41)</f>
        <v>56746</v>
      </c>
      <c r="F41" s="972"/>
      <c r="I41" s="1744"/>
      <c r="J41" s="1680"/>
    </row>
    <row r="42" spans="1:10" s="268" customFormat="1" ht="12.75">
      <c r="A42" s="1947"/>
      <c r="B42" s="1654" t="s">
        <v>729</v>
      </c>
      <c r="C42" s="1413">
        <v>850</v>
      </c>
      <c r="D42" s="1307"/>
      <c r="E42" s="214">
        <f aca="true" t="shared" si="2" ref="E42:E67">SUM(C42:D42)</f>
        <v>850</v>
      </c>
      <c r="F42" s="972"/>
      <c r="I42" s="1744"/>
      <c r="J42" s="1680"/>
    </row>
    <row r="43" spans="1:10" s="268" customFormat="1" ht="12.75">
      <c r="A43" s="1947"/>
      <c r="B43" s="1654" t="s">
        <v>730</v>
      </c>
      <c r="C43" s="1413">
        <v>992</v>
      </c>
      <c r="D43" s="1307"/>
      <c r="E43" s="214">
        <f t="shared" si="2"/>
        <v>992</v>
      </c>
      <c r="F43" s="972"/>
      <c r="I43" s="1744"/>
      <c r="J43" s="1680"/>
    </row>
    <row r="44" spans="1:10" s="268" customFormat="1" ht="12.75">
      <c r="A44" s="1947"/>
      <c r="B44" s="1654" t="s">
        <v>731</v>
      </c>
      <c r="C44" s="1413">
        <v>7794</v>
      </c>
      <c r="D44" s="1307">
        <v>-605</v>
      </c>
      <c r="E44" s="214">
        <f t="shared" si="2"/>
        <v>7189</v>
      </c>
      <c r="F44" s="972"/>
      <c r="I44" s="1744">
        <v>3913</v>
      </c>
      <c r="J44" s="1680">
        <v>3913</v>
      </c>
    </row>
    <row r="45" spans="1:10" s="268" customFormat="1" ht="12.75">
      <c r="A45" s="1947"/>
      <c r="B45" s="1654" t="s">
        <v>732</v>
      </c>
      <c r="C45" s="1413">
        <v>42178</v>
      </c>
      <c r="D45" s="1307"/>
      <c r="E45" s="214">
        <f t="shared" si="2"/>
        <v>42178</v>
      </c>
      <c r="F45" s="972"/>
      <c r="I45" s="1744">
        <v>40169</v>
      </c>
      <c r="J45" s="1680">
        <v>40169</v>
      </c>
    </row>
    <row r="46" spans="1:10" s="268" customFormat="1" ht="12.75">
      <c r="A46" s="1947"/>
      <c r="B46" s="1654" t="s">
        <v>733</v>
      </c>
      <c r="C46" s="1413">
        <v>41849</v>
      </c>
      <c r="D46" s="1307"/>
      <c r="E46" s="214">
        <f t="shared" si="2"/>
        <v>41849</v>
      </c>
      <c r="F46" s="972"/>
      <c r="I46" s="1744">
        <v>39856</v>
      </c>
      <c r="J46" s="1680">
        <v>39856</v>
      </c>
    </row>
    <row r="47" spans="1:10" s="268" customFormat="1" ht="12.75">
      <c r="A47" s="1947"/>
      <c r="B47" s="1654" t="s">
        <v>734</v>
      </c>
      <c r="C47" s="1413">
        <v>88945</v>
      </c>
      <c r="D47" s="1307"/>
      <c r="E47" s="214">
        <f t="shared" si="2"/>
        <v>88945</v>
      </c>
      <c r="F47" s="972"/>
      <c r="I47" s="1744">
        <v>85490</v>
      </c>
      <c r="J47" s="1680"/>
    </row>
    <row r="48" spans="1:10" s="268" customFormat="1" ht="12.75">
      <c r="A48" s="1947"/>
      <c r="B48" s="1654" t="s">
        <v>735</v>
      </c>
      <c r="C48" s="1413">
        <v>77110</v>
      </c>
      <c r="D48" s="1307"/>
      <c r="E48" s="214">
        <f t="shared" si="2"/>
        <v>77110</v>
      </c>
      <c r="F48" s="972"/>
      <c r="I48" s="1744">
        <v>77026</v>
      </c>
      <c r="J48" s="1680"/>
    </row>
    <row r="49" spans="1:10" s="268" customFormat="1" ht="12.75">
      <c r="A49" s="1947"/>
      <c r="B49" s="1654" t="s">
        <v>736</v>
      </c>
      <c r="C49" s="1413">
        <v>10738</v>
      </c>
      <c r="D49" s="1307"/>
      <c r="E49" s="214">
        <f t="shared" si="2"/>
        <v>10738</v>
      </c>
      <c r="F49" s="972"/>
      <c r="I49" s="1744"/>
      <c r="J49" s="1680"/>
    </row>
    <row r="50" spans="1:10" s="268" customFormat="1" ht="12.75">
      <c r="A50" s="1947"/>
      <c r="B50" s="1654" t="s">
        <v>737</v>
      </c>
      <c r="C50" s="1413">
        <v>48004</v>
      </c>
      <c r="D50" s="1307"/>
      <c r="E50" s="214">
        <f t="shared" si="2"/>
        <v>48004</v>
      </c>
      <c r="F50" s="972"/>
      <c r="I50" s="1744"/>
      <c r="J50" s="1680"/>
    </row>
    <row r="51" spans="1:10" s="268" customFormat="1" ht="12.75">
      <c r="A51" s="1947"/>
      <c r="B51" s="1654" t="s">
        <v>738</v>
      </c>
      <c r="C51" s="1413">
        <v>81723</v>
      </c>
      <c r="D51" s="1307"/>
      <c r="E51" s="214">
        <f t="shared" si="2"/>
        <v>81723</v>
      </c>
      <c r="F51" s="972"/>
      <c r="I51" s="1744"/>
      <c r="J51" s="1680"/>
    </row>
    <row r="52" spans="1:10" s="268" customFormat="1" ht="12.75">
      <c r="A52" s="1947"/>
      <c r="B52" s="1654" t="s">
        <v>739</v>
      </c>
      <c r="C52" s="1413">
        <v>41067</v>
      </c>
      <c r="D52" s="1307"/>
      <c r="E52" s="214">
        <f t="shared" si="2"/>
        <v>41067</v>
      </c>
      <c r="F52" s="972"/>
      <c r="I52" s="1744">
        <v>41067</v>
      </c>
      <c r="J52" s="1680"/>
    </row>
    <row r="53" spans="1:10" s="268" customFormat="1" ht="12.75">
      <c r="A53" s="1947"/>
      <c r="B53" s="1654" t="s">
        <v>740</v>
      </c>
      <c r="C53" s="1413">
        <v>84429</v>
      </c>
      <c r="D53" s="1307"/>
      <c r="E53" s="214">
        <f t="shared" si="2"/>
        <v>84429</v>
      </c>
      <c r="F53" s="972"/>
      <c r="I53" s="1744">
        <v>80409</v>
      </c>
      <c r="J53" s="1680">
        <v>80409</v>
      </c>
    </row>
    <row r="54" spans="1:10" s="268" customFormat="1" ht="12.75">
      <c r="A54" s="1947"/>
      <c r="B54" s="1654" t="s">
        <v>741</v>
      </c>
      <c r="C54" s="1413">
        <v>74604</v>
      </c>
      <c r="D54" s="1307"/>
      <c r="E54" s="214">
        <f t="shared" si="2"/>
        <v>74604</v>
      </c>
      <c r="F54" s="972"/>
      <c r="I54" s="1944">
        <v>95507</v>
      </c>
      <c r="J54" s="1680"/>
    </row>
    <row r="55" spans="1:10" s="268" customFormat="1" ht="12.75">
      <c r="A55" s="1947"/>
      <c r="B55" s="1654" t="s">
        <v>742</v>
      </c>
      <c r="C55" s="1413">
        <v>22143</v>
      </c>
      <c r="D55" s="1307"/>
      <c r="E55" s="214">
        <f t="shared" si="2"/>
        <v>22143</v>
      </c>
      <c r="F55" s="972"/>
      <c r="I55" s="1944"/>
      <c r="J55" s="1680"/>
    </row>
    <row r="56" spans="1:10" s="268" customFormat="1" ht="12.75">
      <c r="A56" s="1947"/>
      <c r="B56" s="1654" t="s">
        <v>743</v>
      </c>
      <c r="C56" s="1413">
        <v>19597</v>
      </c>
      <c r="D56" s="1307"/>
      <c r="E56" s="214">
        <f t="shared" si="2"/>
        <v>19597</v>
      </c>
      <c r="F56" s="972"/>
      <c r="I56" s="1744">
        <v>19574</v>
      </c>
      <c r="J56" s="1680"/>
    </row>
    <row r="57" spans="1:10" s="268" customFormat="1" ht="12.75">
      <c r="A57" s="1947"/>
      <c r="B57" s="1654" t="s">
        <v>744</v>
      </c>
      <c r="C57" s="1413">
        <v>24493</v>
      </c>
      <c r="D57" s="1307"/>
      <c r="E57" s="214">
        <f t="shared" si="2"/>
        <v>24493</v>
      </c>
      <c r="F57" s="972"/>
      <c r="I57" s="1744">
        <v>24479</v>
      </c>
      <c r="J57" s="1680"/>
    </row>
    <row r="58" spans="1:10" s="268" customFormat="1" ht="12.75">
      <c r="A58" s="1947"/>
      <c r="B58" s="1654" t="s">
        <v>745</v>
      </c>
      <c r="C58" s="1413">
        <v>18743</v>
      </c>
      <c r="D58" s="1307"/>
      <c r="E58" s="214">
        <f t="shared" si="2"/>
        <v>18743</v>
      </c>
      <c r="F58" s="972"/>
      <c r="I58" s="1744">
        <v>17851</v>
      </c>
      <c r="J58" s="1680">
        <v>17851</v>
      </c>
    </row>
    <row r="59" spans="1:10" s="268" customFormat="1" ht="12.75">
      <c r="A59" s="1947"/>
      <c r="B59" s="1654" t="s">
        <v>746</v>
      </c>
      <c r="C59" s="1413">
        <v>21107</v>
      </c>
      <c r="D59" s="1307"/>
      <c r="E59" s="214">
        <f t="shared" si="2"/>
        <v>21107</v>
      </c>
      <c r="F59" s="972"/>
      <c r="I59" s="1744"/>
      <c r="J59" s="1680"/>
    </row>
    <row r="60" spans="1:10" s="268" customFormat="1" ht="12.75">
      <c r="A60" s="1947"/>
      <c r="B60" s="1654" t="s">
        <v>747</v>
      </c>
      <c r="C60" s="1413">
        <v>19487</v>
      </c>
      <c r="D60" s="1307"/>
      <c r="E60" s="214">
        <f t="shared" si="2"/>
        <v>19487</v>
      </c>
      <c r="F60" s="972"/>
      <c r="I60" s="1744">
        <v>18559</v>
      </c>
      <c r="J60" s="1680">
        <v>18559</v>
      </c>
    </row>
    <row r="61" spans="1:10" s="268" customFormat="1" ht="12.75">
      <c r="A61" s="1947"/>
      <c r="B61" s="1654" t="s">
        <v>748</v>
      </c>
      <c r="C61" s="1413">
        <v>8755</v>
      </c>
      <c r="D61" s="1307"/>
      <c r="E61" s="214">
        <f t="shared" si="2"/>
        <v>8755</v>
      </c>
      <c r="F61" s="972"/>
      <c r="I61" s="1744">
        <v>8751</v>
      </c>
      <c r="J61" s="1680"/>
    </row>
    <row r="62" spans="1:10" s="268" customFormat="1" ht="12.75">
      <c r="A62" s="1947"/>
      <c r="B62" s="1654" t="s">
        <v>749</v>
      </c>
      <c r="C62" s="1413">
        <v>8750</v>
      </c>
      <c r="D62" s="1307"/>
      <c r="E62" s="214">
        <f t="shared" si="2"/>
        <v>8750</v>
      </c>
      <c r="F62" s="972"/>
      <c r="I62" s="1744">
        <v>8333</v>
      </c>
      <c r="J62" s="1680">
        <v>8333</v>
      </c>
    </row>
    <row r="63" spans="1:10" s="268" customFormat="1" ht="12.75">
      <c r="A63" s="1947"/>
      <c r="B63" s="1654" t="s">
        <v>750</v>
      </c>
      <c r="C63" s="1413">
        <v>37734</v>
      </c>
      <c r="D63" s="1307"/>
      <c r="E63" s="214">
        <f t="shared" si="2"/>
        <v>37734</v>
      </c>
      <c r="F63" s="972"/>
      <c r="I63" s="1744">
        <v>36880</v>
      </c>
      <c r="J63" s="1680"/>
    </row>
    <row r="64" spans="1:10" s="268" customFormat="1" ht="12.75">
      <c r="A64" s="1947"/>
      <c r="B64" s="1654" t="s">
        <v>751</v>
      </c>
      <c r="C64" s="1413">
        <v>16176</v>
      </c>
      <c r="D64" s="1307"/>
      <c r="E64" s="214">
        <f t="shared" si="2"/>
        <v>16176</v>
      </c>
      <c r="F64" s="972"/>
      <c r="I64" s="1744"/>
      <c r="J64" s="1680"/>
    </row>
    <row r="65" spans="1:10" s="268" customFormat="1" ht="12.75">
      <c r="A65" s="1947"/>
      <c r="B65" s="1654" t="s">
        <v>752</v>
      </c>
      <c r="C65" s="1413">
        <v>76109</v>
      </c>
      <c r="D65" s="1307"/>
      <c r="E65" s="214">
        <f t="shared" si="2"/>
        <v>76109</v>
      </c>
      <c r="F65" s="972"/>
      <c r="I65" s="1744"/>
      <c r="J65" s="1680"/>
    </row>
    <row r="66" spans="1:10" s="268" customFormat="1" ht="12.75">
      <c r="A66" s="1947"/>
      <c r="B66" s="1654" t="s">
        <v>753</v>
      </c>
      <c r="C66" s="1413">
        <v>37489</v>
      </c>
      <c r="D66" s="1307"/>
      <c r="E66" s="214">
        <f t="shared" si="2"/>
        <v>37489</v>
      </c>
      <c r="F66" s="972"/>
      <c r="I66" s="1744"/>
      <c r="J66" s="1680"/>
    </row>
    <row r="67" spans="1:10" s="268" customFormat="1" ht="12.75">
      <c r="A67" s="1947"/>
      <c r="B67" s="1654" t="s">
        <v>754</v>
      </c>
      <c r="C67" s="1413">
        <v>48759</v>
      </c>
      <c r="D67" s="1307"/>
      <c r="E67" s="214">
        <f t="shared" si="2"/>
        <v>48759</v>
      </c>
      <c r="F67" s="972"/>
      <c r="I67" s="1744">
        <v>48744</v>
      </c>
      <c r="J67" s="1680"/>
    </row>
    <row r="68" spans="1:10" s="268" customFormat="1" ht="25.5">
      <c r="A68" s="1947"/>
      <c r="B68" s="1403" t="s">
        <v>633</v>
      </c>
      <c r="C68" s="1413">
        <v>70866</v>
      </c>
      <c r="D68" s="1307"/>
      <c r="E68" s="214">
        <f>SUM(C68:D68)</f>
        <v>70866</v>
      </c>
      <c r="F68" s="972"/>
      <c r="I68" s="1744">
        <v>67802</v>
      </c>
      <c r="J68" s="1680"/>
    </row>
    <row r="69" spans="1:10" s="268" customFormat="1" ht="12.75" customHeight="1">
      <c r="A69" s="1947"/>
      <c r="B69" s="1403" t="s">
        <v>763</v>
      </c>
      <c r="C69" s="1413">
        <v>157270</v>
      </c>
      <c r="D69" s="1307">
        <f>277343-419246</f>
        <v>-141903</v>
      </c>
      <c r="E69" s="214">
        <f>SUM(C69:D69)</f>
        <v>15367</v>
      </c>
      <c r="F69" s="972"/>
      <c r="I69" s="1744"/>
      <c r="J69" s="1680"/>
    </row>
    <row r="70" spans="1:10" s="268" customFormat="1" ht="12.75" customHeight="1">
      <c r="A70" s="1947"/>
      <c r="B70" s="1654" t="s">
        <v>823</v>
      </c>
      <c r="C70" s="1413"/>
      <c r="D70" s="1307">
        <v>8067</v>
      </c>
      <c r="E70" s="214">
        <f aca="true" t="shared" si="3" ref="E70:E80">SUM(C70:D70)</f>
        <v>8067</v>
      </c>
      <c r="F70" s="972"/>
      <c r="I70" s="1744"/>
      <c r="J70" s="1680"/>
    </row>
    <row r="71" spans="1:10" s="268" customFormat="1" ht="12.75" customHeight="1">
      <c r="A71" s="1947"/>
      <c r="B71" s="1654" t="s">
        <v>824</v>
      </c>
      <c r="C71" s="1413"/>
      <c r="D71" s="1307">
        <v>9739</v>
      </c>
      <c r="E71" s="214">
        <f t="shared" si="3"/>
        <v>9739</v>
      </c>
      <c r="F71" s="972"/>
      <c r="I71" s="1744"/>
      <c r="J71" s="1680"/>
    </row>
    <row r="72" spans="1:10" s="268" customFormat="1" ht="12.75" customHeight="1">
      <c r="A72" s="1947"/>
      <c r="B72" s="1654" t="s">
        <v>825</v>
      </c>
      <c r="C72" s="1413"/>
      <c r="D72" s="1307">
        <v>10924</v>
      </c>
      <c r="E72" s="214">
        <f t="shared" si="3"/>
        <v>10924</v>
      </c>
      <c r="F72" s="972"/>
      <c r="I72" s="1744"/>
      <c r="J72" s="1680"/>
    </row>
    <row r="73" spans="1:10" s="268" customFormat="1" ht="12.75" customHeight="1">
      <c r="A73" s="1947"/>
      <c r="B73" s="1654" t="s">
        <v>826</v>
      </c>
      <c r="C73" s="1413"/>
      <c r="D73" s="1307">
        <v>25822</v>
      </c>
      <c r="E73" s="214">
        <f t="shared" si="3"/>
        <v>25822</v>
      </c>
      <c r="F73" s="972"/>
      <c r="I73" s="1744"/>
      <c r="J73" s="1680"/>
    </row>
    <row r="74" spans="1:10" s="268" customFormat="1" ht="12.75" customHeight="1">
      <c r="A74" s="1947"/>
      <c r="B74" s="1654" t="s">
        <v>827</v>
      </c>
      <c r="C74" s="1413"/>
      <c r="D74" s="1307">
        <v>68785</v>
      </c>
      <c r="E74" s="214">
        <f t="shared" si="3"/>
        <v>68785</v>
      </c>
      <c r="F74" s="972"/>
      <c r="I74" s="1744"/>
      <c r="J74" s="1680"/>
    </row>
    <row r="75" spans="1:10" s="268" customFormat="1" ht="12.75" customHeight="1">
      <c r="A75" s="1947"/>
      <c r="B75" s="1654" t="s">
        <v>828</v>
      </c>
      <c r="C75" s="1413"/>
      <c r="D75" s="1307">
        <v>51335</v>
      </c>
      <c r="E75" s="214">
        <f t="shared" si="3"/>
        <v>51335</v>
      </c>
      <c r="F75" s="972"/>
      <c r="I75" s="1744"/>
      <c r="J75" s="1680"/>
    </row>
    <row r="76" spans="1:10" s="268" customFormat="1" ht="12.75" customHeight="1">
      <c r="A76" s="1947"/>
      <c r="B76" s="1654" t="s">
        <v>829</v>
      </c>
      <c r="C76" s="1413"/>
      <c r="D76" s="1307">
        <v>119046</v>
      </c>
      <c r="E76" s="214">
        <f t="shared" si="3"/>
        <v>119046</v>
      </c>
      <c r="F76" s="972"/>
      <c r="I76" s="1744"/>
      <c r="J76" s="1680"/>
    </row>
    <row r="77" spans="1:10" s="268" customFormat="1" ht="12.75" customHeight="1">
      <c r="A77" s="1947"/>
      <c r="B77" s="1654" t="s">
        <v>830</v>
      </c>
      <c r="C77" s="1413"/>
      <c r="D77" s="1307">
        <v>33582</v>
      </c>
      <c r="E77" s="214">
        <f t="shared" si="3"/>
        <v>33582</v>
      </c>
      <c r="F77" s="972"/>
      <c r="I77" s="1744"/>
      <c r="J77" s="1680"/>
    </row>
    <row r="78" spans="1:10" s="268" customFormat="1" ht="12.75" customHeight="1">
      <c r="A78" s="1947"/>
      <c r="B78" s="1654" t="s">
        <v>831</v>
      </c>
      <c r="C78" s="1413"/>
      <c r="D78" s="1307">
        <v>38813</v>
      </c>
      <c r="E78" s="214">
        <f t="shared" si="3"/>
        <v>38813</v>
      </c>
      <c r="F78" s="972"/>
      <c r="I78" s="1744"/>
      <c r="J78" s="1680"/>
    </row>
    <row r="79" spans="1:10" s="268" customFormat="1" ht="12.75" customHeight="1">
      <c r="A79" s="1947"/>
      <c r="B79" s="1654" t="s">
        <v>832</v>
      </c>
      <c r="C79" s="1413"/>
      <c r="D79" s="1307">
        <v>46573</v>
      </c>
      <c r="E79" s="214">
        <f t="shared" si="3"/>
        <v>46573</v>
      </c>
      <c r="F79" s="972"/>
      <c r="I79" s="1744"/>
      <c r="J79" s="1680"/>
    </row>
    <row r="80" spans="1:10" s="268" customFormat="1" ht="12.75" customHeight="1">
      <c r="A80" s="1947"/>
      <c r="B80" s="1654" t="s">
        <v>833</v>
      </c>
      <c r="C80" s="1413"/>
      <c r="D80" s="1307">
        <v>6560</v>
      </c>
      <c r="E80" s="214">
        <f t="shared" si="3"/>
        <v>6560</v>
      </c>
      <c r="F80" s="972"/>
      <c r="I80" s="1744"/>
      <c r="J80" s="1680"/>
    </row>
    <row r="81" spans="1:6" ht="13.5" thickBot="1">
      <c r="A81" s="1947"/>
      <c r="B81" s="1623" t="s">
        <v>620</v>
      </c>
      <c r="C81" s="1029">
        <v>267</v>
      </c>
      <c r="D81" s="1511"/>
      <c r="E81" s="216">
        <f>SUM(C81:D81)</f>
        <v>267</v>
      </c>
      <c r="F81" s="111"/>
    </row>
    <row r="82" spans="1:10" s="268" customFormat="1" ht="13.5" thickBot="1">
      <c r="A82" s="973">
        <v>6</v>
      </c>
      <c r="B82" s="1624" t="s">
        <v>191</v>
      </c>
      <c r="C82" s="212">
        <f>SUM(C30:C81)</f>
        <v>1291772</v>
      </c>
      <c r="D82" s="1308">
        <f>SUM(D30:D81)</f>
        <v>274738</v>
      </c>
      <c r="E82" s="212">
        <f>SUM(E30:E81)</f>
        <v>1566510</v>
      </c>
      <c r="F82" s="972">
        <f>SUM(E30:E81)</f>
        <v>1566510</v>
      </c>
      <c r="I82" s="1744"/>
      <c r="J82" s="1680"/>
    </row>
    <row r="83" spans="1:6" ht="12.75">
      <c r="A83" s="1951"/>
      <c r="B83" s="1625" t="s">
        <v>621</v>
      </c>
      <c r="C83" s="1219"/>
      <c r="D83" s="1509"/>
      <c r="E83" s="1062">
        <f>SUM(C83:D83)</f>
        <v>0</v>
      </c>
      <c r="F83" s="111"/>
    </row>
    <row r="84" spans="1:6" ht="12.75">
      <c r="A84" s="1947"/>
      <c r="B84" s="1626" t="s">
        <v>622</v>
      </c>
      <c r="C84" s="1250"/>
      <c r="D84" s="1511"/>
      <c r="E84" s="211">
        <f>SUM(C84:D84)</f>
        <v>0</v>
      </c>
      <c r="F84" s="111"/>
    </row>
    <row r="85" spans="1:6" ht="12.75">
      <c r="A85" s="1947"/>
      <c r="B85" s="1595" t="s">
        <v>715</v>
      </c>
      <c r="C85" s="1578"/>
      <c r="D85" s="1597"/>
      <c r="E85" s="1598"/>
      <c r="F85" s="111"/>
    </row>
    <row r="86" spans="1:10" s="729" customFormat="1" ht="12.75">
      <c r="A86" s="1947"/>
      <c r="B86" s="1734" t="s">
        <v>716</v>
      </c>
      <c r="C86" s="1250">
        <v>1242</v>
      </c>
      <c r="D86" s="1511"/>
      <c r="E86" s="211">
        <f>SUM(C86:D86)</f>
        <v>1242</v>
      </c>
      <c r="F86" s="1596"/>
      <c r="I86" s="1744">
        <v>1242</v>
      </c>
      <c r="J86" s="1677">
        <v>1242</v>
      </c>
    </row>
    <row r="87" spans="1:10" s="729" customFormat="1" ht="12.75">
      <c r="A87" s="1947"/>
      <c r="B87" s="1595" t="s">
        <v>817</v>
      </c>
      <c r="C87" s="1250"/>
      <c r="D87" s="1511">
        <v>14660</v>
      </c>
      <c r="E87" s="211">
        <f>SUM(C87:D87)</f>
        <v>14660</v>
      </c>
      <c r="F87" s="1596"/>
      <c r="I87" s="1744"/>
      <c r="J87" s="1677"/>
    </row>
    <row r="88" spans="1:10" s="729" customFormat="1" ht="13.5" thickBot="1">
      <c r="A88" s="1952"/>
      <c r="B88" s="1735" t="s">
        <v>840</v>
      </c>
      <c r="C88" s="1031"/>
      <c r="D88" s="1512">
        <v>1611</v>
      </c>
      <c r="E88" s="211">
        <f>SUM(C88:D88)</f>
        <v>1611</v>
      </c>
      <c r="F88" s="1596"/>
      <c r="I88" s="1744"/>
      <c r="J88" s="1677"/>
    </row>
    <row r="89" spans="1:10" s="268" customFormat="1" ht="13.5" thickBot="1">
      <c r="A89" s="973">
        <v>7</v>
      </c>
      <c r="B89" s="1620" t="s">
        <v>452</v>
      </c>
      <c r="C89" s="212">
        <f>SUM(C83:C88)</f>
        <v>1242</v>
      </c>
      <c r="D89" s="212">
        <f>SUM(D83:D88)</f>
        <v>16271</v>
      </c>
      <c r="E89" s="212">
        <f>SUM(E83:E88)</f>
        <v>17513</v>
      </c>
      <c r="F89" s="972">
        <f>SUM(C89:D89)</f>
        <v>17513</v>
      </c>
      <c r="I89" s="1744"/>
      <c r="J89" s="1680"/>
    </row>
    <row r="90" spans="1:10" ht="13.5" thickBot="1">
      <c r="A90" s="1351"/>
      <c r="B90" s="1599" t="s">
        <v>717</v>
      </c>
      <c r="C90" s="1222">
        <v>5921</v>
      </c>
      <c r="D90" s="1512"/>
      <c r="E90" s="216">
        <f>SUM(C90:D90)</f>
        <v>5921</v>
      </c>
      <c r="F90" s="111"/>
      <c r="I90" s="1744">
        <v>5921</v>
      </c>
      <c r="J90" s="1677">
        <v>5921</v>
      </c>
    </row>
    <row r="91" spans="1:10" s="268" customFormat="1" ht="13.5" thickBot="1">
      <c r="A91" s="973">
        <v>8</v>
      </c>
      <c r="B91" s="1620" t="s">
        <v>519</v>
      </c>
      <c r="C91" s="212">
        <f>SUM(C90:C90)</f>
        <v>5921</v>
      </c>
      <c r="D91" s="1303">
        <f>SUM(D90:D90)</f>
        <v>0</v>
      </c>
      <c r="E91" s="212">
        <f>SUM(E90:E90)</f>
        <v>5921</v>
      </c>
      <c r="F91" s="972">
        <f>SUM(C91:D91)</f>
        <v>5921</v>
      </c>
      <c r="I91" s="1744"/>
      <c r="J91" s="1680"/>
    </row>
    <row r="92" spans="1:10" s="268" customFormat="1" ht="12.75">
      <c r="A92" s="1418"/>
      <c r="B92" s="1627" t="s">
        <v>634</v>
      </c>
      <c r="C92" s="1061">
        <v>36266</v>
      </c>
      <c r="D92" s="1305"/>
      <c r="E92" s="1062">
        <f>SUM(C92:D92)</f>
        <v>36266</v>
      </c>
      <c r="F92" s="972"/>
      <c r="I92" s="1744"/>
      <c r="J92" s="1680"/>
    </row>
    <row r="93" spans="1:10" s="268" customFormat="1" ht="12.75">
      <c r="A93" s="1264"/>
      <c r="B93" s="1628" t="s">
        <v>544</v>
      </c>
      <c r="C93" s="210">
        <v>6356</v>
      </c>
      <c r="D93" s="1025">
        <v>24060</v>
      </c>
      <c r="E93" s="211">
        <f>SUM(C93:D93)</f>
        <v>30416</v>
      </c>
      <c r="F93" s="972"/>
      <c r="I93" s="1744">
        <v>4731</v>
      </c>
      <c r="J93" s="1680">
        <v>4731</v>
      </c>
    </row>
    <row r="94" spans="1:10" s="268" customFormat="1" ht="12.75">
      <c r="A94" s="1264"/>
      <c r="B94" s="1732" t="s">
        <v>718</v>
      </c>
      <c r="C94" s="210">
        <v>7582</v>
      </c>
      <c r="D94" s="1025"/>
      <c r="E94" s="211">
        <f>SUM(C94:D94)</f>
        <v>7582</v>
      </c>
      <c r="F94" s="972"/>
      <c r="I94" s="1744">
        <v>978</v>
      </c>
      <c r="J94" s="1680">
        <v>978</v>
      </c>
    </row>
    <row r="95" spans="1:10" s="268" customFormat="1" ht="12.75">
      <c r="A95" s="1264"/>
      <c r="B95" s="1731" t="s">
        <v>818</v>
      </c>
      <c r="C95" s="1675"/>
      <c r="D95" s="1657"/>
      <c r="E95" s="1579"/>
      <c r="F95" s="972"/>
      <c r="I95" s="1744"/>
      <c r="J95" s="1680"/>
    </row>
    <row r="96" spans="1:10" s="268" customFormat="1" ht="12.75">
      <c r="A96" s="1264"/>
      <c r="B96" s="1733" t="s">
        <v>819</v>
      </c>
      <c r="C96" s="210"/>
      <c r="D96" s="1025">
        <v>605</v>
      </c>
      <c r="E96" s="211">
        <f>SUM(C96:D96)</f>
        <v>605</v>
      </c>
      <c r="F96" s="972"/>
      <c r="I96" s="1744"/>
      <c r="J96" s="1680"/>
    </row>
    <row r="97" spans="1:10" s="268" customFormat="1" ht="12.75">
      <c r="A97" s="1264"/>
      <c r="B97" s="1740" t="s">
        <v>834</v>
      </c>
      <c r="C97" s="210"/>
      <c r="D97" s="1025">
        <v>2704</v>
      </c>
      <c r="E97" s="211">
        <f>SUM(C97:D97)</f>
        <v>2704</v>
      </c>
      <c r="F97" s="972"/>
      <c r="I97" s="1744"/>
      <c r="J97" s="1680"/>
    </row>
    <row r="98" spans="1:10" s="268" customFormat="1" ht="13.5" thickBot="1">
      <c r="A98" s="1264"/>
      <c r="B98" s="1573" t="s">
        <v>835</v>
      </c>
      <c r="C98" s="1347"/>
      <c r="D98" s="1306">
        <v>3500</v>
      </c>
      <c r="E98" s="211">
        <f>SUM(C98:D98)</f>
        <v>3500</v>
      </c>
      <c r="F98" s="972"/>
      <c r="I98" s="1744">
        <v>3500</v>
      </c>
      <c r="J98" s="1680"/>
    </row>
    <row r="99" spans="1:10" s="268" customFormat="1" ht="13.5" thickBot="1">
      <c r="A99" s="973">
        <v>9</v>
      </c>
      <c r="B99" s="1620" t="s">
        <v>522</v>
      </c>
      <c r="C99" s="212">
        <f>SUM(C92:C98)</f>
        <v>50204</v>
      </c>
      <c r="D99" s="212">
        <f>SUM(D92:D98)</f>
        <v>30869</v>
      </c>
      <c r="E99" s="212">
        <f>SUM(E92:E98)</f>
        <v>81073</v>
      </c>
      <c r="F99" s="972"/>
      <c r="I99" s="1744"/>
      <c r="J99" s="1680"/>
    </row>
    <row r="100" spans="1:6" ht="13.5" thickBot="1">
      <c r="A100" s="1254"/>
      <c r="B100" s="1629"/>
      <c r="C100" s="1315"/>
      <c r="D100" s="1354"/>
      <c r="E100" s="1217">
        <f>SUM(C100:D100)</f>
        <v>0</v>
      </c>
      <c r="F100" s="111"/>
    </row>
    <row r="101" spans="1:6" ht="13.5" thickBot="1">
      <c r="A101" s="272" t="s">
        <v>98</v>
      </c>
      <c r="B101" s="1630" t="s">
        <v>486</v>
      </c>
      <c r="C101" s="262">
        <f>SUM(C100:C100)</f>
        <v>0</v>
      </c>
      <c r="D101" s="262">
        <f>SUM(D100:D100)</f>
        <v>0</v>
      </c>
      <c r="E101" s="262">
        <f>SUM(E100:E100)</f>
        <v>0</v>
      </c>
      <c r="F101" s="111"/>
    </row>
    <row r="102" spans="1:6" ht="13.5" thickBot="1">
      <c r="A102" s="976"/>
      <c r="B102" s="1631"/>
      <c r="C102" s="1224"/>
      <c r="D102" s="1310"/>
      <c r="E102" s="214">
        <f>SUM(C102:D102)</f>
        <v>0</v>
      </c>
      <c r="F102" s="111"/>
    </row>
    <row r="103" spans="1:6" ht="13.5" thickBot="1">
      <c r="A103" s="272" t="s">
        <v>99</v>
      </c>
      <c r="B103" s="1630" t="s">
        <v>485</v>
      </c>
      <c r="C103" s="262">
        <f>SUM(C102:C102)</f>
        <v>0</v>
      </c>
      <c r="D103" s="1309">
        <f>SUM(D102:D102)</f>
        <v>0</v>
      </c>
      <c r="E103" s="262">
        <f>SUM(E102:E102)</f>
        <v>0</v>
      </c>
      <c r="F103" s="111"/>
    </row>
    <row r="104" spans="1:6" ht="12.75">
      <c r="A104" s="976"/>
      <c r="B104" s="1629" t="s">
        <v>635</v>
      </c>
      <c r="C104" s="1030"/>
      <c r="D104" s="1510"/>
      <c r="E104" s="217">
        <f>SUM(C104:D104)</f>
        <v>0</v>
      </c>
      <c r="F104" s="111"/>
    </row>
    <row r="105" spans="1:6" ht="12.75">
      <c r="A105" s="976"/>
      <c r="B105" s="1629" t="s">
        <v>625</v>
      </c>
      <c r="C105" s="1250"/>
      <c r="D105" s="1511"/>
      <c r="E105" s="217">
        <f>SUM(C105:D105)</f>
        <v>0</v>
      </c>
      <c r="F105" s="111"/>
    </row>
    <row r="106" spans="1:6" ht="12.75">
      <c r="A106" s="976"/>
      <c r="B106" s="1632" t="s">
        <v>623</v>
      </c>
      <c r="C106" s="1250"/>
      <c r="D106" s="1511"/>
      <c r="E106" s="217">
        <f>SUM(C106:D106)</f>
        <v>0</v>
      </c>
      <c r="F106" s="111"/>
    </row>
    <row r="107" spans="1:9" ht="13.5" thickBot="1">
      <c r="A107" s="976"/>
      <c r="B107" s="1633" t="s">
        <v>626</v>
      </c>
      <c r="C107" s="1250">
        <v>1500</v>
      </c>
      <c r="D107" s="1513"/>
      <c r="E107" s="217">
        <f>SUM(C107:D107)</f>
        <v>1500</v>
      </c>
      <c r="F107" s="111"/>
      <c r="I107" s="1744">
        <v>1436</v>
      </c>
    </row>
    <row r="108" spans="1:6" ht="13.5" thickBot="1">
      <c r="A108" s="272" t="s">
        <v>100</v>
      </c>
      <c r="B108" s="1630" t="s">
        <v>487</v>
      </c>
      <c r="C108" s="262">
        <f>SUM(C104:C107)</f>
        <v>1500</v>
      </c>
      <c r="D108" s="262">
        <f>SUM(D104:D107)</f>
        <v>0</v>
      </c>
      <c r="E108" s="262">
        <f>SUM(E104:E107)</f>
        <v>1500</v>
      </c>
      <c r="F108" s="111"/>
    </row>
    <row r="109" spans="1:6" ht="12.75">
      <c r="A109" s="976"/>
      <c r="B109" s="1629" t="s">
        <v>624</v>
      </c>
      <c r="C109" s="1032"/>
      <c r="D109" s="1514"/>
      <c r="E109" s="217">
        <f>SUM(C109:D109)</f>
        <v>0</v>
      </c>
      <c r="F109" s="111"/>
    </row>
    <row r="110" spans="1:9" ht="13.5" thickBot="1">
      <c r="A110" s="976"/>
      <c r="B110" s="1629" t="s">
        <v>636</v>
      </c>
      <c r="C110" s="1344">
        <v>2000</v>
      </c>
      <c r="D110" s="1355"/>
      <c r="E110" s="217">
        <f>SUM(C110:D110)</f>
        <v>2000</v>
      </c>
      <c r="F110" s="111"/>
      <c r="I110" s="1744">
        <v>1200</v>
      </c>
    </row>
    <row r="111" spans="1:6" ht="13.5" thickBot="1">
      <c r="A111" s="272" t="s">
        <v>101</v>
      </c>
      <c r="B111" s="1630" t="s">
        <v>488</v>
      </c>
      <c r="C111" s="262">
        <f>SUM(C109:C110)</f>
        <v>2000</v>
      </c>
      <c r="D111" s="262">
        <f>SUM(D109:D110)</f>
        <v>0</v>
      </c>
      <c r="E111" s="262">
        <f>SUM(E109:E110)</f>
        <v>2000</v>
      </c>
      <c r="F111" s="111"/>
    </row>
    <row r="112" spans="1:6" ht="13.5" thickBot="1">
      <c r="A112" s="976"/>
      <c r="B112" s="1634"/>
      <c r="C112" s="1223"/>
      <c r="D112" s="1312"/>
      <c r="E112" s="1225">
        <f>SUM(C112:D112)</f>
        <v>0</v>
      </c>
      <c r="F112" s="111"/>
    </row>
    <row r="113" spans="1:6" ht="13.5" thickBot="1">
      <c r="A113" s="272" t="s">
        <v>192</v>
      </c>
      <c r="B113" s="1635" t="s">
        <v>489</v>
      </c>
      <c r="C113" s="262">
        <f>SUM(C112:C112)</f>
        <v>0</v>
      </c>
      <c r="D113" s="262">
        <f>SUM(D112:D112)</f>
        <v>0</v>
      </c>
      <c r="E113" s="262">
        <f>SUM(E112:E112)</f>
        <v>0</v>
      </c>
      <c r="F113" s="111"/>
    </row>
    <row r="114" spans="1:6" ht="13.5" thickBot="1">
      <c r="A114" s="976"/>
      <c r="B114" s="1629"/>
      <c r="C114" s="1215"/>
      <c r="D114" s="1311"/>
      <c r="E114" s="217">
        <f>SUM(C114:D114)</f>
        <v>0</v>
      </c>
      <c r="F114" s="111"/>
    </row>
    <row r="115" spans="1:6" ht="13.5" thickBot="1">
      <c r="A115" s="272" t="s">
        <v>327</v>
      </c>
      <c r="B115" s="1630" t="s">
        <v>490</v>
      </c>
      <c r="C115" s="262">
        <f>SUM(C114)</f>
        <v>0</v>
      </c>
      <c r="D115" s="1309">
        <f>SUM(D114)</f>
        <v>0</v>
      </c>
      <c r="E115" s="262">
        <f>SUM(E114)</f>
        <v>0</v>
      </c>
      <c r="F115" s="111"/>
    </row>
    <row r="116" spans="1:6" ht="13.5" thickBot="1">
      <c r="A116" s="976"/>
      <c r="B116" s="1636"/>
      <c r="C116" s="975"/>
      <c r="D116" s="1302"/>
      <c r="E116" s="1062">
        <f>SUM(C116:D116)</f>
        <v>0</v>
      </c>
      <c r="F116" s="111"/>
    </row>
    <row r="117" spans="1:6" ht="13.5" thickBot="1">
      <c r="A117" s="272" t="s">
        <v>328</v>
      </c>
      <c r="B117" s="1630" t="s">
        <v>491</v>
      </c>
      <c r="C117" s="262">
        <f>SUM(C116:C116)</f>
        <v>0</v>
      </c>
      <c r="D117" s="1309">
        <f>SUM(D116:D116)</f>
        <v>0</v>
      </c>
      <c r="E117" s="262">
        <f>SUM(E116:E116)</f>
        <v>0</v>
      </c>
      <c r="F117" s="111"/>
    </row>
    <row r="118" spans="1:6" ht="13.5" thickBot="1">
      <c r="A118" s="300"/>
      <c r="B118" s="1629"/>
      <c r="C118" s="1339"/>
      <c r="D118" s="1352"/>
      <c r="E118" s="214">
        <f>SUM(C118:D118)</f>
        <v>0</v>
      </c>
      <c r="F118" s="111"/>
    </row>
    <row r="119" spans="1:6" ht="13.5" thickBot="1">
      <c r="A119" s="272" t="s">
        <v>69</v>
      </c>
      <c r="B119" s="1630" t="s">
        <v>496</v>
      </c>
      <c r="C119" s="262">
        <f>SUM(C118:C118)</f>
        <v>0</v>
      </c>
      <c r="D119" s="262">
        <f>SUM(D118:D118)</f>
        <v>0</v>
      </c>
      <c r="E119" s="262">
        <f>SUM(E118:E118)</f>
        <v>0</v>
      </c>
      <c r="F119" s="111"/>
    </row>
    <row r="120" spans="1:6" ht="13.5" thickBot="1">
      <c r="A120" s="976"/>
      <c r="B120" s="1636"/>
      <c r="C120" s="975"/>
      <c r="D120" s="1302"/>
      <c r="E120" s="214"/>
      <c r="F120" s="111"/>
    </row>
    <row r="121" spans="1:6" ht="13.5" thickBot="1">
      <c r="A121" s="118" t="s">
        <v>495</v>
      </c>
      <c r="B121" s="1630" t="s">
        <v>493</v>
      </c>
      <c r="C121" s="262">
        <f>SUM(C120)</f>
        <v>0</v>
      </c>
      <c r="D121" s="1309">
        <f>SUM(D120)</f>
        <v>0</v>
      </c>
      <c r="E121" s="262">
        <f>SUM(E120)</f>
        <v>0</v>
      </c>
      <c r="F121" s="111"/>
    </row>
    <row r="122" spans="1:6" ht="25.5">
      <c r="A122" s="1948"/>
      <c r="B122" s="1632" t="s">
        <v>546</v>
      </c>
      <c r="C122" s="1250"/>
      <c r="D122" s="1511"/>
      <c r="E122" s="215">
        <f>SUM(C122:D122)</f>
        <v>0</v>
      </c>
      <c r="F122" s="111"/>
    </row>
    <row r="123" spans="1:6" ht="12.75">
      <c r="A123" s="1949"/>
      <c r="B123" s="1557" t="s">
        <v>617</v>
      </c>
      <c r="C123" s="1250"/>
      <c r="D123" s="1511">
        <v>800</v>
      </c>
      <c r="E123" s="215">
        <f>SUM(C123:D123)</f>
        <v>800</v>
      </c>
      <c r="F123" s="111"/>
    </row>
    <row r="124" spans="1:6" ht="13.5" thickBot="1">
      <c r="A124" s="1950"/>
      <c r="B124" s="1741" t="s">
        <v>627</v>
      </c>
      <c r="C124" s="1031"/>
      <c r="D124" s="1512"/>
      <c r="E124" s="215">
        <f>SUM(C124:D124)</f>
        <v>0</v>
      </c>
      <c r="F124" s="111"/>
    </row>
    <row r="125" spans="1:6" ht="13.5" thickBot="1">
      <c r="A125" s="1520" t="s">
        <v>418</v>
      </c>
      <c r="B125" s="1630" t="s">
        <v>494</v>
      </c>
      <c r="C125" s="262">
        <f>SUM(C122:C124)</f>
        <v>0</v>
      </c>
      <c r="D125" s="262">
        <f>SUM(D122:D124)</f>
        <v>800</v>
      </c>
      <c r="E125" s="262">
        <f>SUM(E122:E124)</f>
        <v>800</v>
      </c>
      <c r="F125" s="111"/>
    </row>
    <row r="126" spans="1:6" ht="12.75">
      <c r="A126" s="1948"/>
      <c r="B126" s="1637" t="s">
        <v>484</v>
      </c>
      <c r="C126" s="1343">
        <v>376</v>
      </c>
      <c r="D126" s="1600"/>
      <c r="E126" s="1062">
        <f>SUM(C126:D126)</f>
        <v>376</v>
      </c>
      <c r="F126" s="111"/>
    </row>
    <row r="127" spans="1:6" ht="12.75">
      <c r="A127" s="1949"/>
      <c r="B127" s="1638" t="s">
        <v>687</v>
      </c>
      <c r="C127" s="1602"/>
      <c r="D127" s="1603"/>
      <c r="E127" s="1604"/>
      <c r="F127" s="111"/>
    </row>
    <row r="128" spans="1:10" ht="12.75">
      <c r="A128" s="1949"/>
      <c r="B128" s="1577" t="s">
        <v>719</v>
      </c>
      <c r="C128" s="975">
        <v>699</v>
      </c>
      <c r="D128" s="1601"/>
      <c r="E128" s="214">
        <f>SUM(C128:D128)</f>
        <v>699</v>
      </c>
      <c r="F128" s="111"/>
      <c r="I128" s="1744">
        <v>699</v>
      </c>
      <c r="J128" s="1677">
        <v>699</v>
      </c>
    </row>
    <row r="129" spans="1:6" ht="12.75">
      <c r="A129" s="1949"/>
      <c r="B129" s="1639" t="s">
        <v>691</v>
      </c>
      <c r="C129" s="1602"/>
      <c r="D129" s="1603"/>
      <c r="E129" s="1604"/>
      <c r="F129" s="111"/>
    </row>
    <row r="130" spans="1:10" ht="12.75">
      <c r="A130" s="1949"/>
      <c r="B130" s="1640" t="s">
        <v>720</v>
      </c>
      <c r="C130" s="975">
        <v>303</v>
      </c>
      <c r="D130" s="1601"/>
      <c r="E130" s="214">
        <f>SUM(C130:D130)</f>
        <v>303</v>
      </c>
      <c r="F130" s="111"/>
      <c r="I130" s="1744">
        <v>276</v>
      </c>
      <c r="J130" s="1677">
        <v>276</v>
      </c>
    </row>
    <row r="131" spans="1:6" ht="12.75">
      <c r="A131" s="1949"/>
      <c r="B131" s="1410" t="s">
        <v>607</v>
      </c>
      <c r="C131" s="1602"/>
      <c r="D131" s="1603"/>
      <c r="E131" s="1669"/>
      <c r="F131" s="111"/>
    </row>
    <row r="132" spans="1:9" ht="13.5" thickBot="1">
      <c r="A132" s="1950"/>
      <c r="B132" s="1640" t="s">
        <v>764</v>
      </c>
      <c r="C132" s="1344">
        <v>3157</v>
      </c>
      <c r="D132" s="1668"/>
      <c r="E132" s="214">
        <f>SUM(C132:D132)</f>
        <v>3157</v>
      </c>
      <c r="F132" s="111"/>
      <c r="I132" s="1744">
        <v>3157</v>
      </c>
    </row>
    <row r="133" spans="1:10" s="268" customFormat="1" ht="13.5" thickBot="1">
      <c r="A133" s="1255" t="s">
        <v>467</v>
      </c>
      <c r="B133" s="1641" t="s">
        <v>209</v>
      </c>
      <c r="C133" s="1253">
        <f>SUM(C126:C132)</f>
        <v>4535</v>
      </c>
      <c r="D133" s="1253">
        <f>SUM(D126:D132)</f>
        <v>0</v>
      </c>
      <c r="E133" s="1253">
        <f>SUM(E126:E132)</f>
        <v>4535</v>
      </c>
      <c r="F133" s="972"/>
      <c r="I133" s="1744"/>
      <c r="J133" s="1680"/>
    </row>
    <row r="134" spans="1:10" s="268" customFormat="1" ht="13.5" thickBot="1">
      <c r="A134" s="973">
        <v>10</v>
      </c>
      <c r="B134" s="1624" t="s">
        <v>497</v>
      </c>
      <c r="C134" s="212">
        <f>C101+C103+C108+C111+C113+C115+C117+C119+C121+C125+C133</f>
        <v>8035</v>
      </c>
      <c r="D134" s="1308">
        <f>D101+D103+D108+D111+D113+D115+D117+D119+D121+D125+D133</f>
        <v>800</v>
      </c>
      <c r="E134" s="212">
        <f>E101+E103+E108+E111+E113+E115+E117+E119+E121+E125+E133</f>
        <v>8835</v>
      </c>
      <c r="F134" s="972">
        <f>SUM(C134:D134)</f>
        <v>8835</v>
      </c>
      <c r="H134" s="248"/>
      <c r="I134" s="1744"/>
      <c r="J134" s="1680"/>
    </row>
    <row r="135" spans="1:10" s="268" customFormat="1" ht="13.5" thickBot="1">
      <c r="A135" s="973">
        <v>11</v>
      </c>
      <c r="B135" s="1624" t="s">
        <v>849</v>
      </c>
      <c r="C135" s="212"/>
      <c r="D135" s="1308">
        <v>194612</v>
      </c>
      <c r="E135" s="212">
        <f>SUM(C135:D135)</f>
        <v>194612</v>
      </c>
      <c r="F135" s="972"/>
      <c r="H135" s="248"/>
      <c r="I135" s="1744"/>
      <c r="J135" s="1680"/>
    </row>
    <row r="136" spans="1:10" s="268" customFormat="1" ht="13.5" thickBot="1">
      <c r="A136" s="977" t="s">
        <v>95</v>
      </c>
      <c r="B136" s="1642" t="s">
        <v>850</v>
      </c>
      <c r="C136" s="218">
        <f>C134+C91+C89+C82+C29+C27+C24+C19+C21+C99+C135</f>
        <v>1559727</v>
      </c>
      <c r="D136" s="218">
        <f>D134+D91+D89+D82+D29+D27+D24+D19+D21+D99+D135</f>
        <v>564957</v>
      </c>
      <c r="E136" s="218">
        <f>E134+E91+E89+E82+E29+E27+E24+E19+E21+E99+E135</f>
        <v>2124684</v>
      </c>
      <c r="F136" s="113">
        <f>C136+D136</f>
        <v>2124684</v>
      </c>
      <c r="G136" s="248">
        <f>'hivatal5 '!E24</f>
        <v>2124684</v>
      </c>
      <c r="H136" s="450">
        <f>F136-G136</f>
        <v>0</v>
      </c>
      <c r="I136" s="1744"/>
      <c r="J136" s="1681"/>
    </row>
    <row r="137" spans="1:10" s="268" customFormat="1" ht="12.75">
      <c r="A137" s="1189" t="s">
        <v>102</v>
      </c>
      <c r="B137" s="1643" t="s">
        <v>707</v>
      </c>
      <c r="C137" s="210">
        <f>hivatal1!C24</f>
        <v>2500</v>
      </c>
      <c r="D137" s="210">
        <f>hivatal1!D24</f>
        <v>0</v>
      </c>
      <c r="E137" s="211">
        <f aca="true" t="shared" si="4" ref="E137:E151">SUM(C137:D137)</f>
        <v>2500</v>
      </c>
      <c r="F137" s="114"/>
      <c r="I137" s="1744"/>
      <c r="J137" s="1680"/>
    </row>
    <row r="138" spans="1:10" s="268" customFormat="1" ht="12.75">
      <c r="A138" s="978" t="s">
        <v>105</v>
      </c>
      <c r="B138" s="1643" t="s">
        <v>706</v>
      </c>
      <c r="C138" s="210">
        <f>+hivatal1!I24</f>
        <v>30729</v>
      </c>
      <c r="D138" s="210">
        <f>+hivatal1!J24</f>
        <v>-23800</v>
      </c>
      <c r="E138" s="211">
        <f t="shared" si="4"/>
        <v>6929</v>
      </c>
      <c r="F138" s="114"/>
      <c r="I138" s="1744">
        <v>6929</v>
      </c>
      <c r="J138" s="1680"/>
    </row>
    <row r="139" spans="1:10" s="268" customFormat="1" ht="12.75">
      <c r="A139" s="978" t="s">
        <v>106</v>
      </c>
      <c r="B139" s="1643" t="s">
        <v>698</v>
      </c>
      <c r="C139" s="210">
        <f>hivatal1!L24</f>
        <v>100</v>
      </c>
      <c r="D139" s="210">
        <f>hivatal1!M24</f>
        <v>2500</v>
      </c>
      <c r="E139" s="211">
        <f t="shared" si="4"/>
        <v>2600</v>
      </c>
      <c r="F139" s="114"/>
      <c r="I139" s="1744"/>
      <c r="J139" s="1680"/>
    </row>
    <row r="140" spans="1:10" s="268" customFormat="1" ht="12.75">
      <c r="A140" s="1033" t="s">
        <v>107</v>
      </c>
      <c r="B140" s="1643" t="s">
        <v>699</v>
      </c>
      <c r="C140" s="210">
        <f>hivatal2!O24</f>
        <v>1256</v>
      </c>
      <c r="D140" s="210">
        <f>hivatal2!P24</f>
        <v>184</v>
      </c>
      <c r="E140" s="211">
        <f t="shared" si="4"/>
        <v>1440</v>
      </c>
      <c r="F140" s="114"/>
      <c r="I140" s="1744">
        <v>291</v>
      </c>
      <c r="J140" s="1680">
        <v>107</v>
      </c>
    </row>
    <row r="141" spans="1:10" s="268" customFormat="1" ht="12.75">
      <c r="A141" s="1033" t="s">
        <v>315</v>
      </c>
      <c r="B141" s="1644" t="s">
        <v>700</v>
      </c>
      <c r="C141" s="210">
        <f>hivatal4!C24</f>
        <v>2884</v>
      </c>
      <c r="D141" s="210">
        <f>hivatal4!D24</f>
        <v>0</v>
      </c>
      <c r="E141" s="211">
        <f t="shared" si="4"/>
        <v>2884</v>
      </c>
      <c r="F141" s="114"/>
      <c r="I141" s="1744"/>
      <c r="J141" s="1680"/>
    </row>
    <row r="142" spans="1:10" s="268" customFormat="1" ht="12.75">
      <c r="A142" s="978" t="s">
        <v>316</v>
      </c>
      <c r="B142" s="1586" t="s">
        <v>701</v>
      </c>
      <c r="C142" s="210">
        <f>hivatal4!F24</f>
        <v>12966</v>
      </c>
      <c r="D142" s="210">
        <f>hivatal4!G24</f>
        <v>0</v>
      </c>
      <c r="E142" s="211">
        <f t="shared" si="4"/>
        <v>12966</v>
      </c>
      <c r="F142" s="114"/>
      <c r="I142" s="1744"/>
      <c r="J142" s="1680"/>
    </row>
    <row r="143" spans="1:10" s="268" customFormat="1" ht="12.75">
      <c r="A143" s="978" t="s">
        <v>110</v>
      </c>
      <c r="B143" s="1643" t="s">
        <v>499</v>
      </c>
      <c r="C143" s="210">
        <f>hivatal4!I24</f>
        <v>156838</v>
      </c>
      <c r="D143" s="210">
        <f>hivatal4!J24</f>
        <v>-145612</v>
      </c>
      <c r="E143" s="211">
        <f t="shared" si="4"/>
        <v>11226</v>
      </c>
      <c r="F143" s="114"/>
      <c r="I143" s="1744">
        <v>11226</v>
      </c>
      <c r="J143" s="1680">
        <v>8183</v>
      </c>
    </row>
    <row r="144" spans="1:10" s="268" customFormat="1" ht="12.75">
      <c r="A144" s="978" t="s">
        <v>122</v>
      </c>
      <c r="B144" s="1586" t="s">
        <v>498</v>
      </c>
      <c r="C144" s="210">
        <f>hivatal4!L24</f>
        <v>829425</v>
      </c>
      <c r="D144" s="210">
        <f>hivatal4!M24</f>
        <v>305901</v>
      </c>
      <c r="E144" s="211">
        <f t="shared" si="4"/>
        <v>1135326</v>
      </c>
      <c r="F144" s="114"/>
      <c r="I144" s="1744">
        <v>30958</v>
      </c>
      <c r="J144" s="1680">
        <v>34289</v>
      </c>
    </row>
    <row r="145" spans="1:10" s="268" customFormat="1" ht="12.75">
      <c r="A145" s="978" t="s">
        <v>322</v>
      </c>
      <c r="B145" s="1643" t="s">
        <v>702</v>
      </c>
      <c r="C145" s="210">
        <f>'hivatal5 '!I24</f>
        <v>74670</v>
      </c>
      <c r="D145" s="210">
        <f>'hivatal5 '!J24</f>
        <v>0</v>
      </c>
      <c r="E145" s="211">
        <f t="shared" si="4"/>
        <v>74670</v>
      </c>
      <c r="F145" s="114"/>
      <c r="I145" s="1744">
        <v>16110</v>
      </c>
      <c r="J145" s="1680">
        <v>6729</v>
      </c>
    </row>
    <row r="146" spans="1:10" s="268" customFormat="1" ht="12.75">
      <c r="A146" s="978" t="s">
        <v>660</v>
      </c>
      <c r="B146" s="1643" t="s">
        <v>520</v>
      </c>
      <c r="C146" s="210">
        <f>'hivatal5 '!O24</f>
        <v>1276</v>
      </c>
      <c r="D146" s="210">
        <f>'hivatal5 '!P24</f>
        <v>391</v>
      </c>
      <c r="E146" s="211">
        <f t="shared" si="4"/>
        <v>1667</v>
      </c>
      <c r="F146" s="114"/>
      <c r="I146" s="1744">
        <v>1667</v>
      </c>
      <c r="J146" s="1680">
        <v>1276</v>
      </c>
    </row>
    <row r="147" spans="1:10" s="268" customFormat="1" ht="12.75">
      <c r="A147" s="1033" t="s">
        <v>708</v>
      </c>
      <c r="B147" s="1643" t="s">
        <v>502</v>
      </c>
      <c r="C147" s="210">
        <f>hivatal6!C24</f>
        <v>299220</v>
      </c>
      <c r="D147" s="210">
        <f>hivatal6!D24</f>
        <v>-56230</v>
      </c>
      <c r="E147" s="211">
        <f t="shared" si="4"/>
        <v>242990</v>
      </c>
      <c r="F147" s="114"/>
      <c r="I147" s="1744">
        <v>3971</v>
      </c>
      <c r="J147" s="1680"/>
    </row>
    <row r="148" spans="1:10" s="268" customFormat="1" ht="12.75">
      <c r="A148" s="1033" t="s">
        <v>709</v>
      </c>
      <c r="B148" s="1586" t="s">
        <v>703</v>
      </c>
      <c r="C148" s="210">
        <f>hivatal6!F24</f>
        <v>1373</v>
      </c>
      <c r="D148" s="210">
        <f>hivatal6!G24</f>
        <v>0</v>
      </c>
      <c r="E148" s="211">
        <f t="shared" si="4"/>
        <v>1373</v>
      </c>
      <c r="F148" s="114"/>
      <c r="I148" s="1744">
        <v>1003</v>
      </c>
      <c r="J148" s="1680">
        <v>1003</v>
      </c>
    </row>
    <row r="149" spans="1:10" s="268" customFormat="1" ht="12.75">
      <c r="A149" s="1033" t="s">
        <v>710</v>
      </c>
      <c r="B149" s="1587" t="s">
        <v>704</v>
      </c>
      <c r="C149" s="210">
        <f>hivatal6!L24</f>
        <v>114</v>
      </c>
      <c r="D149" s="210">
        <f>hivatal6!M24</f>
        <v>0</v>
      </c>
      <c r="E149" s="211">
        <f t="shared" si="4"/>
        <v>114</v>
      </c>
      <c r="F149" s="114"/>
      <c r="I149" s="1744"/>
      <c r="J149" s="1680"/>
    </row>
    <row r="150" spans="1:10" s="268" customFormat="1" ht="12.75">
      <c r="A150" s="1033" t="s">
        <v>711</v>
      </c>
      <c r="B150" s="1586" t="s">
        <v>705</v>
      </c>
      <c r="C150" s="210">
        <f>hivatal6!O24</f>
        <v>239643</v>
      </c>
      <c r="D150" s="210">
        <f>hivatal6!P24</f>
        <v>0</v>
      </c>
      <c r="E150" s="211">
        <f t="shared" si="4"/>
        <v>239643</v>
      </c>
      <c r="F150" s="114"/>
      <c r="I150" s="1744">
        <v>137907</v>
      </c>
      <c r="J150" s="1680">
        <v>102959</v>
      </c>
    </row>
    <row r="151" spans="1:10" s="268" customFormat="1" ht="13.5" thickBot="1">
      <c r="A151" s="1589" t="s">
        <v>795</v>
      </c>
      <c r="B151" s="1588" t="s">
        <v>794</v>
      </c>
      <c r="C151" s="1691">
        <f>hivatal7!C24</f>
        <v>1048</v>
      </c>
      <c r="D151" s="1691">
        <f>hivatal7!D24</f>
        <v>0</v>
      </c>
      <c r="E151" s="1692">
        <f t="shared" si="4"/>
        <v>1048</v>
      </c>
      <c r="F151" s="114"/>
      <c r="I151" s="1744">
        <v>914</v>
      </c>
      <c r="J151" s="1680"/>
    </row>
    <row r="152" spans="1:10" s="268" customFormat="1" ht="14.25" thickBot="1" thickTop="1">
      <c r="A152" s="1188" t="s">
        <v>120</v>
      </c>
      <c r="B152" s="1645" t="s">
        <v>712</v>
      </c>
      <c r="C152" s="1181">
        <f>SUM(C136:C151)</f>
        <v>3213769</v>
      </c>
      <c r="D152" s="1181">
        <f>SUM(D136:D151)</f>
        <v>648291</v>
      </c>
      <c r="E152" s="1181">
        <f>SUM(E136:E151)</f>
        <v>3862060</v>
      </c>
      <c r="F152" s="449">
        <f>SUM(C152:D152)</f>
        <v>3862060</v>
      </c>
      <c r="G152" s="979"/>
      <c r="I152" s="1744"/>
      <c r="J152" s="1680"/>
    </row>
    <row r="153" spans="1:10" s="268" customFormat="1" ht="14.25" thickBot="1" thickTop="1">
      <c r="A153" s="980" t="s">
        <v>121</v>
      </c>
      <c r="B153" s="1646" t="s">
        <v>199</v>
      </c>
      <c r="C153" s="220">
        <f>hivatal9!F24</f>
        <v>57979</v>
      </c>
      <c r="D153" s="221">
        <f>hivatal9!G24</f>
        <v>25568</v>
      </c>
      <c r="E153" s="221">
        <f>SUM(C153:D153)</f>
        <v>83547</v>
      </c>
      <c r="F153" s="449">
        <f>SUM(C153:D153)</f>
        <v>83547</v>
      </c>
      <c r="G153" s="979"/>
      <c r="I153" s="1744"/>
      <c r="J153" s="1680"/>
    </row>
    <row r="154" spans="1:10" s="114" customFormat="1" ht="14.25" thickBot="1" thickTop="1">
      <c r="A154" s="200"/>
      <c r="B154" s="1647" t="s">
        <v>219</v>
      </c>
      <c r="C154" s="222">
        <f>SUM(C152:C153)</f>
        <v>3271748</v>
      </c>
      <c r="D154" s="1313">
        <f>SUM(D152:D153)</f>
        <v>673859</v>
      </c>
      <c r="E154" s="222">
        <f>SUM(E152:E153)</f>
        <v>3945607</v>
      </c>
      <c r="F154" s="449">
        <f>SUM(E152:E153)</f>
        <v>3945607</v>
      </c>
      <c r="G154" s="449">
        <f>hivatal9!K24</f>
        <v>3945607</v>
      </c>
      <c r="H154" s="225">
        <f>F154-G154</f>
        <v>0</v>
      </c>
      <c r="I154" s="1745">
        <f>SUM(I7:I151)</f>
        <v>984200</v>
      </c>
      <c r="J154" s="1682">
        <f>SUM(J8:J153)</f>
        <v>396854</v>
      </c>
    </row>
    <row r="155" spans="1:10" s="268" customFormat="1" ht="12.75">
      <c r="A155" s="981"/>
      <c r="B155" s="1648"/>
      <c r="C155" s="982"/>
      <c r="D155" s="983"/>
      <c r="E155" s="29"/>
      <c r="F155" s="970"/>
      <c r="I155" s="1744"/>
      <c r="J155" s="1677"/>
    </row>
    <row r="156" spans="1:10" s="268" customFormat="1" ht="12.75">
      <c r="A156" s="981"/>
      <c r="B156" s="1648"/>
      <c r="C156" s="982"/>
      <c r="D156" s="983"/>
      <c r="E156" s="29"/>
      <c r="F156" s="970"/>
      <c r="I156" s="1744"/>
      <c r="J156" s="1677"/>
    </row>
    <row r="157" spans="1:10" s="268" customFormat="1" ht="12.75">
      <c r="A157" s="981"/>
      <c r="B157" s="1649"/>
      <c r="C157" s="984"/>
      <c r="D157" s="983"/>
      <c r="E157" s="29"/>
      <c r="F157" s="970"/>
      <c r="I157" s="1744"/>
      <c r="J157" s="1677"/>
    </row>
    <row r="158" spans="1:10" s="268" customFormat="1" ht="12.75">
      <c r="A158" s="981"/>
      <c r="B158" s="1649"/>
      <c r="C158" s="984"/>
      <c r="D158" s="983"/>
      <c r="E158" s="29"/>
      <c r="F158" s="970"/>
      <c r="I158" s="1744"/>
      <c r="J158" s="1677"/>
    </row>
    <row r="159" spans="1:10" s="268" customFormat="1" ht="12.75">
      <c r="A159" s="985"/>
      <c r="B159" s="1650"/>
      <c r="C159" s="985"/>
      <c r="D159" s="986"/>
      <c r="E159" s="987"/>
      <c r="F159" s="970"/>
      <c r="I159" s="1744"/>
      <c r="J159" s="1677"/>
    </row>
    <row r="160" spans="1:10" s="268" customFormat="1" ht="14.25">
      <c r="A160" s="988"/>
      <c r="B160" s="1651"/>
      <c r="C160" s="985"/>
      <c r="D160" s="989"/>
      <c r="E160" s="985"/>
      <c r="F160" s="970"/>
      <c r="I160" s="1744"/>
      <c r="J160" s="1677"/>
    </row>
    <row r="161" spans="1:10" s="268" customFormat="1" ht="12.75">
      <c r="A161" s="990"/>
      <c r="B161" s="1652"/>
      <c r="C161" s="69"/>
      <c r="D161" s="69"/>
      <c r="E161" s="69"/>
      <c r="F161" s="970"/>
      <c r="I161" s="1744"/>
      <c r="J161" s="1677"/>
    </row>
    <row r="162" spans="1:10" s="268" customFormat="1" ht="12.75">
      <c r="A162" s="990"/>
      <c r="B162" s="1652"/>
      <c r="C162" s="69"/>
      <c r="D162" s="69"/>
      <c r="E162" s="69"/>
      <c r="F162" s="970"/>
      <c r="I162" s="1744"/>
      <c r="J162" s="1677"/>
    </row>
    <row r="163" spans="1:10" s="525" customFormat="1" ht="15">
      <c r="A163" s="991"/>
      <c r="B163" s="1651"/>
      <c r="C163" s="30"/>
      <c r="D163" s="30"/>
      <c r="E163" s="30"/>
      <c r="F163" s="992"/>
      <c r="I163" s="1748"/>
      <c r="J163" s="1683"/>
    </row>
    <row r="164" spans="1:6" ht="15">
      <c r="A164" s="981"/>
      <c r="B164" s="1649"/>
      <c r="C164" s="56"/>
      <c r="D164" s="56"/>
      <c r="E164" s="30"/>
      <c r="F164" s="970"/>
    </row>
    <row r="165" spans="1:6" ht="14.25">
      <c r="A165" s="990"/>
      <c r="B165" s="1651"/>
      <c r="C165" s="30"/>
      <c r="D165" s="30"/>
      <c r="E165" s="30"/>
      <c r="F165" s="970"/>
    </row>
    <row r="166" spans="1:6" ht="14.25">
      <c r="A166" s="990"/>
      <c r="B166" s="1649"/>
      <c r="C166" s="30"/>
      <c r="D166" s="30"/>
      <c r="E166" s="30"/>
      <c r="F166" s="970"/>
    </row>
    <row r="167" spans="1:6" ht="14.25">
      <c r="A167" s="990"/>
      <c r="B167" s="1652"/>
      <c r="C167" s="30"/>
      <c r="D167" s="30"/>
      <c r="E167" s="30"/>
      <c r="F167" s="970"/>
    </row>
    <row r="168" spans="1:6" ht="14.25">
      <c r="A168" s="990"/>
      <c r="B168" s="1649"/>
      <c r="C168" s="30"/>
      <c r="D168" s="30"/>
      <c r="E168" s="30"/>
      <c r="F168" s="970"/>
    </row>
    <row r="169" spans="1:6" ht="14.25">
      <c r="A169" s="990"/>
      <c r="B169" s="1649"/>
      <c r="C169" s="30"/>
      <c r="D169" s="30"/>
      <c r="E169" s="30"/>
      <c r="F169" s="970"/>
    </row>
    <row r="170" spans="1:6" ht="14.25">
      <c r="A170" s="990"/>
      <c r="B170" s="1652"/>
      <c r="C170" s="30"/>
      <c r="D170" s="30"/>
      <c r="E170" s="30"/>
      <c r="F170" s="970"/>
    </row>
    <row r="171" spans="1:6" ht="14.25">
      <c r="A171" s="990"/>
      <c r="B171" s="1652"/>
      <c r="C171" s="30"/>
      <c r="D171" s="30"/>
      <c r="E171" s="30"/>
      <c r="F171" s="974"/>
    </row>
    <row r="172" spans="1:6" ht="15">
      <c r="A172" s="981"/>
      <c r="B172" s="1649"/>
      <c r="C172" s="56"/>
      <c r="D172" s="56"/>
      <c r="E172" s="30"/>
      <c r="F172" s="974"/>
    </row>
    <row r="173" spans="1:6" ht="15">
      <c r="A173" s="981"/>
      <c r="B173" s="1649"/>
      <c r="C173" s="56"/>
      <c r="D173" s="56"/>
      <c r="E173" s="30"/>
      <c r="F173" s="974"/>
    </row>
    <row r="174" spans="1:6" ht="15">
      <c r="A174" s="981"/>
      <c r="B174" s="1649"/>
      <c r="C174" s="56"/>
      <c r="D174" s="56"/>
      <c r="E174" s="30"/>
      <c r="F174" s="974"/>
    </row>
    <row r="175" spans="1:6" ht="15">
      <c r="A175" s="981"/>
      <c r="B175" s="1649"/>
      <c r="C175" s="56"/>
      <c r="D175" s="56"/>
      <c r="E175" s="30"/>
      <c r="F175" s="974"/>
    </row>
    <row r="176" spans="1:6" ht="15">
      <c r="A176" s="981"/>
      <c r="B176" s="1649"/>
      <c r="C176" s="56"/>
      <c r="D176" s="56"/>
      <c r="E176" s="30"/>
      <c r="F176" s="974"/>
    </row>
    <row r="177" spans="1:6" ht="15">
      <c r="A177" s="981"/>
      <c r="B177" s="1649"/>
      <c r="C177" s="56"/>
      <c r="D177" s="56"/>
      <c r="E177" s="30"/>
      <c r="F177" s="974"/>
    </row>
    <row r="178" spans="1:6" ht="15">
      <c r="A178" s="981"/>
      <c r="B178" s="1649"/>
      <c r="C178" s="56"/>
      <c r="D178" s="56"/>
      <c r="E178" s="30"/>
      <c r="F178" s="974"/>
    </row>
    <row r="179" spans="1:6" ht="15">
      <c r="A179" s="981"/>
      <c r="B179" s="1649"/>
      <c r="C179" s="56"/>
      <c r="D179" s="56"/>
      <c r="E179" s="30"/>
      <c r="F179" s="974"/>
    </row>
    <row r="180" spans="1:6" ht="15">
      <c r="A180" s="981"/>
      <c r="B180" s="1649"/>
      <c r="C180" s="56"/>
      <c r="D180" s="56"/>
      <c r="E180" s="30"/>
      <c r="F180" s="974"/>
    </row>
    <row r="181" spans="1:6" ht="14.25">
      <c r="A181" s="990"/>
      <c r="B181" s="1652"/>
      <c r="C181" s="30"/>
      <c r="D181" s="30"/>
      <c r="E181" s="30"/>
      <c r="F181" s="974"/>
    </row>
    <row r="182" spans="1:6" ht="15">
      <c r="A182" s="981"/>
      <c r="B182" s="1649"/>
      <c r="C182" s="57"/>
      <c r="D182" s="56"/>
      <c r="E182" s="58"/>
      <c r="F182" s="974"/>
    </row>
    <row r="183" spans="1:6" ht="14.25">
      <c r="A183" s="990"/>
      <c r="B183" s="1652"/>
      <c r="C183" s="30"/>
      <c r="D183" s="30"/>
      <c r="E183" s="30"/>
      <c r="F183" s="970"/>
    </row>
    <row r="184" spans="1:6" ht="12.75">
      <c r="A184" s="993"/>
      <c r="B184" s="1653"/>
      <c r="C184" s="993"/>
      <c r="D184" s="994"/>
      <c r="E184" s="995"/>
      <c r="F184" s="970"/>
    </row>
    <row r="185" spans="1:6" ht="12.75">
      <c r="A185" s="993"/>
      <c r="B185" s="1653"/>
      <c r="C185" s="993"/>
      <c r="D185" s="994"/>
      <c r="E185" s="995"/>
      <c r="F185" s="970"/>
    </row>
    <row r="186" ht="12.75">
      <c r="F186" s="970"/>
    </row>
    <row r="187" ht="12.75">
      <c r="F187" s="970"/>
    </row>
    <row r="188" ht="12.75">
      <c r="F188" s="970"/>
    </row>
    <row r="189" ht="12.75">
      <c r="F189" s="970"/>
    </row>
    <row r="190" ht="12.75">
      <c r="F190" s="970"/>
    </row>
  </sheetData>
  <sheetProtection/>
  <mergeCells count="7">
    <mergeCell ref="I54:I55"/>
    <mergeCell ref="A3:E3"/>
    <mergeCell ref="A4:E4"/>
    <mergeCell ref="A30:A81"/>
    <mergeCell ref="A122:A124"/>
    <mergeCell ref="A126:A132"/>
    <mergeCell ref="A83:A88"/>
  </mergeCells>
  <printOptions horizontalCentered="1" verticalCentered="1"/>
  <pageMargins left="0.31496062992125984" right="0.15748031496062992" top="0.15748031496062992" bottom="0.31496062992125984" header="0.1968503937007874" footer="0.15748031496062992"/>
  <pageSetup fitToHeight="2" horizontalDpi="600" verticalDpi="600" orientation="portrait" paperSize="9" scale="71" r:id="rId1"/>
  <headerFooter alignWithMargins="0">
    <oddHeader>&amp;R8. melléklet a 19/2020.(XI.12.) számú 
Önkormányzati rendelethez
&amp;P. oldal</oddHeader>
    <oddFooter>&amp;L&amp;F&amp;C&amp;D, &amp;T&amp;R&amp;A</oddFooter>
  </headerFooter>
  <rowBreaks count="1" manualBreakCount="1">
    <brk id="82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A43"/>
  <sheetViews>
    <sheetView showGridLines="0" zoomScale="90" zoomScaleNormal="90" zoomScalePageLayoutView="0" workbookViewId="0" topLeftCell="A1">
      <pane xSplit="3" ySplit="9" topLeftCell="D10" activePane="bottomRight" state="frozen"/>
      <selection pane="topLeft" activeCell="M28" sqref="M28"/>
      <selection pane="topRight" activeCell="M28" sqref="M28"/>
      <selection pane="bottomLeft" activeCell="M28" sqref="M28"/>
      <selection pane="bottomRight" activeCell="F1" sqref="F1"/>
    </sheetView>
  </sheetViews>
  <sheetFormatPr defaultColWidth="9.00390625" defaultRowHeight="12.75"/>
  <cols>
    <col min="1" max="1" width="7.125" style="0" customWidth="1"/>
    <col min="2" max="2" width="2.625" style="0" customWidth="1"/>
    <col min="3" max="3" width="96.50390625" style="0" customWidth="1"/>
    <col min="4" max="4" width="14.625" style="0" customWidth="1"/>
    <col min="5" max="5" width="15.50390625" style="18" customWidth="1"/>
    <col min="6" max="6" width="16.00390625" style="0" customWidth="1"/>
    <col min="7" max="7" width="13.125" style="0" customWidth="1"/>
    <col min="9" max="9" width="11.00390625" style="0" customWidth="1"/>
    <col min="11" max="11" width="10.50390625" style="0" customWidth="1"/>
  </cols>
  <sheetData>
    <row r="1" spans="1:6" ht="30.75" customHeight="1">
      <c r="A1" s="1"/>
      <c r="E1" s="27"/>
      <c r="F1" s="109" t="s">
        <v>859</v>
      </c>
    </row>
    <row r="2" spans="1:6" ht="12.75">
      <c r="A2" s="1"/>
      <c r="E2" s="27"/>
      <c r="F2" s="109" t="s">
        <v>93</v>
      </c>
    </row>
    <row r="3" spans="1:4" ht="12" customHeight="1">
      <c r="A3" s="1"/>
      <c r="D3" s="17"/>
    </row>
    <row r="4" spans="1:6" ht="18">
      <c r="A4" s="19" t="s">
        <v>574</v>
      </c>
      <c r="B4" s="19"/>
      <c r="C4" s="6"/>
      <c r="D4" s="19"/>
      <c r="E4" s="51"/>
      <c r="F4" s="52"/>
    </row>
    <row r="5" spans="1:6" ht="15.75">
      <c r="A5" s="19" t="s">
        <v>590</v>
      </c>
      <c r="B5" s="19"/>
      <c r="C5" s="12"/>
      <c r="D5" s="19"/>
      <c r="E5" s="51"/>
      <c r="F5" s="52"/>
    </row>
    <row r="6" spans="1:6" ht="13.5" thickBot="1">
      <c r="A6" s="1"/>
      <c r="D6" s="17"/>
      <c r="F6" s="13" t="s">
        <v>134</v>
      </c>
    </row>
    <row r="7" spans="1:6" s="94" customFormat="1" ht="33" customHeight="1" thickBot="1">
      <c r="A7" s="20" t="s">
        <v>185</v>
      </c>
      <c r="B7" s="21"/>
      <c r="C7" s="70" t="s">
        <v>186</v>
      </c>
      <c r="D7" s="1526" t="s">
        <v>665</v>
      </c>
      <c r="E7" s="1535" t="s">
        <v>130</v>
      </c>
      <c r="F7" s="133" t="s">
        <v>661</v>
      </c>
    </row>
    <row r="8" spans="1:6" ht="13.5" thickBot="1">
      <c r="A8" s="45">
        <v>1</v>
      </c>
      <c r="B8" s="46">
        <v>2</v>
      </c>
      <c r="C8" s="47"/>
      <c r="D8" s="1316">
        <v>3</v>
      </c>
      <c r="E8" s="1317">
        <v>4</v>
      </c>
      <c r="F8" s="1318">
        <v>5</v>
      </c>
    </row>
    <row r="9" spans="1:11" s="522" customFormat="1" ht="24.75" customHeight="1" thickBot="1">
      <c r="A9" s="301" t="s">
        <v>95</v>
      </c>
      <c r="B9" s="1953" t="s">
        <v>187</v>
      </c>
      <c r="C9" s="1954"/>
      <c r="D9" s="549">
        <v>149869</v>
      </c>
      <c r="E9" s="550">
        <f>F9-D9</f>
        <v>131</v>
      </c>
      <c r="F9" s="551">
        <v>150000</v>
      </c>
      <c r="G9" s="523" t="s">
        <v>467</v>
      </c>
      <c r="I9" s="662"/>
      <c r="K9" s="523"/>
    </row>
    <row r="10" spans="1:11" s="526" customFormat="1" ht="18.75" customHeight="1">
      <c r="A10" s="524"/>
      <c r="B10" s="1521" t="s">
        <v>188</v>
      </c>
      <c r="C10" s="531"/>
      <c r="D10" s="1182"/>
      <c r="E10" s="1183"/>
      <c r="F10" s="1184"/>
      <c r="I10" s="94"/>
      <c r="J10" s="527"/>
      <c r="K10" s="528"/>
    </row>
    <row r="11" spans="1:11" s="526" customFormat="1" ht="18.75" customHeight="1">
      <c r="A11" s="524"/>
      <c r="B11" s="531"/>
      <c r="C11" s="139" t="s">
        <v>66</v>
      </c>
      <c r="D11" s="186">
        <v>34786</v>
      </c>
      <c r="E11" s="532"/>
      <c r="F11" s="529">
        <f>SUM(D11:E11)</f>
        <v>34786</v>
      </c>
      <c r="G11" s="530" t="s">
        <v>467</v>
      </c>
      <c r="I11" s="94"/>
      <c r="J11" s="527"/>
      <c r="K11" s="528"/>
    </row>
    <row r="12" spans="1:11" s="526" customFormat="1" ht="18.75" customHeight="1">
      <c r="A12" s="524"/>
      <c r="B12" s="531"/>
      <c r="C12" s="533" t="s">
        <v>141</v>
      </c>
      <c r="D12" s="185">
        <v>13083</v>
      </c>
      <c r="E12" s="532">
        <f>-4280+1200</f>
        <v>-3080</v>
      </c>
      <c r="F12" s="529">
        <f aca="true" t="shared" si="0" ref="F12:F24">SUM(D12:E12)</f>
        <v>10003</v>
      </c>
      <c r="G12" s="530"/>
      <c r="I12" s="94"/>
      <c r="K12" s="528"/>
    </row>
    <row r="13" spans="1:11" s="546" customFormat="1" ht="18.75" customHeight="1">
      <c r="A13" s="524"/>
      <c r="B13" s="1163"/>
      <c r="C13" s="1164" t="s">
        <v>164</v>
      </c>
      <c r="D13" s="185">
        <v>213924</v>
      </c>
      <c r="E13" s="1165">
        <f>-10000-397</f>
        <v>-10397</v>
      </c>
      <c r="F13" s="1166">
        <f t="shared" si="0"/>
        <v>203527</v>
      </c>
      <c r="G13" s="1023"/>
      <c r="I13" s="208"/>
      <c r="K13" s="1024"/>
    </row>
    <row r="14" spans="1:7" s="526" customFormat="1" ht="18.75" customHeight="1">
      <c r="A14" s="524"/>
      <c r="B14" s="531"/>
      <c r="C14" s="139" t="s">
        <v>150</v>
      </c>
      <c r="D14" s="185">
        <v>52154</v>
      </c>
      <c r="E14" s="532">
        <f>71+145+2767</f>
        <v>2983</v>
      </c>
      <c r="F14" s="529">
        <f t="shared" si="0"/>
        <v>55137</v>
      </c>
      <c r="G14" s="530" t="s">
        <v>467</v>
      </c>
    </row>
    <row r="15" spans="1:11" s="526" customFormat="1" ht="18.75" customHeight="1">
      <c r="A15" s="524"/>
      <c r="B15" s="531"/>
      <c r="C15" s="139" t="s">
        <v>313</v>
      </c>
      <c r="D15" s="187">
        <v>760</v>
      </c>
      <c r="E15" s="532"/>
      <c r="F15" s="529">
        <f t="shared" si="0"/>
        <v>760</v>
      </c>
      <c r="G15" s="530" t="s">
        <v>467</v>
      </c>
      <c r="I15" s="94"/>
      <c r="J15" s="94"/>
      <c r="K15" s="94"/>
    </row>
    <row r="16" spans="1:7" s="526" customFormat="1" ht="18.75" customHeight="1">
      <c r="A16" s="524"/>
      <c r="B16" s="531"/>
      <c r="C16" s="139" t="s">
        <v>317</v>
      </c>
      <c r="D16" s="187">
        <v>1441</v>
      </c>
      <c r="E16" s="532">
        <v>-250</v>
      </c>
      <c r="F16" s="529">
        <f t="shared" si="0"/>
        <v>1191</v>
      </c>
      <c r="G16" s="530"/>
    </row>
    <row r="17" spans="1:7" s="526" customFormat="1" ht="18.75" customHeight="1">
      <c r="A17" s="524"/>
      <c r="B17" s="531"/>
      <c r="C17" s="1342" t="s">
        <v>600</v>
      </c>
      <c r="D17" s="187">
        <v>4727</v>
      </c>
      <c r="E17" s="532"/>
      <c r="F17" s="529">
        <f t="shared" si="0"/>
        <v>4727</v>
      </c>
      <c r="G17" s="530"/>
    </row>
    <row r="18" spans="1:7" s="526" customFormat="1" ht="18.75" customHeight="1">
      <c r="A18" s="524"/>
      <c r="B18" s="531"/>
      <c r="C18" s="1342" t="s">
        <v>673</v>
      </c>
      <c r="D18" s="187">
        <v>4781</v>
      </c>
      <c r="E18" s="1527">
        <v>-4781</v>
      </c>
      <c r="F18" s="529">
        <f t="shared" si="0"/>
        <v>0</v>
      </c>
      <c r="G18" s="530"/>
    </row>
    <row r="19" spans="1:7" s="526" customFormat="1" ht="18.75" customHeight="1">
      <c r="A19" s="524"/>
      <c r="B19" s="531"/>
      <c r="C19" s="1528" t="s">
        <v>670</v>
      </c>
      <c r="D19" s="187">
        <v>6231</v>
      </c>
      <c r="E19" s="1527"/>
      <c r="F19" s="529">
        <f t="shared" si="0"/>
        <v>6231</v>
      </c>
      <c r="G19" s="530"/>
    </row>
    <row r="20" spans="1:7" s="526" customFormat="1" ht="18.75" customHeight="1">
      <c r="A20" s="524"/>
      <c r="B20" s="531"/>
      <c r="C20" s="1529" t="s">
        <v>671</v>
      </c>
      <c r="D20" s="187">
        <v>2000</v>
      </c>
      <c r="E20" s="1527"/>
      <c r="F20" s="529">
        <f t="shared" si="0"/>
        <v>2000</v>
      </c>
      <c r="G20" s="530"/>
    </row>
    <row r="21" spans="1:7" s="526" customFormat="1" ht="18.75" customHeight="1">
      <c r="A21" s="524"/>
      <c r="B21" s="531"/>
      <c r="C21" s="1530" t="s">
        <v>672</v>
      </c>
      <c r="D21" s="187">
        <v>3328</v>
      </c>
      <c r="E21" s="1527"/>
      <c r="F21" s="529">
        <f t="shared" si="0"/>
        <v>3328</v>
      </c>
      <c r="G21" s="530"/>
    </row>
    <row r="22" spans="1:7" s="526" customFormat="1" ht="18.75" customHeight="1">
      <c r="A22" s="524"/>
      <c r="B22" s="531"/>
      <c r="C22" s="139" t="s">
        <v>78</v>
      </c>
      <c r="D22" s="187">
        <v>600</v>
      </c>
      <c r="E22" s="1527"/>
      <c r="F22" s="529">
        <f t="shared" si="0"/>
        <v>600</v>
      </c>
      <c r="G22" s="530"/>
    </row>
    <row r="23" spans="1:7" s="526" customFormat="1" ht="18.75" customHeight="1">
      <c r="A23" s="524"/>
      <c r="B23" s="531"/>
      <c r="C23" s="139" t="s">
        <v>65</v>
      </c>
      <c r="D23" s="187">
        <v>6500</v>
      </c>
      <c r="E23" s="1527"/>
      <c r="F23" s="529">
        <f t="shared" si="0"/>
        <v>6500</v>
      </c>
      <c r="G23" s="530"/>
    </row>
    <row r="24" spans="1:7" s="526" customFormat="1" ht="18.75" customHeight="1">
      <c r="A24" s="524"/>
      <c r="B24" s="531"/>
      <c r="C24" s="1342" t="s">
        <v>662</v>
      </c>
      <c r="D24" s="185">
        <v>203276</v>
      </c>
      <c r="E24" s="1527">
        <f>-88080-20000</f>
        <v>-108080</v>
      </c>
      <c r="F24" s="529">
        <f t="shared" si="0"/>
        <v>95196</v>
      </c>
      <c r="G24" s="530"/>
    </row>
    <row r="25" spans="1:7" s="526" customFormat="1" ht="18.75" customHeight="1">
      <c r="A25" s="524"/>
      <c r="B25" s="531"/>
      <c r="C25" s="1342" t="s">
        <v>758</v>
      </c>
      <c r="D25" s="185">
        <v>539967</v>
      </c>
      <c r="E25" s="1527">
        <v>32454</v>
      </c>
      <c r="F25" s="529">
        <f>SUM(D25:E25)</f>
        <v>572421</v>
      </c>
      <c r="G25" s="530"/>
    </row>
    <row r="26" spans="1:7" s="526" customFormat="1" ht="18.75" customHeight="1">
      <c r="A26" s="524"/>
      <c r="B26" s="531"/>
      <c r="C26" s="1724" t="s">
        <v>759</v>
      </c>
      <c r="D26" s="185">
        <v>17850</v>
      </c>
      <c r="E26" s="1527"/>
      <c r="F26" s="1723">
        <f>SUM(D26:E26)</f>
        <v>17850</v>
      </c>
      <c r="G26" s="530"/>
    </row>
    <row r="27" spans="1:7" s="526" customFormat="1" ht="18.75" customHeight="1" thickBot="1">
      <c r="A27" s="524"/>
      <c r="B27" s="531"/>
      <c r="C27" s="1720" t="s">
        <v>809</v>
      </c>
      <c r="D27" s="1721"/>
      <c r="E27" s="1722">
        <v>83612</v>
      </c>
      <c r="F27" s="1723">
        <f>SUM(D27:E27)</f>
        <v>83612</v>
      </c>
      <c r="G27" s="530"/>
    </row>
    <row r="28" spans="1:7" s="546" customFormat="1" ht="18.75" customHeight="1" thickBot="1">
      <c r="A28" s="547" t="s">
        <v>57</v>
      </c>
      <c r="B28" s="1955" t="s">
        <v>318</v>
      </c>
      <c r="C28" s="1956"/>
      <c r="D28" s="1694">
        <f>SUM(D11:D27)</f>
        <v>1105408</v>
      </c>
      <c r="E28" s="1533">
        <f>SUM(E11:E27)</f>
        <v>-7539</v>
      </c>
      <c r="F28" s="1695">
        <f>SUM(F11:F27)</f>
        <v>1097869</v>
      </c>
      <c r="G28" s="548">
        <f>SUM(D28:E28)</f>
        <v>1097869</v>
      </c>
    </row>
    <row r="29" spans="1:11" s="526" customFormat="1" ht="18.75" customHeight="1">
      <c r="A29" s="524"/>
      <c r="B29" s="531"/>
      <c r="C29" s="533" t="s">
        <v>534</v>
      </c>
      <c r="D29" s="1517">
        <v>100100</v>
      </c>
      <c r="E29" s="1518">
        <v>-29470</v>
      </c>
      <c r="F29" s="1417">
        <f aca="true" t="shared" si="1" ref="F29:F35">SUM(D29:E29)</f>
        <v>70630</v>
      </c>
      <c r="G29" s="530"/>
      <c r="I29" s="729"/>
      <c r="K29" s="528"/>
    </row>
    <row r="30" spans="1:11" s="526" customFormat="1" ht="18.75" customHeight="1">
      <c r="A30" s="524"/>
      <c r="B30" s="531"/>
      <c r="C30" s="1519" t="s">
        <v>657</v>
      </c>
      <c r="D30" s="1517">
        <v>29677</v>
      </c>
      <c r="E30" s="1518">
        <v>-29677</v>
      </c>
      <c r="F30" s="529">
        <f t="shared" si="1"/>
        <v>0</v>
      </c>
      <c r="G30" s="530"/>
      <c r="I30" s="729"/>
      <c r="K30" s="528"/>
    </row>
    <row r="31" spans="1:11" s="526" customFormat="1" ht="18.75" customHeight="1">
      <c r="A31" s="524"/>
      <c r="B31" s="531"/>
      <c r="C31" s="533" t="s">
        <v>663</v>
      </c>
      <c r="D31" s="1531">
        <v>321647</v>
      </c>
      <c r="E31" s="532">
        <f>-166383-1000-760-1611</f>
        <v>-169754</v>
      </c>
      <c r="F31" s="529">
        <f t="shared" si="1"/>
        <v>151893</v>
      </c>
      <c r="G31" s="530"/>
      <c r="I31" s="729"/>
      <c r="K31" s="528"/>
    </row>
    <row r="32" spans="1:11" s="526" customFormat="1" ht="18.75" customHeight="1">
      <c r="A32" s="524"/>
      <c r="B32" s="531"/>
      <c r="C32" s="533" t="s">
        <v>500</v>
      </c>
      <c r="D32" s="1531">
        <v>15700</v>
      </c>
      <c r="E32" s="532"/>
      <c r="F32" s="529">
        <f t="shared" si="1"/>
        <v>15700</v>
      </c>
      <c r="G32" s="530"/>
      <c r="I32" s="729"/>
      <c r="K32" s="528"/>
    </row>
    <row r="33" spans="1:11" s="526" customFormat="1" ht="18.75" customHeight="1">
      <c r="A33" s="524"/>
      <c r="B33" s="531"/>
      <c r="C33" s="533" t="s">
        <v>432</v>
      </c>
      <c r="D33" s="1531">
        <v>150000</v>
      </c>
      <c r="E33" s="532"/>
      <c r="F33" s="529">
        <f t="shared" si="1"/>
        <v>150000</v>
      </c>
      <c r="G33" s="530"/>
      <c r="I33" s="729"/>
      <c r="K33" s="528"/>
    </row>
    <row r="34" spans="1:11" s="526" customFormat="1" ht="18.75" customHeight="1">
      <c r="A34" s="524"/>
      <c r="B34" s="531"/>
      <c r="C34" s="533" t="s">
        <v>674</v>
      </c>
      <c r="D34" s="1531">
        <v>3000</v>
      </c>
      <c r="E34" s="532"/>
      <c r="F34" s="529">
        <f t="shared" si="1"/>
        <v>3000</v>
      </c>
      <c r="G34" s="530"/>
      <c r="I34" s="729"/>
      <c r="K34" s="528"/>
    </row>
    <row r="35" spans="1:11" s="526" customFormat="1" ht="18.75" customHeight="1" thickBot="1">
      <c r="A35" s="524"/>
      <c r="B35" s="531"/>
      <c r="C35" s="533" t="s">
        <v>799</v>
      </c>
      <c r="D35" s="1699">
        <v>30000</v>
      </c>
      <c r="E35" s="1700"/>
      <c r="F35" s="529">
        <f t="shared" si="1"/>
        <v>30000</v>
      </c>
      <c r="G35" s="530"/>
      <c r="I35" s="729"/>
      <c r="K35" s="528"/>
    </row>
    <row r="36" spans="1:7" s="526" customFormat="1" ht="18.75" customHeight="1" thickBot="1">
      <c r="A36" s="547" t="s">
        <v>58</v>
      </c>
      <c r="B36" s="1957" t="s">
        <v>319</v>
      </c>
      <c r="C36" s="1958"/>
      <c r="D36" s="1185">
        <f>SUM(D29:D35)</f>
        <v>650124</v>
      </c>
      <c r="E36" s="1534">
        <f>SUM(E29:E35)</f>
        <v>-228901</v>
      </c>
      <c r="F36" s="1532">
        <f>SUM(F29:F35)</f>
        <v>421223</v>
      </c>
      <c r="G36" s="548">
        <f>SUM(D36:E36)</f>
        <v>421223</v>
      </c>
    </row>
    <row r="37" spans="1:11" s="94" customFormat="1" ht="24.75" customHeight="1" thickBot="1" thickTop="1">
      <c r="A37" s="534" t="s">
        <v>102</v>
      </c>
      <c r="B37" s="1959" t="s">
        <v>189</v>
      </c>
      <c r="C37" s="1960"/>
      <c r="D37" s="1167">
        <f>D28+D36</f>
        <v>1755532</v>
      </c>
      <c r="E37" s="927">
        <f>E28+E36</f>
        <v>-236440</v>
      </c>
      <c r="F37" s="926">
        <f>F28+F36</f>
        <v>1519092</v>
      </c>
      <c r="G37" s="111">
        <f>SUM(D37:E37)</f>
        <v>1519092</v>
      </c>
      <c r="I37" s="526"/>
      <c r="J37" s="526"/>
      <c r="K37" s="526"/>
    </row>
    <row r="38" spans="1:157" s="94" customFormat="1" ht="23.25" customHeight="1" thickBot="1" thickTop="1">
      <c r="A38" s="535" t="s">
        <v>190</v>
      </c>
      <c r="B38" s="536"/>
      <c r="C38" s="536"/>
      <c r="D38" s="537">
        <f>SUM(D9+D37)</f>
        <v>1905401</v>
      </c>
      <c r="E38" s="538">
        <f>SUM(E9,E37)</f>
        <v>-236309</v>
      </c>
      <c r="F38" s="539">
        <f>SUM(F9,F37)</f>
        <v>1669092</v>
      </c>
      <c r="G38" s="940">
        <f>+hivatal9!K22-tartalék!F38</f>
        <v>0</v>
      </c>
      <c r="H38" s="233"/>
      <c r="I38" s="526"/>
      <c r="J38" s="526"/>
      <c r="K38" s="526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</row>
    <row r="39" spans="9:11" ht="15">
      <c r="I39" s="71"/>
      <c r="J39" s="71"/>
      <c r="K39" s="71"/>
    </row>
    <row r="40" spans="6:11" ht="15">
      <c r="F40" s="18"/>
      <c r="I40" s="71"/>
      <c r="J40" s="71"/>
      <c r="K40" s="71"/>
    </row>
    <row r="41" spans="6:11" ht="15">
      <c r="F41" s="18"/>
      <c r="I41" s="117"/>
      <c r="J41" s="71"/>
      <c r="K41" s="71"/>
    </row>
    <row r="42" spans="9:11" ht="12.75">
      <c r="I42" s="18"/>
      <c r="K42" s="18"/>
    </row>
    <row r="43" spans="9:11" ht="12.75">
      <c r="I43" s="31"/>
      <c r="J43" s="31"/>
      <c r="K43" s="31"/>
    </row>
  </sheetData>
  <sheetProtection/>
  <mergeCells count="4">
    <mergeCell ref="B9:C9"/>
    <mergeCell ref="B28:C28"/>
    <mergeCell ref="B36:C36"/>
    <mergeCell ref="B37:C37"/>
  </mergeCells>
  <printOptions horizontalCentered="1" verticalCentered="1"/>
  <pageMargins left="0.41" right="0.17" top="0.5905511811023623" bottom="3.582677165354331" header="0.5118110236220472" footer="0.5118110236220472"/>
  <pageSetup horizontalDpi="600" verticalDpi="600" orientation="portrait" paperSize="9" scale="71" r:id="rId1"/>
  <headerFooter alignWithMargins="0">
    <oddFooter>&amp;L&amp;F&amp;C&amp;D, &amp;T&amp;R&amp;A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1" sqref="O1"/>
    </sheetView>
  </sheetViews>
  <sheetFormatPr defaultColWidth="10.625" defaultRowHeight="12.75"/>
  <cols>
    <col min="1" max="1" width="6.50390625" style="1482" customWidth="1"/>
    <col min="2" max="2" width="44.50390625" style="1486" customWidth="1"/>
    <col min="3" max="3" width="37.625" style="1487" customWidth="1"/>
    <col min="4" max="5" width="14.125" style="1487" customWidth="1"/>
    <col min="6" max="6" width="15.50390625" style="1487" customWidth="1"/>
    <col min="7" max="7" width="15.00390625" style="1482" customWidth="1"/>
    <col min="8" max="8" width="12.875" style="1482" customWidth="1"/>
    <col min="9" max="9" width="13.875" style="1482" customWidth="1"/>
    <col min="10" max="10" width="12.875" style="1482" customWidth="1"/>
    <col min="11" max="11" width="12.00390625" style="1482" customWidth="1"/>
    <col min="12" max="12" width="13.00390625" style="1482" customWidth="1"/>
    <col min="13" max="13" width="13.50390625" style="1482" customWidth="1"/>
    <col min="14" max="14" width="15.50390625" style="1482" customWidth="1"/>
    <col min="15" max="15" width="12.50390625" style="1482" bestFit="1" customWidth="1"/>
    <col min="16" max="16384" width="10.625" style="1482" customWidth="1"/>
  </cols>
  <sheetData>
    <row r="1" spans="2:15" s="140" customFormat="1" ht="15.75">
      <c r="B1" s="188"/>
      <c r="C1" s="189"/>
      <c r="D1" s="190"/>
      <c r="E1" s="191"/>
      <c r="F1" s="192"/>
      <c r="H1" s="192"/>
      <c r="I1" s="193"/>
      <c r="K1" s="192"/>
      <c r="L1" s="193"/>
      <c r="N1" s="192"/>
      <c r="O1" s="193" t="s">
        <v>860</v>
      </c>
    </row>
    <row r="2" spans="2:15" s="140" customFormat="1" ht="12.75">
      <c r="B2" s="188"/>
      <c r="C2" s="189"/>
      <c r="D2" s="190"/>
      <c r="E2" s="191"/>
      <c r="F2" s="199"/>
      <c r="G2" s="199"/>
      <c r="H2" s="199"/>
      <c r="I2" s="199"/>
      <c r="K2" s="199"/>
      <c r="L2" s="199"/>
      <c r="N2" s="199"/>
      <c r="O2" s="199" t="s">
        <v>93</v>
      </c>
    </row>
    <row r="3" spans="2:15" s="140" customFormat="1" ht="12.75">
      <c r="B3" s="188"/>
      <c r="C3" s="194"/>
      <c r="D3" s="195"/>
      <c r="E3" s="196"/>
      <c r="F3" s="197"/>
      <c r="G3" s="141"/>
      <c r="L3" s="1421"/>
      <c r="O3" s="1421" t="s">
        <v>123</v>
      </c>
    </row>
    <row r="4" spans="1:15" s="140" customFormat="1" ht="20.25">
      <c r="A4" s="1961" t="s">
        <v>574</v>
      </c>
      <c r="B4" s="1961"/>
      <c r="C4" s="1961"/>
      <c r="D4" s="1961"/>
      <c r="E4" s="1961"/>
      <c r="F4" s="1961"/>
      <c r="G4" s="1961"/>
      <c r="H4" s="1961"/>
      <c r="I4" s="1961"/>
      <c r="J4" s="1961"/>
      <c r="K4" s="1961"/>
      <c r="L4" s="1961"/>
      <c r="M4" s="1961"/>
      <c r="N4" s="1961"/>
      <c r="O4" s="1961"/>
    </row>
    <row r="5" spans="1:15" s="143" customFormat="1" ht="23.25" customHeight="1">
      <c r="A5" s="1962" t="s">
        <v>638</v>
      </c>
      <c r="B5" s="1962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</row>
    <row r="6" spans="2:15" s="143" customFormat="1" ht="25.5" customHeight="1" thickBot="1">
      <c r="B6" s="198"/>
      <c r="C6" s="1227"/>
      <c r="D6" s="1227"/>
      <c r="E6" s="1227"/>
      <c r="F6" s="1227"/>
      <c r="G6" s="142"/>
      <c r="L6" s="130"/>
      <c r="M6" s="130"/>
      <c r="N6" s="130"/>
      <c r="O6" s="130" t="s">
        <v>134</v>
      </c>
    </row>
    <row r="7" spans="1:15" s="1422" customFormat="1" ht="26.25" customHeight="1" thickBot="1">
      <c r="A7" s="1963" t="s">
        <v>185</v>
      </c>
      <c r="B7" s="1965" t="s">
        <v>330</v>
      </c>
      <c r="C7" s="1967" t="s">
        <v>331</v>
      </c>
      <c r="D7" s="1969" t="s">
        <v>433</v>
      </c>
      <c r="E7" s="1970"/>
      <c r="F7" s="1971"/>
      <c r="G7" s="1969" t="s">
        <v>532</v>
      </c>
      <c r="H7" s="1970"/>
      <c r="I7" s="1971"/>
      <c r="J7" s="1969" t="s">
        <v>591</v>
      </c>
      <c r="K7" s="1970"/>
      <c r="L7" s="1971"/>
      <c r="M7" s="1969" t="s">
        <v>639</v>
      </c>
      <c r="N7" s="1970"/>
      <c r="O7" s="1971"/>
    </row>
    <row r="8" spans="1:15" s="1422" customFormat="1" ht="39" thickBot="1">
      <c r="A8" s="1964"/>
      <c r="B8" s="1966"/>
      <c r="C8" s="1968"/>
      <c r="D8" s="1423" t="s">
        <v>434</v>
      </c>
      <c r="E8" s="1424" t="s">
        <v>332</v>
      </c>
      <c r="F8" s="1425" t="s">
        <v>333</v>
      </c>
      <c r="G8" s="1426" t="s">
        <v>334</v>
      </c>
      <c r="H8" s="1424" t="s">
        <v>332</v>
      </c>
      <c r="I8" s="1425" t="s">
        <v>333</v>
      </c>
      <c r="J8" s="1427" t="s">
        <v>334</v>
      </c>
      <c r="K8" s="1424" t="s">
        <v>332</v>
      </c>
      <c r="L8" s="1425" t="s">
        <v>333</v>
      </c>
      <c r="M8" s="1427" t="s">
        <v>334</v>
      </c>
      <c r="N8" s="1424" t="s">
        <v>332</v>
      </c>
      <c r="O8" s="1425" t="s">
        <v>333</v>
      </c>
    </row>
    <row r="9" spans="1:15" s="1422" customFormat="1" ht="13.5" thickBot="1">
      <c r="A9" s="1428" t="s">
        <v>112</v>
      </c>
      <c r="B9" s="1429" t="s">
        <v>114</v>
      </c>
      <c r="C9" s="1430" t="s">
        <v>115</v>
      </c>
      <c r="D9" s="1431" t="s">
        <v>117</v>
      </c>
      <c r="E9" s="1432" t="s">
        <v>53</v>
      </c>
      <c r="F9" s="1433" t="s">
        <v>54</v>
      </c>
      <c r="G9" s="1434" t="s">
        <v>118</v>
      </c>
      <c r="H9" s="1429" t="s">
        <v>119</v>
      </c>
      <c r="I9" s="1433" t="s">
        <v>56</v>
      </c>
      <c r="J9" s="1431" t="s">
        <v>435</v>
      </c>
      <c r="K9" s="1432" t="s">
        <v>436</v>
      </c>
      <c r="L9" s="1433" t="s">
        <v>437</v>
      </c>
      <c r="M9" s="1430" t="s">
        <v>640</v>
      </c>
      <c r="N9" s="1432" t="s">
        <v>641</v>
      </c>
      <c r="O9" s="1433" t="s">
        <v>642</v>
      </c>
    </row>
    <row r="10" spans="1:15" s="1422" customFormat="1" ht="99.75">
      <c r="A10" s="1435">
        <v>1</v>
      </c>
      <c r="B10" s="1436" t="s">
        <v>643</v>
      </c>
      <c r="C10" s="1437" t="s">
        <v>521</v>
      </c>
      <c r="D10" s="1438">
        <f>SUM(E10:F10)</f>
        <v>258993</v>
      </c>
      <c r="E10" s="1439">
        <v>108384</v>
      </c>
      <c r="F10" s="1440">
        <v>150609</v>
      </c>
      <c r="G10" s="1441">
        <f>SUM(H10:I10)</f>
        <v>37313</v>
      </c>
      <c r="H10" s="1442">
        <v>31129</v>
      </c>
      <c r="I10" s="1443">
        <v>6184</v>
      </c>
      <c r="J10" s="1444">
        <f>SUM(K10:L10)</f>
        <v>0</v>
      </c>
      <c r="K10" s="1445"/>
      <c r="L10" s="1443"/>
      <c r="M10" s="1444">
        <f>SUM(N10:O10)</f>
        <v>0</v>
      </c>
      <c r="N10" s="1445"/>
      <c r="O10" s="1443"/>
    </row>
    <row r="11" spans="1:15" s="1422" customFormat="1" ht="26.25" customHeight="1">
      <c r="A11" s="1446">
        <f>A10+1</f>
        <v>2</v>
      </c>
      <c r="B11" s="1447" t="s">
        <v>512</v>
      </c>
      <c r="C11" s="1448" t="s">
        <v>513</v>
      </c>
      <c r="D11" s="1449">
        <f>SUM(E11:F11)</f>
        <v>142981</v>
      </c>
      <c r="E11" s="1442">
        <v>135038</v>
      </c>
      <c r="F11" s="1440">
        <v>7943</v>
      </c>
      <c r="G11" s="1441">
        <f>SUM(H11:I11)</f>
        <v>446</v>
      </c>
      <c r="H11" s="1488"/>
      <c r="I11" s="1443">
        <v>446</v>
      </c>
      <c r="J11" s="1444"/>
      <c r="K11" s="1445"/>
      <c r="L11" s="1443"/>
      <c r="M11" s="1444"/>
      <c r="N11" s="1445"/>
      <c r="O11" s="1443"/>
    </row>
    <row r="12" spans="1:15" s="1422" customFormat="1" ht="42.75">
      <c r="A12" s="1446">
        <f>A11+1</f>
        <v>3</v>
      </c>
      <c r="B12" s="1447" t="s">
        <v>575</v>
      </c>
      <c r="C12" s="1493" t="s">
        <v>644</v>
      </c>
      <c r="D12" s="1449">
        <f>SUM(E12:F12)</f>
        <v>6202</v>
      </c>
      <c r="E12" s="1450">
        <v>3260</v>
      </c>
      <c r="F12" s="1442">
        <v>2942</v>
      </c>
      <c r="G12" s="1441">
        <f>SUM(H12:I12)</f>
        <v>2942</v>
      </c>
      <c r="H12" s="1451"/>
      <c r="I12" s="1453">
        <v>2942</v>
      </c>
      <c r="J12" s="1444">
        <f>SUM(K12:L12)</f>
        <v>0</v>
      </c>
      <c r="K12" s="1452"/>
      <c r="L12" s="1443"/>
      <c r="M12" s="1444">
        <f>SUM(N12:O12)</f>
        <v>0</v>
      </c>
      <c r="N12" s="1452"/>
      <c r="O12" s="1443"/>
    </row>
    <row r="13" spans="1:15" s="1422" customFormat="1" ht="57">
      <c r="A13" s="1446">
        <f>A12+1</f>
        <v>4</v>
      </c>
      <c r="B13" s="1454" t="s">
        <v>645</v>
      </c>
      <c r="C13" s="1455" t="s">
        <v>646</v>
      </c>
      <c r="D13" s="1449">
        <f>SUM(E13:F13)</f>
        <v>16000</v>
      </c>
      <c r="E13" s="1452">
        <v>11200</v>
      </c>
      <c r="F13" s="1489">
        <v>4800</v>
      </c>
      <c r="G13" s="1449">
        <f>SUM(H13:I13)</f>
        <v>15600</v>
      </c>
      <c r="H13" s="1490">
        <v>11200</v>
      </c>
      <c r="I13" s="1491">
        <v>4400</v>
      </c>
      <c r="J13" s="1444">
        <f>SUM(K13:L13)</f>
        <v>0</v>
      </c>
      <c r="K13" s="1452"/>
      <c r="L13" s="1453"/>
      <c r="M13" s="1444">
        <f>SUM(N13:O13)</f>
        <v>0</v>
      </c>
      <c r="N13" s="1452"/>
      <c r="O13" s="1453"/>
    </row>
    <row r="14" spans="1:17" s="1422" customFormat="1" ht="50.25" customHeight="1" thickBot="1">
      <c r="A14" s="1446">
        <f>A13+1</f>
        <v>5</v>
      </c>
      <c r="B14" s="1454" t="s">
        <v>647</v>
      </c>
      <c r="C14" s="1455" t="s">
        <v>648</v>
      </c>
      <c r="D14" s="1456">
        <f>SUM(E14:F14)</f>
        <v>20000</v>
      </c>
      <c r="E14" s="1457">
        <v>20000</v>
      </c>
      <c r="F14" s="1458">
        <v>0</v>
      </c>
      <c r="G14" s="1441">
        <f>SUM(H14:I14)</f>
        <v>12122</v>
      </c>
      <c r="H14" s="1459">
        <v>12122</v>
      </c>
      <c r="I14" s="1460">
        <v>0</v>
      </c>
      <c r="J14" s="1444">
        <f>SUM(K14:L14)</f>
        <v>7878</v>
      </c>
      <c r="K14" s="1461">
        <v>7878</v>
      </c>
      <c r="L14" s="1460">
        <v>0</v>
      </c>
      <c r="M14" s="1444">
        <f>SUM(N14:O14)</f>
        <v>0</v>
      </c>
      <c r="N14" s="1461"/>
      <c r="O14" s="1460"/>
      <c r="Q14" s="1462"/>
    </row>
    <row r="15" spans="1:15" s="1422" customFormat="1" ht="18" customHeight="1" thickBot="1">
      <c r="A15" s="1463" t="s">
        <v>95</v>
      </c>
      <c r="B15" s="1464" t="s">
        <v>335</v>
      </c>
      <c r="C15" s="1465"/>
      <c r="D15" s="1466">
        <f>SUM(D10:D14)</f>
        <v>444176</v>
      </c>
      <c r="E15" s="1466">
        <f aca="true" t="shared" si="0" ref="E15:O15">SUM(E10:E14)</f>
        <v>277882</v>
      </c>
      <c r="F15" s="1466">
        <f t="shared" si="0"/>
        <v>166294</v>
      </c>
      <c r="G15" s="1466">
        <f t="shared" si="0"/>
        <v>68423</v>
      </c>
      <c r="H15" s="1466">
        <f t="shared" si="0"/>
        <v>54451</v>
      </c>
      <c r="I15" s="1466">
        <f t="shared" si="0"/>
        <v>13972</v>
      </c>
      <c r="J15" s="1466">
        <f t="shared" si="0"/>
        <v>7878</v>
      </c>
      <c r="K15" s="1466">
        <f t="shared" si="0"/>
        <v>7878</v>
      </c>
      <c r="L15" s="1466">
        <f t="shared" si="0"/>
        <v>0</v>
      </c>
      <c r="M15" s="1466">
        <f t="shared" si="0"/>
        <v>0</v>
      </c>
      <c r="N15" s="1466">
        <f t="shared" si="0"/>
        <v>0</v>
      </c>
      <c r="O15" s="1467">
        <f t="shared" si="0"/>
        <v>0</v>
      </c>
    </row>
    <row r="16" spans="1:15" s="1422" customFormat="1" ht="18" customHeight="1">
      <c r="A16" s="1435">
        <v>1</v>
      </c>
      <c r="B16" s="1468"/>
      <c r="C16" s="1448"/>
      <c r="D16" s="1438">
        <f>SUM(E16:F16)</f>
        <v>0</v>
      </c>
      <c r="E16" s="1439"/>
      <c r="F16" s="1469"/>
      <c r="G16" s="1438">
        <f>SUM(H16:I16)</f>
        <v>0</v>
      </c>
      <c r="H16" s="1439"/>
      <c r="I16" s="1443"/>
      <c r="J16" s="1444">
        <f>SUM(K16:L16)</f>
        <v>0</v>
      </c>
      <c r="K16" s="1439"/>
      <c r="L16" s="1443"/>
      <c r="M16" s="1444">
        <f>SUM(N16:O16)</f>
        <v>0</v>
      </c>
      <c r="N16" s="1445"/>
      <c r="O16" s="1443"/>
    </row>
    <row r="17" spans="1:15" s="1422" customFormat="1" ht="18" customHeight="1" thickBot="1">
      <c r="A17" s="1435">
        <f>A16+1</f>
        <v>2</v>
      </c>
      <c r="B17" s="1470"/>
      <c r="C17" s="1471"/>
      <c r="D17" s="1456">
        <f>SUM(E17:F17)</f>
        <v>0</v>
      </c>
      <c r="E17" s="1452"/>
      <c r="F17" s="1472"/>
      <c r="G17" s="1438">
        <f>SUM(H17:I17)</f>
        <v>0</v>
      </c>
      <c r="H17" s="1452"/>
      <c r="I17" s="1453"/>
      <c r="J17" s="1444">
        <f>SUM(K17:L17)</f>
        <v>0</v>
      </c>
      <c r="K17" s="1452"/>
      <c r="L17" s="1443"/>
      <c r="M17" s="1444">
        <f>SUM(N17:O17)</f>
        <v>0</v>
      </c>
      <c r="N17" s="1452"/>
      <c r="O17" s="1443"/>
    </row>
    <row r="18" spans="1:15" s="1422" customFormat="1" ht="18" customHeight="1" thickBot="1">
      <c r="A18" s="1463" t="s">
        <v>102</v>
      </c>
      <c r="B18" s="1464" t="s">
        <v>336</v>
      </c>
      <c r="C18" s="1465"/>
      <c r="D18" s="1466">
        <f aca="true" t="shared" si="1" ref="D18:O18">SUM(D16:D17)</f>
        <v>0</v>
      </c>
      <c r="E18" s="1705">
        <f t="shared" si="1"/>
        <v>0</v>
      </c>
      <c r="F18" s="1703">
        <f t="shared" si="1"/>
        <v>0</v>
      </c>
      <c r="G18" s="1466">
        <f t="shared" si="1"/>
        <v>0</v>
      </c>
      <c r="H18" s="1705">
        <f t="shared" si="1"/>
        <v>0</v>
      </c>
      <c r="I18" s="1703">
        <f t="shared" si="1"/>
        <v>0</v>
      </c>
      <c r="J18" s="1466">
        <f t="shared" si="1"/>
        <v>0</v>
      </c>
      <c r="K18" s="1705">
        <f t="shared" si="1"/>
        <v>0</v>
      </c>
      <c r="L18" s="1707">
        <f t="shared" si="1"/>
        <v>0</v>
      </c>
      <c r="M18" s="1466">
        <f t="shared" si="1"/>
        <v>0</v>
      </c>
      <c r="N18" s="1705">
        <f t="shared" si="1"/>
        <v>0</v>
      </c>
      <c r="O18" s="1707">
        <f t="shared" si="1"/>
        <v>0</v>
      </c>
    </row>
    <row r="19" spans="1:17" s="1422" customFormat="1" ht="28.5">
      <c r="A19" s="1435">
        <v>1</v>
      </c>
      <c r="B19" s="1473" t="s">
        <v>649</v>
      </c>
      <c r="C19" s="1474" t="s">
        <v>650</v>
      </c>
      <c r="D19" s="1456">
        <f aca="true" t="shared" si="2" ref="D19:D27">SUM(E19:F19)</f>
        <v>403854</v>
      </c>
      <c r="E19" s="1475">
        <v>200000</v>
      </c>
      <c r="F19" s="1476">
        <f>199454+4400</f>
        <v>203854</v>
      </c>
      <c r="G19" s="1438">
        <f aca="true" t="shared" si="3" ref="G19:G27">SUM(H19:I19)</f>
        <v>328966</v>
      </c>
      <c r="H19" s="1475">
        <v>100000</v>
      </c>
      <c r="I19" s="1453">
        <f>303854-74888</f>
        <v>228966</v>
      </c>
      <c r="J19" s="1444">
        <f aca="true" t="shared" si="4" ref="J19:J27">SUM(K19:L19)</f>
        <v>0</v>
      </c>
      <c r="K19" s="1492"/>
      <c r="L19" s="1443"/>
      <c r="M19" s="1444">
        <f aca="true" t="shared" si="5" ref="M19:M27">SUM(N19:O19)</f>
        <v>0</v>
      </c>
      <c r="N19" s="1475"/>
      <c r="O19" s="1443"/>
      <c r="P19" s="1462"/>
      <c r="Q19" s="1462"/>
    </row>
    <row r="20" spans="1:15" s="1422" customFormat="1" ht="17.25" customHeight="1">
      <c r="A20" s="1435">
        <v>2</v>
      </c>
      <c r="B20" s="1477" t="s">
        <v>651</v>
      </c>
      <c r="C20" s="1702" t="s">
        <v>801</v>
      </c>
      <c r="D20" s="1456">
        <f t="shared" si="2"/>
        <v>60000</v>
      </c>
      <c r="E20" s="1478">
        <v>30000</v>
      </c>
      <c r="F20" s="1479">
        <v>30000</v>
      </c>
      <c r="G20" s="1438">
        <f t="shared" si="3"/>
        <v>60000</v>
      </c>
      <c r="H20" s="1478">
        <v>30000</v>
      </c>
      <c r="I20" s="1443">
        <v>30000</v>
      </c>
      <c r="J20" s="1444">
        <f t="shared" si="4"/>
        <v>0</v>
      </c>
      <c r="K20" s="1475"/>
      <c r="L20" s="1443"/>
      <c r="M20" s="1444">
        <f t="shared" si="5"/>
        <v>0</v>
      </c>
      <c r="N20" s="1475"/>
      <c r="O20" s="1443"/>
    </row>
    <row r="21" spans="1:15" s="1422" customFormat="1" ht="28.5">
      <c r="A21" s="1435">
        <v>3</v>
      </c>
      <c r="B21" s="1473" t="s">
        <v>652</v>
      </c>
      <c r="C21" s="1448" t="s">
        <v>653</v>
      </c>
      <c r="D21" s="1456">
        <f t="shared" si="2"/>
        <v>41452</v>
      </c>
      <c r="E21" s="1475">
        <v>10000</v>
      </c>
      <c r="F21" s="1476">
        <v>31452</v>
      </c>
      <c r="G21" s="1438">
        <f t="shared" si="3"/>
        <v>41452</v>
      </c>
      <c r="H21" s="1478">
        <v>10000</v>
      </c>
      <c r="I21" s="1443">
        <v>31452</v>
      </c>
      <c r="J21" s="1444">
        <f t="shared" si="4"/>
        <v>0</v>
      </c>
      <c r="K21" s="1475"/>
      <c r="L21" s="1443"/>
      <c r="M21" s="1444">
        <f t="shared" si="5"/>
        <v>0</v>
      </c>
      <c r="N21" s="1475"/>
      <c r="O21" s="1443"/>
    </row>
    <row r="22" spans="1:15" s="1422" customFormat="1" ht="28.5">
      <c r="A22" s="1435">
        <v>4</v>
      </c>
      <c r="B22" s="1477" t="s">
        <v>654</v>
      </c>
      <c r="C22" s="1448" t="s">
        <v>655</v>
      </c>
      <c r="D22" s="1456">
        <f t="shared" si="2"/>
        <v>50000</v>
      </c>
      <c r="E22" s="1478">
        <v>35000</v>
      </c>
      <c r="F22" s="1479">
        <v>15000</v>
      </c>
      <c r="G22" s="1438">
        <f t="shared" si="3"/>
        <v>50000</v>
      </c>
      <c r="H22" s="1478">
        <v>35000</v>
      </c>
      <c r="I22" s="1479">
        <v>15000</v>
      </c>
      <c r="J22" s="1444">
        <f t="shared" si="4"/>
        <v>0</v>
      </c>
      <c r="K22" s="1475"/>
      <c r="L22" s="1443"/>
      <c r="M22" s="1444">
        <f t="shared" si="5"/>
        <v>0</v>
      </c>
      <c r="N22" s="1475"/>
      <c r="O22" s="1443"/>
    </row>
    <row r="23" spans="1:15" s="1422" customFormat="1" ht="42.75">
      <c r="A23" s="1435">
        <v>5</v>
      </c>
      <c r="B23" s="1473" t="s">
        <v>800</v>
      </c>
      <c r="C23" s="1474" t="s">
        <v>801</v>
      </c>
      <c r="D23" s="1456">
        <f t="shared" si="2"/>
        <v>1504424</v>
      </c>
      <c r="E23" s="1475">
        <v>930200</v>
      </c>
      <c r="F23" s="1476">
        <v>574224</v>
      </c>
      <c r="G23" s="1438">
        <f t="shared" si="3"/>
        <v>1359424</v>
      </c>
      <c r="H23" s="1475">
        <v>522024</v>
      </c>
      <c r="I23" s="1453">
        <v>837400</v>
      </c>
      <c r="J23" s="1444">
        <f t="shared" si="4"/>
        <v>0</v>
      </c>
      <c r="K23" s="1475"/>
      <c r="L23" s="1443"/>
      <c r="M23" s="1444">
        <f t="shared" si="5"/>
        <v>0</v>
      </c>
      <c r="N23" s="1475"/>
      <c r="O23" s="1443"/>
    </row>
    <row r="24" spans="1:15" s="1422" customFormat="1" ht="14.25">
      <c r="A24" s="1435">
        <v>6</v>
      </c>
      <c r="B24" s="1473" t="s">
        <v>802</v>
      </c>
      <c r="C24" s="1474" t="s">
        <v>801</v>
      </c>
      <c r="D24" s="1456">
        <f t="shared" si="2"/>
        <v>128500</v>
      </c>
      <c r="E24" s="1475">
        <v>40000</v>
      </c>
      <c r="F24" s="1476">
        <v>88500</v>
      </c>
      <c r="G24" s="1438">
        <f t="shared" si="3"/>
        <v>0</v>
      </c>
      <c r="H24" s="1475">
        <v>0</v>
      </c>
      <c r="I24" s="1453">
        <v>0</v>
      </c>
      <c r="J24" s="1444">
        <f t="shared" si="4"/>
        <v>128500</v>
      </c>
      <c r="K24" s="1475">
        <v>40000</v>
      </c>
      <c r="L24" s="1443">
        <v>88500</v>
      </c>
      <c r="M24" s="1444">
        <f t="shared" si="5"/>
        <v>0</v>
      </c>
      <c r="N24" s="1475"/>
      <c r="O24" s="1443"/>
    </row>
    <row r="25" spans="1:15" s="1422" customFormat="1" ht="42.75">
      <c r="A25" s="1435">
        <v>7</v>
      </c>
      <c r="B25" s="1473" t="s">
        <v>803</v>
      </c>
      <c r="C25" s="1474" t="s">
        <v>801</v>
      </c>
      <c r="D25" s="1456">
        <f t="shared" si="2"/>
        <v>87552</v>
      </c>
      <c r="E25" s="1475">
        <v>39500</v>
      </c>
      <c r="F25" s="1476">
        <v>48052</v>
      </c>
      <c r="G25" s="1438">
        <f t="shared" si="3"/>
        <v>87552</v>
      </c>
      <c r="H25" s="1475">
        <v>39500</v>
      </c>
      <c r="I25" s="1453">
        <v>48052</v>
      </c>
      <c r="J25" s="1444">
        <f t="shared" si="4"/>
        <v>0</v>
      </c>
      <c r="K25" s="1492"/>
      <c r="L25" s="1443"/>
      <c r="M25" s="1444">
        <f t="shared" si="5"/>
        <v>0</v>
      </c>
      <c r="N25" s="1475"/>
      <c r="O25" s="1443"/>
    </row>
    <row r="26" spans="1:15" s="1422" customFormat="1" ht="14.25">
      <c r="A26" s="1435">
        <v>8</v>
      </c>
      <c r="B26" s="1473" t="s">
        <v>804</v>
      </c>
      <c r="C26" s="1474" t="s">
        <v>805</v>
      </c>
      <c r="D26" s="1456">
        <f t="shared" si="2"/>
        <v>1020000</v>
      </c>
      <c r="E26" s="1475">
        <v>300000</v>
      </c>
      <c r="F26" s="1476">
        <v>720000</v>
      </c>
      <c r="G26" s="1438">
        <f t="shared" si="3"/>
        <v>408000</v>
      </c>
      <c r="H26" s="1475"/>
      <c r="I26" s="1453">
        <v>408000</v>
      </c>
      <c r="J26" s="1444">
        <f t="shared" si="4"/>
        <v>612000</v>
      </c>
      <c r="K26" s="1475">
        <v>300000</v>
      </c>
      <c r="L26" s="1443">
        <v>312000</v>
      </c>
      <c r="M26" s="1444">
        <f t="shared" si="5"/>
        <v>0</v>
      </c>
      <c r="N26" s="1475"/>
      <c r="O26" s="1443"/>
    </row>
    <row r="27" spans="1:15" s="1422" customFormat="1" ht="42.75">
      <c r="A27" s="1435">
        <v>9</v>
      </c>
      <c r="B27" s="1468" t="s">
        <v>806</v>
      </c>
      <c r="C27" s="1448" t="s">
        <v>807</v>
      </c>
      <c r="D27" s="1456">
        <f t="shared" si="2"/>
        <v>350000</v>
      </c>
      <c r="E27" s="1475">
        <v>350000</v>
      </c>
      <c r="F27" s="1476">
        <v>0</v>
      </c>
      <c r="G27" s="1438">
        <f t="shared" si="3"/>
        <v>230000</v>
      </c>
      <c r="H27" s="1475">
        <v>230000</v>
      </c>
      <c r="I27" s="1453">
        <v>0</v>
      </c>
      <c r="J27" s="1444">
        <f t="shared" si="4"/>
        <v>120000</v>
      </c>
      <c r="K27" s="1475">
        <v>120000</v>
      </c>
      <c r="L27" s="1443">
        <v>0</v>
      </c>
      <c r="M27" s="1444">
        <f t="shared" si="5"/>
        <v>0</v>
      </c>
      <c r="N27" s="1475"/>
      <c r="O27" s="1443"/>
    </row>
    <row r="28" spans="1:15" s="1422" customFormat="1" ht="43.5" thickBot="1">
      <c r="A28" s="1766">
        <v>10</v>
      </c>
      <c r="B28" s="1473" t="s">
        <v>852</v>
      </c>
      <c r="C28" s="1474" t="s">
        <v>801</v>
      </c>
      <c r="D28" s="1456">
        <f>SUM(E28:F28)</f>
        <v>551958</v>
      </c>
      <c r="E28" s="1475">
        <v>352225</v>
      </c>
      <c r="F28" s="1476">
        <v>199733</v>
      </c>
      <c r="G28" s="1438">
        <f>SUM(H28:I28)</f>
        <v>163761</v>
      </c>
      <c r="H28" s="1475">
        <v>135475</v>
      </c>
      <c r="I28" s="1453">
        <v>28286</v>
      </c>
      <c r="J28" s="1444">
        <f>SUM(K28:L28)</f>
        <v>388197</v>
      </c>
      <c r="K28" s="1475">
        <f>E28-H28</f>
        <v>216750</v>
      </c>
      <c r="L28" s="1443">
        <f>F28-I28</f>
        <v>171447</v>
      </c>
      <c r="M28" s="1444">
        <f>SUM(N28:O28)</f>
        <v>0</v>
      </c>
      <c r="N28" s="1475"/>
      <c r="O28" s="1443"/>
    </row>
    <row r="29" spans="1:15" ht="18" customHeight="1" thickBot="1">
      <c r="A29" s="1480" t="s">
        <v>105</v>
      </c>
      <c r="B29" s="1481" t="s">
        <v>656</v>
      </c>
      <c r="C29" s="1481"/>
      <c r="D29" s="1466">
        <f>SUM(D19:D28)</f>
        <v>4197740</v>
      </c>
      <c r="E29" s="1705">
        <f aca="true" t="shared" si="6" ref="E29:O29">SUM(E19:E28)</f>
        <v>2286925</v>
      </c>
      <c r="F29" s="1703">
        <f t="shared" si="6"/>
        <v>1910815</v>
      </c>
      <c r="G29" s="1466">
        <f t="shared" si="6"/>
        <v>2729155</v>
      </c>
      <c r="H29" s="1705">
        <f t="shared" si="6"/>
        <v>1101999</v>
      </c>
      <c r="I29" s="1703">
        <f t="shared" si="6"/>
        <v>1627156</v>
      </c>
      <c r="J29" s="1466">
        <f t="shared" si="6"/>
        <v>1248697</v>
      </c>
      <c r="K29" s="1705">
        <f t="shared" si="6"/>
        <v>676750</v>
      </c>
      <c r="L29" s="1703">
        <f t="shared" si="6"/>
        <v>571947</v>
      </c>
      <c r="M29" s="1466">
        <f t="shared" si="6"/>
        <v>0</v>
      </c>
      <c r="N29" s="1705">
        <f t="shared" si="6"/>
        <v>0</v>
      </c>
      <c r="O29" s="1707">
        <f t="shared" si="6"/>
        <v>0</v>
      </c>
    </row>
    <row r="30" spans="1:15" ht="21" customHeight="1" thickBot="1">
      <c r="A30" s="1483" t="s">
        <v>337</v>
      </c>
      <c r="B30" s="1484"/>
      <c r="C30" s="1484"/>
      <c r="D30" s="1485">
        <f>D29+D18+D15</f>
        <v>4641916</v>
      </c>
      <c r="E30" s="1706">
        <f aca="true" t="shared" si="7" ref="E30:O30">E29+E18+E15</f>
        <v>2564807</v>
      </c>
      <c r="F30" s="1704">
        <f t="shared" si="7"/>
        <v>2077109</v>
      </c>
      <c r="G30" s="1485">
        <f t="shared" si="7"/>
        <v>2797578</v>
      </c>
      <c r="H30" s="1706">
        <f t="shared" si="7"/>
        <v>1156450</v>
      </c>
      <c r="I30" s="1704">
        <f t="shared" si="7"/>
        <v>1641128</v>
      </c>
      <c r="J30" s="1485">
        <f t="shared" si="7"/>
        <v>1256575</v>
      </c>
      <c r="K30" s="1706">
        <f t="shared" si="7"/>
        <v>684628</v>
      </c>
      <c r="L30" s="1704">
        <f t="shared" si="7"/>
        <v>571947</v>
      </c>
      <c r="M30" s="1485">
        <f t="shared" si="7"/>
        <v>0</v>
      </c>
      <c r="N30" s="1706">
        <f t="shared" si="7"/>
        <v>0</v>
      </c>
      <c r="O30" s="1708">
        <f t="shared" si="7"/>
        <v>0</v>
      </c>
    </row>
  </sheetData>
  <sheetProtection/>
  <mergeCells count="9">
    <mergeCell ref="A4:O4"/>
    <mergeCell ref="A5:O5"/>
    <mergeCell ref="A7:A8"/>
    <mergeCell ref="B7:B8"/>
    <mergeCell ref="C7:C8"/>
    <mergeCell ref="D7:F7"/>
    <mergeCell ref="G7:I7"/>
    <mergeCell ref="J7:L7"/>
    <mergeCell ref="M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showGridLines="0" zoomScale="90" zoomScaleNormal="90" zoomScalePageLayoutView="0" workbookViewId="0" topLeftCell="A1">
      <pane xSplit="5" ySplit="8" topLeftCell="F6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H1" sqref="H1"/>
    </sheetView>
  </sheetViews>
  <sheetFormatPr defaultColWidth="9.00390625" defaultRowHeight="12.75"/>
  <cols>
    <col min="1" max="1" width="7.625" style="31" customWidth="1"/>
    <col min="2" max="2" width="7.875" style="31" customWidth="1"/>
    <col min="3" max="3" width="11.50390625" style="31" customWidth="1"/>
    <col min="4" max="4" width="86.875" style="0" customWidth="1"/>
    <col min="5" max="5" width="8.875" style="0" customWidth="1"/>
    <col min="6" max="6" width="16.375" style="696" customWidth="1"/>
    <col min="7" max="7" width="17.375" style="696" customWidth="1"/>
    <col min="8" max="8" width="16.125" style="696" customWidth="1"/>
    <col min="9" max="9" width="14.125" style="1710" customWidth="1"/>
  </cols>
  <sheetData>
    <row r="1" spans="1:8" ht="15.75">
      <c r="A1" s="48"/>
      <c r="B1" s="48"/>
      <c r="H1" s="694" t="s">
        <v>854</v>
      </c>
    </row>
    <row r="2" spans="1:8" ht="15.75">
      <c r="A2" s="48"/>
      <c r="B2" s="48"/>
      <c r="H2" s="694" t="s">
        <v>93</v>
      </c>
    </row>
    <row r="3" spans="1:3" ht="21.75" customHeight="1">
      <c r="A3" s="48"/>
      <c r="B3" s="48"/>
      <c r="C3" s="49"/>
    </row>
    <row r="4" spans="1:9" ht="20.25">
      <c r="A4" s="1811" t="s">
        <v>577</v>
      </c>
      <c r="B4" s="1811"/>
      <c r="C4" s="1811"/>
      <c r="D4" s="1811"/>
      <c r="E4" s="1811"/>
      <c r="F4" s="1811"/>
      <c r="G4" s="1811"/>
      <c r="H4" s="1811"/>
      <c r="I4" s="1711"/>
    </row>
    <row r="5" spans="1:9" ht="18">
      <c r="A5" s="1798" t="s">
        <v>583</v>
      </c>
      <c r="B5" s="1798"/>
      <c r="C5" s="1798"/>
      <c r="D5" s="1798"/>
      <c r="E5" s="1798"/>
      <c r="F5" s="1798"/>
      <c r="G5" s="1798"/>
      <c r="H5" s="1798"/>
      <c r="I5" s="1712"/>
    </row>
    <row r="6" spans="1:8" ht="21" customHeight="1" thickBot="1">
      <c r="A6" s="50"/>
      <c r="B6" s="50"/>
      <c r="H6" s="695" t="s">
        <v>134</v>
      </c>
    </row>
    <row r="7" spans="1:8" ht="62.25" customHeight="1" thickBot="1">
      <c r="A7" s="568" t="s">
        <v>307</v>
      </c>
      <c r="B7" s="1838" t="s">
        <v>308</v>
      </c>
      <c r="C7" s="1839"/>
      <c r="D7" s="1840"/>
      <c r="E7" s="596" t="s">
        <v>221</v>
      </c>
      <c r="F7" s="1010" t="s">
        <v>664</v>
      </c>
      <c r="G7" s="1011" t="s">
        <v>424</v>
      </c>
      <c r="H7" s="591" t="s">
        <v>661</v>
      </c>
    </row>
    <row r="8" spans="1:9" s="1006" customFormat="1" ht="12" customHeight="1" thickBot="1">
      <c r="A8" s="1000">
        <v>1</v>
      </c>
      <c r="B8" s="1845">
        <v>2</v>
      </c>
      <c r="C8" s="1846"/>
      <c r="D8" s="1847"/>
      <c r="E8" s="1001">
        <v>3</v>
      </c>
      <c r="F8" s="1005">
        <v>4</v>
      </c>
      <c r="G8" s="1003">
        <v>5</v>
      </c>
      <c r="H8" s="1004">
        <v>6</v>
      </c>
      <c r="I8" s="1172"/>
    </row>
    <row r="9" spans="1:9" s="208" customFormat="1" ht="16.5" customHeight="1" thickBot="1">
      <c r="A9" s="713" t="s">
        <v>95</v>
      </c>
      <c r="B9" s="1797" t="s">
        <v>113</v>
      </c>
      <c r="C9" s="1771"/>
      <c r="D9" s="1841"/>
      <c r="E9" s="714" t="s">
        <v>342</v>
      </c>
      <c r="F9" s="835">
        <f>hivatal9!I11</f>
        <v>3801734</v>
      </c>
      <c r="G9" s="856">
        <f>hivatal9!J11</f>
        <v>-671</v>
      </c>
      <c r="H9" s="856">
        <f>hivatal9!K11</f>
        <v>3801063</v>
      </c>
      <c r="I9" s="733"/>
    </row>
    <row r="10" spans="1:9" s="208" customFormat="1" ht="16.5" customHeight="1" thickBot="1">
      <c r="A10" s="715" t="s">
        <v>102</v>
      </c>
      <c r="B10" s="1797" t="s">
        <v>343</v>
      </c>
      <c r="C10" s="1771"/>
      <c r="D10" s="1841"/>
      <c r="E10" s="716" t="s">
        <v>344</v>
      </c>
      <c r="F10" s="835">
        <f>hivatal9!I12</f>
        <v>791980</v>
      </c>
      <c r="G10" s="856">
        <f>hivatal9!J12</f>
        <v>157</v>
      </c>
      <c r="H10" s="856">
        <f>hivatal9!K12</f>
        <v>792137</v>
      </c>
      <c r="I10" s="733"/>
    </row>
    <row r="11" spans="1:9" s="208" customFormat="1" ht="16.5" customHeight="1" thickBot="1">
      <c r="A11" s="713" t="s">
        <v>105</v>
      </c>
      <c r="B11" s="1797" t="s">
        <v>116</v>
      </c>
      <c r="C11" s="1771"/>
      <c r="D11" s="1841"/>
      <c r="E11" s="714" t="s">
        <v>345</v>
      </c>
      <c r="F11" s="835">
        <f>hivatal9!I13</f>
        <v>5125854</v>
      </c>
      <c r="G11" s="856">
        <f>hivatal9!J13</f>
        <v>253297</v>
      </c>
      <c r="H11" s="856">
        <f>hivatal9!K13</f>
        <v>5379151</v>
      </c>
      <c r="I11" s="1713"/>
    </row>
    <row r="12" spans="1:9" s="273" customFormat="1" ht="16.5" customHeight="1" thickBot="1">
      <c r="A12" s="713" t="s">
        <v>106</v>
      </c>
      <c r="B12" s="1797" t="s">
        <v>172</v>
      </c>
      <c r="C12" s="1771"/>
      <c r="D12" s="1841"/>
      <c r="E12" s="714" t="s">
        <v>346</v>
      </c>
      <c r="F12" s="835">
        <f>hivatal9!I14</f>
        <v>91423</v>
      </c>
      <c r="G12" s="856">
        <f>hivatal9!J14</f>
        <v>0</v>
      </c>
      <c r="H12" s="856">
        <f>hivatal9!K14</f>
        <v>91423</v>
      </c>
      <c r="I12" s="1173"/>
    </row>
    <row r="13" spans="1:9" s="208" customFormat="1" ht="16.5" customHeight="1">
      <c r="A13" s="1873"/>
      <c r="B13" s="647">
        <v>1</v>
      </c>
      <c r="C13" s="1779" t="s">
        <v>348</v>
      </c>
      <c r="D13" s="1836"/>
      <c r="E13" s="763" t="s">
        <v>349</v>
      </c>
      <c r="F13" s="836">
        <f>hivatal9!I15</f>
        <v>162435</v>
      </c>
      <c r="G13" s="945">
        <f>hivatal9!J15</f>
        <v>0</v>
      </c>
      <c r="H13" s="1019">
        <f>hivatal9!K15</f>
        <v>162435</v>
      </c>
      <c r="I13" s="733"/>
    </row>
    <row r="14" spans="1:9" s="208" customFormat="1" ht="16.5" customHeight="1">
      <c r="A14" s="1874"/>
      <c r="B14" s="651">
        <v>2</v>
      </c>
      <c r="C14" s="1767" t="s">
        <v>0</v>
      </c>
      <c r="D14" s="1837"/>
      <c r="E14" s="759" t="s">
        <v>1</v>
      </c>
      <c r="F14" s="836">
        <f>hivatal9!I16</f>
        <v>0</v>
      </c>
      <c r="G14" s="649">
        <f>hivatal9!J16</f>
        <v>0</v>
      </c>
      <c r="H14" s="1020">
        <f>hivatal9!K16</f>
        <v>0</v>
      </c>
      <c r="I14" s="733"/>
    </row>
    <row r="15" spans="1:9" s="208" customFormat="1" ht="16.5" customHeight="1">
      <c r="A15" s="1874"/>
      <c r="B15" s="651">
        <v>3</v>
      </c>
      <c r="C15" s="1767" t="s">
        <v>2</v>
      </c>
      <c r="D15" s="1837"/>
      <c r="E15" s="759" t="s">
        <v>3</v>
      </c>
      <c r="F15" s="836">
        <f>hivatal9!I17</f>
        <v>0</v>
      </c>
      <c r="G15" s="649">
        <f>hivatal9!J17</f>
        <v>0</v>
      </c>
      <c r="H15" s="1020">
        <f>hivatal9!K17</f>
        <v>0</v>
      </c>
      <c r="I15" s="733"/>
    </row>
    <row r="16" spans="1:9" s="208" customFormat="1" ht="16.5" customHeight="1">
      <c r="A16" s="1874"/>
      <c r="B16" s="1880">
        <v>4</v>
      </c>
      <c r="C16" s="1767" t="s">
        <v>4</v>
      </c>
      <c r="D16" s="1837"/>
      <c r="E16" s="759" t="s">
        <v>5</v>
      </c>
      <c r="F16" s="760">
        <f>SUM(F17:F22)</f>
        <v>32676</v>
      </c>
      <c r="G16" s="761">
        <f>SUM(G17:G22)</f>
        <v>4977</v>
      </c>
      <c r="H16" s="849">
        <f>SUM(H17:H22)</f>
        <v>37653</v>
      </c>
      <c r="I16" s="1709">
        <f>hivatal9!K18</f>
        <v>37653</v>
      </c>
    </row>
    <row r="17" spans="1:9" s="208" customFormat="1" ht="16.5" customHeight="1">
      <c r="A17" s="1874"/>
      <c r="B17" s="1854"/>
      <c r="C17" s="705" t="s">
        <v>243</v>
      </c>
      <c r="D17" s="706" t="s">
        <v>389</v>
      </c>
      <c r="E17" s="707" t="str">
        <f>E16</f>
        <v>K506</v>
      </c>
      <c r="F17" s="837">
        <v>23553</v>
      </c>
      <c r="G17" s="857"/>
      <c r="H17" s="943">
        <f aca="true" t="shared" si="0" ref="H17:H22">SUM(F17:G17)</f>
        <v>23553</v>
      </c>
      <c r="I17" s="733"/>
    </row>
    <row r="18" spans="1:9" s="208" customFormat="1" ht="16.5" customHeight="1">
      <c r="A18" s="1874"/>
      <c r="B18" s="1854"/>
      <c r="C18" s="705" t="s">
        <v>243</v>
      </c>
      <c r="D18" s="706" t="s">
        <v>755</v>
      </c>
      <c r="E18" s="707" t="s">
        <v>5</v>
      </c>
      <c r="F18" s="837">
        <v>179</v>
      </c>
      <c r="G18" s="857"/>
      <c r="H18" s="943">
        <f t="shared" si="0"/>
        <v>179</v>
      </c>
      <c r="I18" s="733"/>
    </row>
    <row r="19" spans="1:9" s="708" customFormat="1" ht="16.5" customHeight="1">
      <c r="A19" s="1874"/>
      <c r="B19" s="1854"/>
      <c r="C19" s="705" t="s">
        <v>243</v>
      </c>
      <c r="D19" s="706" t="s">
        <v>429</v>
      </c>
      <c r="E19" s="707" t="str">
        <f>E16</f>
        <v>K506</v>
      </c>
      <c r="F19" s="837">
        <v>144</v>
      </c>
      <c r="G19" s="857"/>
      <c r="H19" s="943">
        <f t="shared" si="0"/>
        <v>144</v>
      </c>
      <c r="I19" s="1012"/>
    </row>
    <row r="20" spans="1:9" s="708" customFormat="1" ht="16.5" customHeight="1">
      <c r="A20" s="1874"/>
      <c r="B20" s="1854"/>
      <c r="C20" s="705" t="s">
        <v>243</v>
      </c>
      <c r="D20" s="706" t="s">
        <v>797</v>
      </c>
      <c r="E20" s="707" t="s">
        <v>5</v>
      </c>
      <c r="F20" s="837">
        <v>241</v>
      </c>
      <c r="G20" s="857"/>
      <c r="H20" s="943">
        <f t="shared" si="0"/>
        <v>241</v>
      </c>
      <c r="I20" s="1012"/>
    </row>
    <row r="21" spans="1:9" s="708" customFormat="1" ht="16.5" customHeight="1">
      <c r="A21" s="1874"/>
      <c r="B21" s="1854"/>
      <c r="C21" s="705" t="s">
        <v>243</v>
      </c>
      <c r="D21" s="706" t="s">
        <v>423</v>
      </c>
      <c r="E21" s="707" t="str">
        <f>E16</f>
        <v>K506</v>
      </c>
      <c r="F21" s="837"/>
      <c r="G21" s="857">
        <v>4727</v>
      </c>
      <c r="H21" s="943">
        <f t="shared" si="0"/>
        <v>4727</v>
      </c>
      <c r="I21" s="1012"/>
    </row>
    <row r="22" spans="1:9" s="708" customFormat="1" ht="16.5" customHeight="1">
      <c r="A22" s="1874"/>
      <c r="B22" s="1855"/>
      <c r="C22" s="705" t="s">
        <v>243</v>
      </c>
      <c r="D22" s="706" t="s">
        <v>430</v>
      </c>
      <c r="E22" s="707" t="str">
        <f>E21</f>
        <v>K506</v>
      </c>
      <c r="F22" s="837">
        <v>8559</v>
      </c>
      <c r="G22" s="857">
        <v>250</v>
      </c>
      <c r="H22" s="943">
        <f t="shared" si="0"/>
        <v>8809</v>
      </c>
      <c r="I22" s="1012"/>
    </row>
    <row r="23" spans="1:9" s="208" customFormat="1" ht="16.5" customHeight="1">
      <c r="A23" s="1874"/>
      <c r="B23" s="1881">
        <v>5</v>
      </c>
      <c r="C23" s="1767" t="s">
        <v>6</v>
      </c>
      <c r="D23" s="1837"/>
      <c r="E23" s="759" t="s">
        <v>7</v>
      </c>
      <c r="F23" s="760">
        <f>SUM(F24:F28)</f>
        <v>10000</v>
      </c>
      <c r="G23" s="761">
        <f>SUM(G24:G28)</f>
        <v>0</v>
      </c>
      <c r="H23" s="849">
        <f>SUM(H24:H28)</f>
        <v>10000</v>
      </c>
      <c r="I23" s="1709">
        <f>hivatal9!K19</f>
        <v>10000</v>
      </c>
    </row>
    <row r="24" spans="1:9" s="708" customFormat="1" ht="16.5" customHeight="1">
      <c r="A24" s="1874"/>
      <c r="B24" s="1882"/>
      <c r="C24" s="705" t="s">
        <v>243</v>
      </c>
      <c r="D24" s="559" t="s">
        <v>354</v>
      </c>
      <c r="E24" s="561" t="str">
        <f>E23</f>
        <v>K508</v>
      </c>
      <c r="F24" s="838"/>
      <c r="G24" s="581"/>
      <c r="H24" s="944">
        <f>SUM(F24:G24)</f>
        <v>0</v>
      </c>
      <c r="I24" s="1012"/>
    </row>
    <row r="25" spans="1:9" s="708" customFormat="1" ht="16.5" customHeight="1">
      <c r="A25" s="1874"/>
      <c r="B25" s="1882"/>
      <c r="C25" s="705" t="s">
        <v>243</v>
      </c>
      <c r="D25" s="559" t="s">
        <v>355</v>
      </c>
      <c r="E25" s="561" t="str">
        <f>E24</f>
        <v>K508</v>
      </c>
      <c r="F25" s="838">
        <v>10000</v>
      </c>
      <c r="G25" s="581"/>
      <c r="H25" s="944">
        <f>SUM(F25:G25)</f>
        <v>10000</v>
      </c>
      <c r="I25" s="1012"/>
    </row>
    <row r="26" spans="1:9" s="708" customFormat="1" ht="16.5" customHeight="1">
      <c r="A26" s="1874"/>
      <c r="B26" s="1882"/>
      <c r="C26" s="705" t="s">
        <v>243</v>
      </c>
      <c r="D26" s="559" t="s">
        <v>356</v>
      </c>
      <c r="E26" s="561" t="str">
        <f>E25</f>
        <v>K508</v>
      </c>
      <c r="F26" s="838"/>
      <c r="G26" s="581"/>
      <c r="H26" s="944">
        <f>SUM(F26:G26)</f>
        <v>0</v>
      </c>
      <c r="I26" s="1012"/>
    </row>
    <row r="27" spans="1:9" s="708" customFormat="1" ht="16.5" customHeight="1">
      <c r="A27" s="1874"/>
      <c r="B27" s="1882"/>
      <c r="C27" s="705" t="s">
        <v>243</v>
      </c>
      <c r="D27" s="559" t="s">
        <v>357</v>
      </c>
      <c r="E27" s="561" t="str">
        <f>E26</f>
        <v>K508</v>
      </c>
      <c r="F27" s="838"/>
      <c r="G27" s="581"/>
      <c r="H27" s="944">
        <f>SUM(F27:G27)</f>
        <v>0</v>
      </c>
      <c r="I27" s="1012"/>
    </row>
    <row r="28" spans="1:9" s="708" customFormat="1" ht="16.5" customHeight="1">
      <c r="A28" s="1874"/>
      <c r="B28" s="1883"/>
      <c r="C28" s="705" t="s">
        <v>243</v>
      </c>
      <c r="D28" s="559" t="s">
        <v>364</v>
      </c>
      <c r="E28" s="561" t="str">
        <f>E26</f>
        <v>K508</v>
      </c>
      <c r="F28" s="838"/>
      <c r="G28" s="581"/>
      <c r="H28" s="944">
        <f>SUM(F28:G28)</f>
        <v>0</v>
      </c>
      <c r="I28" s="1012"/>
    </row>
    <row r="29" spans="1:11" s="208" customFormat="1" ht="16.5" customHeight="1">
      <c r="A29" s="1874"/>
      <c r="B29" s="1880">
        <v>6</v>
      </c>
      <c r="C29" s="1767" t="s">
        <v>8</v>
      </c>
      <c r="D29" s="1837"/>
      <c r="E29" s="759" t="s">
        <v>9</v>
      </c>
      <c r="F29" s="760">
        <f>SUM(F30:F34)</f>
        <v>810872</v>
      </c>
      <c r="G29" s="761">
        <f>SUM(G30:G34)</f>
        <v>11521</v>
      </c>
      <c r="H29" s="849">
        <f>SUM(H30:H34)</f>
        <v>822393</v>
      </c>
      <c r="I29" s="1709">
        <f>hivatal9!K21</f>
        <v>822393</v>
      </c>
      <c r="K29" s="302">
        <f>I29-H29</f>
        <v>0</v>
      </c>
    </row>
    <row r="30" spans="1:9" s="708" customFormat="1" ht="16.5" customHeight="1">
      <c r="A30" s="1874"/>
      <c r="B30" s="1854"/>
      <c r="C30" s="705" t="s">
        <v>243</v>
      </c>
      <c r="D30" s="559" t="s">
        <v>354</v>
      </c>
      <c r="E30" s="707" t="str">
        <f>E29</f>
        <v>K512</v>
      </c>
      <c r="F30" s="838">
        <v>5906</v>
      </c>
      <c r="G30" s="581">
        <v>60</v>
      </c>
      <c r="H30" s="944">
        <f>SUM(F30:G30)</f>
        <v>5966</v>
      </c>
      <c r="I30" s="1012"/>
    </row>
    <row r="31" spans="1:9" s="708" customFormat="1" ht="16.5" customHeight="1">
      <c r="A31" s="1874"/>
      <c r="B31" s="1854"/>
      <c r="C31" s="705" t="s">
        <v>243</v>
      </c>
      <c r="D31" s="559" t="s">
        <v>355</v>
      </c>
      <c r="E31" s="707" t="str">
        <f>E30</f>
        <v>K512</v>
      </c>
      <c r="F31" s="837">
        <v>114990</v>
      </c>
      <c r="G31" s="581">
        <f>10000-190-271-1200-154+3900</f>
        <v>12085</v>
      </c>
      <c r="H31" s="944">
        <f aca="true" t="shared" si="1" ref="H31:H37">SUM(F31:G31)</f>
        <v>127075</v>
      </c>
      <c r="I31" s="1012"/>
    </row>
    <row r="32" spans="1:9" s="708" customFormat="1" ht="16.5" customHeight="1">
      <c r="A32" s="1874"/>
      <c r="B32" s="1854"/>
      <c r="C32" s="705" t="s">
        <v>243</v>
      </c>
      <c r="D32" s="559" t="s">
        <v>356</v>
      </c>
      <c r="E32" s="707" t="str">
        <f>E31</f>
        <v>K512</v>
      </c>
      <c r="F32" s="838">
        <v>0</v>
      </c>
      <c r="G32" s="581">
        <v>80</v>
      </c>
      <c r="H32" s="944">
        <f t="shared" si="1"/>
        <v>80</v>
      </c>
      <c r="I32" s="1012"/>
    </row>
    <row r="33" spans="1:9" s="708" customFormat="1" ht="16.5" customHeight="1">
      <c r="A33" s="1874"/>
      <c r="B33" s="1854"/>
      <c r="C33" s="705" t="s">
        <v>243</v>
      </c>
      <c r="D33" s="559" t="s">
        <v>357</v>
      </c>
      <c r="E33" s="707" t="str">
        <f>E31</f>
        <v>K512</v>
      </c>
      <c r="F33" s="837">
        <v>686933</v>
      </c>
      <c r="G33" s="581">
        <v>-734</v>
      </c>
      <c r="H33" s="944">
        <f t="shared" si="1"/>
        <v>686199</v>
      </c>
      <c r="I33" s="1012"/>
    </row>
    <row r="34" spans="1:9" s="708" customFormat="1" ht="16.5" customHeight="1">
      <c r="A34" s="1874"/>
      <c r="B34" s="1855"/>
      <c r="C34" s="705" t="s">
        <v>243</v>
      </c>
      <c r="D34" s="559" t="s">
        <v>364</v>
      </c>
      <c r="E34" s="707" t="str">
        <f>E32</f>
        <v>K512</v>
      </c>
      <c r="F34" s="838">
        <v>3043</v>
      </c>
      <c r="G34" s="581">
        <v>30</v>
      </c>
      <c r="H34" s="944">
        <f t="shared" si="1"/>
        <v>3073</v>
      </c>
      <c r="I34" s="1012"/>
    </row>
    <row r="35" spans="1:9" s="208" customFormat="1" ht="16.5" customHeight="1">
      <c r="A35" s="1874"/>
      <c r="B35" s="1880">
        <v>7</v>
      </c>
      <c r="C35" s="1767" t="s">
        <v>55</v>
      </c>
      <c r="D35" s="1837"/>
      <c r="E35" s="759" t="s">
        <v>468</v>
      </c>
      <c r="F35" s="839">
        <f>SUM(F36:F37)</f>
        <v>1905401</v>
      </c>
      <c r="G35" s="758">
        <f>SUM(G36:G37)</f>
        <v>-236309</v>
      </c>
      <c r="H35" s="850">
        <f>SUM(H36:H37)</f>
        <v>1669092</v>
      </c>
      <c r="I35" s="1709">
        <f>hivatal9!K22</f>
        <v>1669092</v>
      </c>
    </row>
    <row r="36" spans="1:9" s="94" customFormat="1" ht="16.5" customHeight="1">
      <c r="A36" s="1874"/>
      <c r="B36" s="1854"/>
      <c r="C36" s="705" t="s">
        <v>243</v>
      </c>
      <c r="D36" s="557" t="s">
        <v>10</v>
      </c>
      <c r="E36" s="561" t="s">
        <v>468</v>
      </c>
      <c r="F36" s="838">
        <f>tartalék!D9</f>
        <v>149869</v>
      </c>
      <c r="G36" s="581">
        <f>tartalék!E9</f>
        <v>131</v>
      </c>
      <c r="H36" s="944">
        <f t="shared" si="1"/>
        <v>150000</v>
      </c>
      <c r="I36" s="733"/>
    </row>
    <row r="37" spans="1:9" s="94" customFormat="1" ht="16.5" customHeight="1" thickBot="1">
      <c r="A37" s="1875"/>
      <c r="B37" s="1884"/>
      <c r="C37" s="705" t="s">
        <v>243</v>
      </c>
      <c r="D37" s="570" t="s">
        <v>350</v>
      </c>
      <c r="E37" s="602" t="s">
        <v>468</v>
      </c>
      <c r="F37" s="1364">
        <f>tartalék!D37</f>
        <v>1755532</v>
      </c>
      <c r="G37" s="946">
        <f>tartalék!E37</f>
        <v>-236440</v>
      </c>
      <c r="H37" s="944">
        <f t="shared" si="1"/>
        <v>1519092</v>
      </c>
      <c r="I37" s="733"/>
    </row>
    <row r="38" spans="1:9" s="273" customFormat="1" ht="18.75" customHeight="1" thickBot="1">
      <c r="A38" s="713" t="s">
        <v>107</v>
      </c>
      <c r="B38" s="1797" t="s">
        <v>171</v>
      </c>
      <c r="C38" s="1771"/>
      <c r="D38" s="1841"/>
      <c r="E38" s="714" t="s">
        <v>347</v>
      </c>
      <c r="F38" s="717">
        <f>F13+F14+F15+F16+F23+F29+F35</f>
        <v>2921384</v>
      </c>
      <c r="G38" s="1021">
        <f>G13+G14+G15+G16+G23+G29+G35</f>
        <v>-219811</v>
      </c>
      <c r="H38" s="717">
        <f>H13+H14+H15+H16+H23+H29+H35</f>
        <v>2701573</v>
      </c>
      <c r="I38" s="1173"/>
    </row>
    <row r="39" spans="1:9" s="273" customFormat="1" ht="21" customHeight="1" thickBot="1">
      <c r="A39" s="1048" t="s">
        <v>120</v>
      </c>
      <c r="B39" s="1866" t="s">
        <v>404</v>
      </c>
      <c r="C39" s="1867"/>
      <c r="D39" s="1867"/>
      <c r="E39" s="833"/>
      <c r="F39" s="841">
        <f>F9+F10+F11+F12+F38</f>
        <v>12732375</v>
      </c>
      <c r="G39" s="834">
        <f>G9+G10+G11+G12+G38</f>
        <v>32972</v>
      </c>
      <c r="H39" s="851">
        <f>H9+H10+H11+H12+H38</f>
        <v>12765347</v>
      </c>
      <c r="I39" s="1173"/>
    </row>
    <row r="40" spans="1:9" s="94" customFormat="1" ht="21" customHeight="1" thickBot="1">
      <c r="A40" s="1842" t="s">
        <v>358</v>
      </c>
      <c r="B40" s="1843"/>
      <c r="C40" s="1843"/>
      <c r="D40" s="1843"/>
      <c r="E40" s="1844"/>
      <c r="F40" s="709">
        <f>'bevétfő '!G61-'kiadfő '!F39</f>
        <v>-2533733</v>
      </c>
      <c r="G40" s="710">
        <f>'bevétfő '!H61-'kiadfő '!G39</f>
        <v>179165</v>
      </c>
      <c r="H40" s="852">
        <f>'bevétfő '!I61-'kiadfő '!H39</f>
        <v>-2354568</v>
      </c>
      <c r="I40" s="733"/>
    </row>
    <row r="41" spans="1:9" s="94" customFormat="1" ht="16.5" customHeight="1">
      <c r="A41" s="1871"/>
      <c r="B41" s="698" t="s">
        <v>57</v>
      </c>
      <c r="C41" s="1782" t="s">
        <v>360</v>
      </c>
      <c r="D41" s="1850"/>
      <c r="E41" s="707" t="s">
        <v>12</v>
      </c>
      <c r="F41" s="842">
        <f>beruházás!C152</f>
        <v>3213769</v>
      </c>
      <c r="G41" s="947">
        <f>beruházás!D152</f>
        <v>648291</v>
      </c>
      <c r="H41" s="947">
        <f>beruházás!E152</f>
        <v>3862060</v>
      </c>
      <c r="I41" s="733"/>
    </row>
    <row r="42" spans="1:9" s="94" customFormat="1" ht="16.5" customHeight="1" thickBot="1">
      <c r="A42" s="1872"/>
      <c r="B42" s="711" t="s">
        <v>58</v>
      </c>
      <c r="C42" s="1790" t="s">
        <v>361</v>
      </c>
      <c r="D42" s="1851"/>
      <c r="E42" s="719" t="s">
        <v>12</v>
      </c>
      <c r="F42" s="842">
        <f>beruházás!C153</f>
        <v>57979</v>
      </c>
      <c r="G42" s="948">
        <f>beruházás!D153</f>
        <v>25568</v>
      </c>
      <c r="H42" s="948">
        <f>beruházás!E153</f>
        <v>83547</v>
      </c>
      <c r="I42" s="733"/>
    </row>
    <row r="43" spans="1:9" s="208" customFormat="1" ht="16.5" customHeight="1" thickBot="1">
      <c r="A43" s="713" t="s">
        <v>315</v>
      </c>
      <c r="B43" s="1797" t="s">
        <v>11</v>
      </c>
      <c r="C43" s="1771"/>
      <c r="D43" s="1841"/>
      <c r="E43" s="714" t="s">
        <v>12</v>
      </c>
      <c r="F43" s="835">
        <f>SUM(F41:F42)</f>
        <v>3271748</v>
      </c>
      <c r="G43" s="856">
        <f>SUM(G41:G42)</f>
        <v>673859</v>
      </c>
      <c r="H43" s="856">
        <f>SUM(H41:H42)</f>
        <v>3945607</v>
      </c>
      <c r="I43" s="1709">
        <f>hivatal9!K24</f>
        <v>3945607</v>
      </c>
    </row>
    <row r="44" spans="1:9" s="94" customFormat="1" ht="16.5" customHeight="1">
      <c r="A44" s="1871"/>
      <c r="B44" s="718" t="s">
        <v>57</v>
      </c>
      <c r="C44" s="1782" t="s">
        <v>362</v>
      </c>
      <c r="D44" s="1850"/>
      <c r="E44" s="720" t="s">
        <v>14</v>
      </c>
      <c r="F44" s="947">
        <f>felújítás!C110</f>
        <v>439205</v>
      </c>
      <c r="G44" s="947">
        <f>felújítás!D110</f>
        <v>104237</v>
      </c>
      <c r="H44" s="947">
        <f>felújítás!E110</f>
        <v>543442</v>
      </c>
      <c r="I44" s="733"/>
    </row>
    <row r="45" spans="1:9" s="94" customFormat="1" ht="16.5" customHeight="1" thickBot="1">
      <c r="A45" s="1872"/>
      <c r="B45" s="711" t="s">
        <v>58</v>
      </c>
      <c r="C45" s="1790" t="s">
        <v>363</v>
      </c>
      <c r="D45" s="1851"/>
      <c r="E45" s="719" t="s">
        <v>14</v>
      </c>
      <c r="F45" s="1265">
        <f>felújítás!C111</f>
        <v>18646</v>
      </c>
      <c r="G45" s="1265">
        <f>felújítás!D111</f>
        <v>0</v>
      </c>
      <c r="H45" s="1265">
        <f>felújítás!E111</f>
        <v>18646</v>
      </c>
      <c r="I45" s="733"/>
    </row>
    <row r="46" spans="1:9" s="208" customFormat="1" ht="16.5" customHeight="1" thickBot="1">
      <c r="A46" s="713" t="s">
        <v>316</v>
      </c>
      <c r="B46" s="1797" t="s">
        <v>13</v>
      </c>
      <c r="C46" s="1771"/>
      <c r="D46" s="1841"/>
      <c r="E46" s="714" t="s">
        <v>14</v>
      </c>
      <c r="F46" s="856">
        <f>SUM(F44:F45)</f>
        <v>457851</v>
      </c>
      <c r="G46" s="835">
        <f>SUM(G44:G45)</f>
        <v>104237</v>
      </c>
      <c r="H46" s="856">
        <f>SUM(H44:H45)</f>
        <v>562088</v>
      </c>
      <c r="I46" s="1709">
        <f>hivatal9!K25</f>
        <v>562088</v>
      </c>
    </row>
    <row r="47" spans="1:9" s="208" customFormat="1" ht="16.5" customHeight="1">
      <c r="A47" s="1856"/>
      <c r="B47" s="764">
        <v>1</v>
      </c>
      <c r="C47" s="1779" t="s">
        <v>16</v>
      </c>
      <c r="D47" s="1836"/>
      <c r="E47" s="759" t="s">
        <v>17</v>
      </c>
      <c r="F47" s="760"/>
      <c r="G47" s="761"/>
      <c r="H47" s="634">
        <f>SUM(F47:G47)</f>
        <v>0</v>
      </c>
      <c r="I47" s="733"/>
    </row>
    <row r="48" spans="1:9" s="208" customFormat="1" ht="16.5" customHeight="1">
      <c r="A48" s="1857"/>
      <c r="B48" s="764">
        <v>2</v>
      </c>
      <c r="C48" s="1767" t="s">
        <v>18</v>
      </c>
      <c r="D48" s="1837"/>
      <c r="E48" s="759" t="s">
        <v>19</v>
      </c>
      <c r="F48" s="760"/>
      <c r="G48" s="761"/>
      <c r="H48" s="853">
        <f>SUM(F48:G48)</f>
        <v>0</v>
      </c>
      <c r="I48" s="733"/>
    </row>
    <row r="49" spans="1:9" s="208" customFormat="1" ht="16.5" customHeight="1">
      <c r="A49" s="1857"/>
      <c r="B49" s="1876">
        <v>3</v>
      </c>
      <c r="C49" s="1767" t="s">
        <v>20</v>
      </c>
      <c r="D49" s="1837"/>
      <c r="E49" s="759" t="s">
        <v>21</v>
      </c>
      <c r="F49" s="760">
        <f>SUM(F50:F53)</f>
        <v>0</v>
      </c>
      <c r="G49" s="761">
        <f>SUM(G50:G53)</f>
        <v>7184</v>
      </c>
      <c r="H49" s="849">
        <f>SUM(H50:H53)</f>
        <v>7184</v>
      </c>
      <c r="I49" s="1709">
        <f>hivatal9!K28</f>
        <v>7184</v>
      </c>
    </row>
    <row r="50" spans="1:9" s="708" customFormat="1" ht="16.5" customHeight="1">
      <c r="A50" s="1857"/>
      <c r="B50" s="1877"/>
      <c r="C50" s="705" t="s">
        <v>243</v>
      </c>
      <c r="D50" s="706" t="s">
        <v>389</v>
      </c>
      <c r="E50" s="707" t="str">
        <f>E49</f>
        <v>K84</v>
      </c>
      <c r="F50" s="837"/>
      <c r="G50" s="857"/>
      <c r="H50" s="944">
        <f aca="true" t="shared" si="2" ref="H50:H65">SUM(F50:G50)</f>
        <v>0</v>
      </c>
      <c r="I50" s="1012"/>
    </row>
    <row r="51" spans="1:9" s="708" customFormat="1" ht="16.5" customHeight="1">
      <c r="A51" s="1857"/>
      <c r="B51" s="1877"/>
      <c r="C51" s="705" t="s">
        <v>243</v>
      </c>
      <c r="D51" s="706" t="s">
        <v>429</v>
      </c>
      <c r="E51" s="707" t="s">
        <v>21</v>
      </c>
      <c r="F51" s="837"/>
      <c r="G51" s="857">
        <f>6019+1165</f>
        <v>7184</v>
      </c>
      <c r="H51" s="944">
        <f t="shared" si="2"/>
        <v>7184</v>
      </c>
      <c r="I51" s="1012"/>
    </row>
    <row r="52" spans="1:9" s="708" customFormat="1" ht="16.5" customHeight="1">
      <c r="A52" s="1857"/>
      <c r="B52" s="1877"/>
      <c r="C52" s="705" t="s">
        <v>243</v>
      </c>
      <c r="D52" s="706" t="s">
        <v>848</v>
      </c>
      <c r="E52" s="707" t="str">
        <f>E49</f>
        <v>K84</v>
      </c>
      <c r="F52" s="837"/>
      <c r="G52" s="857"/>
      <c r="H52" s="944">
        <f t="shared" si="2"/>
        <v>0</v>
      </c>
      <c r="I52" s="1012"/>
    </row>
    <row r="53" spans="1:9" s="708" customFormat="1" ht="16.5" customHeight="1">
      <c r="A53" s="1857"/>
      <c r="B53" s="1879"/>
      <c r="C53" s="705" t="s">
        <v>243</v>
      </c>
      <c r="D53" s="706" t="s">
        <v>430</v>
      </c>
      <c r="E53" s="707" t="str">
        <f>E50</f>
        <v>K84</v>
      </c>
      <c r="F53" s="837"/>
      <c r="G53" s="857"/>
      <c r="H53" s="944">
        <f t="shared" si="2"/>
        <v>0</v>
      </c>
      <c r="I53" s="1012"/>
    </row>
    <row r="54" spans="1:9" s="303" customFormat="1" ht="16.5" customHeight="1">
      <c r="A54" s="1857"/>
      <c r="B54" s="1876">
        <v>4</v>
      </c>
      <c r="C54" s="1767" t="s">
        <v>22</v>
      </c>
      <c r="D54" s="1837"/>
      <c r="E54" s="759" t="s">
        <v>23</v>
      </c>
      <c r="F54" s="760">
        <f>SUM(F56:F59)</f>
        <v>11637</v>
      </c>
      <c r="G54" s="761">
        <f>SUM(G56:G59)</f>
        <v>1222</v>
      </c>
      <c r="H54" s="849">
        <f>SUM(H56:H59)</f>
        <v>12859</v>
      </c>
      <c r="I54" s="1176">
        <f>hivatal9!K29</f>
        <v>12859</v>
      </c>
    </row>
    <row r="55" spans="1:9" s="708" customFormat="1" ht="16.5" customHeight="1">
      <c r="A55" s="1857"/>
      <c r="B55" s="1877"/>
      <c r="C55" s="705" t="s">
        <v>243</v>
      </c>
      <c r="D55" s="559" t="s">
        <v>354</v>
      </c>
      <c r="E55" s="561" t="str">
        <f>E54</f>
        <v>K86</v>
      </c>
      <c r="F55" s="838"/>
      <c r="G55" s="581"/>
      <c r="H55" s="944">
        <f t="shared" si="2"/>
        <v>0</v>
      </c>
      <c r="I55" s="1012"/>
    </row>
    <row r="56" spans="1:9" s="708" customFormat="1" ht="16.5" customHeight="1">
      <c r="A56" s="1857"/>
      <c r="B56" s="1877"/>
      <c r="C56" s="705" t="s">
        <v>243</v>
      </c>
      <c r="D56" s="559" t="s">
        <v>355</v>
      </c>
      <c r="E56" s="561" t="str">
        <f>E55</f>
        <v>K86</v>
      </c>
      <c r="F56" s="838"/>
      <c r="G56" s="581"/>
      <c r="H56" s="944">
        <f t="shared" si="2"/>
        <v>0</v>
      </c>
      <c r="I56" s="1012"/>
    </row>
    <row r="57" spans="1:9" s="708" customFormat="1" ht="16.5" customHeight="1">
      <c r="A57" s="1857"/>
      <c r="B57" s="1877"/>
      <c r="C57" s="705" t="s">
        <v>243</v>
      </c>
      <c r="D57" s="559" t="s">
        <v>356</v>
      </c>
      <c r="E57" s="561" t="str">
        <f>E56</f>
        <v>K86</v>
      </c>
      <c r="F57" s="838">
        <v>11637</v>
      </c>
      <c r="G57" s="581">
        <v>1222</v>
      </c>
      <c r="H57" s="944">
        <f t="shared" si="2"/>
        <v>12859</v>
      </c>
      <c r="I57" s="1012"/>
    </row>
    <row r="58" spans="1:9" s="708" customFormat="1" ht="16.5" customHeight="1">
      <c r="A58" s="1857"/>
      <c r="B58" s="1877"/>
      <c r="C58" s="705" t="s">
        <v>243</v>
      </c>
      <c r="D58" s="559" t="s">
        <v>357</v>
      </c>
      <c r="E58" s="561" t="str">
        <f>E57</f>
        <v>K86</v>
      </c>
      <c r="F58" s="838"/>
      <c r="G58" s="581"/>
      <c r="H58" s="944">
        <f t="shared" si="2"/>
        <v>0</v>
      </c>
      <c r="I58" s="1012"/>
    </row>
    <row r="59" spans="1:9" s="708" customFormat="1" ht="16.5" customHeight="1">
      <c r="A59" s="1857"/>
      <c r="B59" s="1879"/>
      <c r="C59" s="705" t="s">
        <v>243</v>
      </c>
      <c r="D59" s="559" t="s">
        <v>364</v>
      </c>
      <c r="E59" s="561" t="str">
        <f>E57</f>
        <v>K86</v>
      </c>
      <c r="F59" s="838"/>
      <c r="G59" s="581"/>
      <c r="H59" s="944">
        <f t="shared" si="2"/>
        <v>0</v>
      </c>
      <c r="I59" s="1012"/>
    </row>
    <row r="60" spans="1:9" s="208" customFormat="1" ht="16.5" customHeight="1">
      <c r="A60" s="1857"/>
      <c r="B60" s="1876">
        <v>5</v>
      </c>
      <c r="C60" s="1767" t="s">
        <v>24</v>
      </c>
      <c r="D60" s="1837"/>
      <c r="E60" s="1069" t="s">
        <v>469</v>
      </c>
      <c r="F60" s="765">
        <f>SUM(F61:F65)</f>
        <v>88079</v>
      </c>
      <c r="G60" s="766">
        <f>SUM(G61:G65)</f>
        <v>368549</v>
      </c>
      <c r="H60" s="761">
        <f>SUM(H61:H65)</f>
        <v>456628</v>
      </c>
      <c r="I60" s="1709">
        <f>hivatal9!K30</f>
        <v>456628</v>
      </c>
    </row>
    <row r="61" spans="1:9" s="708" customFormat="1" ht="16.5" customHeight="1">
      <c r="A61" s="1857"/>
      <c r="B61" s="1877"/>
      <c r="C61" s="705" t="s">
        <v>243</v>
      </c>
      <c r="D61" s="559" t="s">
        <v>354</v>
      </c>
      <c r="E61" s="561" t="str">
        <f>E60</f>
        <v>K89</v>
      </c>
      <c r="F61" s="838">
        <v>10175</v>
      </c>
      <c r="G61" s="581"/>
      <c r="H61" s="944">
        <f t="shared" si="2"/>
        <v>10175</v>
      </c>
      <c r="I61" s="1012"/>
    </row>
    <row r="62" spans="1:9" s="708" customFormat="1" ht="16.5" customHeight="1">
      <c r="A62" s="1857"/>
      <c r="B62" s="1877"/>
      <c r="C62" s="705" t="s">
        <v>243</v>
      </c>
      <c r="D62" s="559" t="s">
        <v>355</v>
      </c>
      <c r="E62" s="561" t="str">
        <f>E61</f>
        <v>K89</v>
      </c>
      <c r="F62" s="838">
        <v>47043</v>
      </c>
      <c r="G62" s="581">
        <f>190+271-1165-1481</f>
        <v>-2185</v>
      </c>
      <c r="H62" s="944">
        <f t="shared" si="2"/>
        <v>44858</v>
      </c>
      <c r="I62" s="1012"/>
    </row>
    <row r="63" spans="1:9" s="708" customFormat="1" ht="16.5" customHeight="1">
      <c r="A63" s="1857"/>
      <c r="B63" s="1877"/>
      <c r="C63" s="705" t="s">
        <v>243</v>
      </c>
      <c r="D63" s="559" t="s">
        <v>356</v>
      </c>
      <c r="E63" s="561" t="str">
        <f>E62</f>
        <v>K89</v>
      </c>
      <c r="F63" s="838">
        <v>15382</v>
      </c>
      <c r="G63" s="581"/>
      <c r="H63" s="944">
        <f t="shared" si="2"/>
        <v>15382</v>
      </c>
      <c r="I63" s="1012"/>
    </row>
    <row r="64" spans="1:9" s="708" customFormat="1" ht="16.5" customHeight="1">
      <c r="A64" s="1857"/>
      <c r="B64" s="1877"/>
      <c r="C64" s="705" t="s">
        <v>243</v>
      </c>
      <c r="D64" s="559" t="s">
        <v>357</v>
      </c>
      <c r="E64" s="561" t="str">
        <f>E63</f>
        <v>K89</v>
      </c>
      <c r="F64" s="838"/>
      <c r="G64" s="581">
        <v>370734</v>
      </c>
      <c r="H64" s="944">
        <f t="shared" si="2"/>
        <v>370734</v>
      </c>
      <c r="I64" s="1012"/>
    </row>
    <row r="65" spans="1:9" s="708" customFormat="1" ht="16.5" customHeight="1" thickBot="1">
      <c r="A65" s="1858"/>
      <c r="B65" s="1878"/>
      <c r="C65" s="705" t="s">
        <v>243</v>
      </c>
      <c r="D65" s="559" t="s">
        <v>364</v>
      </c>
      <c r="E65" s="561" t="str">
        <f>E63</f>
        <v>K89</v>
      </c>
      <c r="F65" s="1360">
        <v>15479</v>
      </c>
      <c r="G65" s="858"/>
      <c r="H65" s="944">
        <f t="shared" si="2"/>
        <v>15479</v>
      </c>
      <c r="I65" s="1012"/>
    </row>
    <row r="66" spans="1:9" s="273" customFormat="1" ht="16.5" customHeight="1" thickBot="1">
      <c r="A66" s="755" t="s">
        <v>110</v>
      </c>
      <c r="B66" s="1863" t="s">
        <v>173</v>
      </c>
      <c r="C66" s="1864"/>
      <c r="D66" s="1865"/>
      <c r="E66" s="756" t="s">
        <v>15</v>
      </c>
      <c r="F66" s="949">
        <f>F47+F48+F49+F54+F60</f>
        <v>99716</v>
      </c>
      <c r="G66" s="757">
        <f>G47+G48+G49+G54+G60</f>
        <v>376955</v>
      </c>
      <c r="H66" s="950">
        <f>H47+H48+H49+H54+H60</f>
        <v>476671</v>
      </c>
      <c r="I66" s="1173"/>
    </row>
    <row r="67" spans="1:9" s="522" customFormat="1" ht="21" customHeight="1" thickBot="1">
      <c r="A67" s="1049" t="s">
        <v>121</v>
      </c>
      <c r="B67" s="1848" t="s">
        <v>405</v>
      </c>
      <c r="C67" s="1849"/>
      <c r="D67" s="1849"/>
      <c r="E67" s="831"/>
      <c r="F67" s="843">
        <f>F43+F46+F66</f>
        <v>3829315</v>
      </c>
      <c r="G67" s="832">
        <f>G43+G46+G66</f>
        <v>1155051</v>
      </c>
      <c r="H67" s="854">
        <f>H43+H46+H66</f>
        <v>4984366</v>
      </c>
      <c r="I67" s="1173"/>
    </row>
    <row r="68" spans="1:9" s="94" customFormat="1" ht="21.75" customHeight="1" thickBot="1">
      <c r="A68" s="1842" t="s">
        <v>359</v>
      </c>
      <c r="B68" s="1843"/>
      <c r="C68" s="1843"/>
      <c r="D68" s="1843"/>
      <c r="E68" s="1844"/>
      <c r="F68" s="709">
        <f>'bevétfő '!G80-'kiadfő '!F67</f>
        <v>-3022846</v>
      </c>
      <c r="G68" s="710">
        <f>'bevétfő '!H80-'kiadfő '!G67</f>
        <v>-179165</v>
      </c>
      <c r="H68" s="852">
        <f>'bevétfő '!I80-'kiadfő '!H67</f>
        <v>-3202011</v>
      </c>
      <c r="I68" s="733"/>
    </row>
    <row r="69" spans="1:9" s="273" customFormat="1" ht="21" customHeight="1" thickBot="1">
      <c r="A69" s="721" t="s">
        <v>111</v>
      </c>
      <c r="B69" s="1852" t="s">
        <v>365</v>
      </c>
      <c r="C69" s="1830"/>
      <c r="D69" s="1830"/>
      <c r="E69" s="1831"/>
      <c r="F69" s="722">
        <f>F39+F67</f>
        <v>16561690</v>
      </c>
      <c r="G69" s="712">
        <f>G39+G67</f>
        <v>1188023</v>
      </c>
      <c r="H69" s="855">
        <f>H39+H67</f>
        <v>17749713</v>
      </c>
      <c r="I69" s="1173"/>
    </row>
    <row r="70" spans="1:9" s="94" customFormat="1" ht="21.75" customHeight="1" thickBot="1">
      <c r="A70" s="1859" t="s">
        <v>425</v>
      </c>
      <c r="B70" s="1860"/>
      <c r="C70" s="1860"/>
      <c r="D70" s="1860"/>
      <c r="E70" s="1861"/>
      <c r="F70" s="710">
        <f>'bevétfő '!G81-'kiadfő '!F69</f>
        <v>-5556579</v>
      </c>
      <c r="G70" s="709">
        <f>'bevétfő '!H81-'kiadfő '!G69</f>
        <v>0</v>
      </c>
      <c r="H70" s="710">
        <f>'bevétfő '!I81-'kiadfő '!H69</f>
        <v>-5556579</v>
      </c>
      <c r="I70" s="733"/>
    </row>
    <row r="71" spans="1:9" s="208" customFormat="1" ht="16.5" customHeight="1">
      <c r="A71" s="1856"/>
      <c r="B71" s="1853">
        <v>1</v>
      </c>
      <c r="C71" s="1779" t="s">
        <v>353</v>
      </c>
      <c r="D71" s="1836"/>
      <c r="E71" s="768" t="s">
        <v>27</v>
      </c>
      <c r="F71" s="844">
        <f>SUM(F72:F74)</f>
        <v>0</v>
      </c>
      <c r="G71" s="669">
        <f>SUM(G72:G74)</f>
        <v>0</v>
      </c>
      <c r="H71" s="853">
        <f>SUM(H72:H74)</f>
        <v>0</v>
      </c>
      <c r="I71" s="733"/>
    </row>
    <row r="72" spans="1:9" s="94" customFormat="1" ht="16.5" customHeight="1">
      <c r="A72" s="1857"/>
      <c r="B72" s="1854"/>
      <c r="C72" s="558" t="s">
        <v>98</v>
      </c>
      <c r="D72" s="557" t="s">
        <v>28</v>
      </c>
      <c r="E72" s="603" t="s">
        <v>29</v>
      </c>
      <c r="F72" s="840"/>
      <c r="G72" s="594"/>
      <c r="H72" s="944">
        <f aca="true" t="shared" si="3" ref="H72:H77">SUM(F72:G72)</f>
        <v>0</v>
      </c>
      <c r="I72" s="733"/>
    </row>
    <row r="73" spans="1:9" s="94" customFormat="1" ht="16.5" customHeight="1">
      <c r="A73" s="1857"/>
      <c r="B73" s="1854"/>
      <c r="C73" s="558" t="s">
        <v>99</v>
      </c>
      <c r="D73" s="557" t="s">
        <v>30</v>
      </c>
      <c r="E73" s="603" t="s">
        <v>31</v>
      </c>
      <c r="F73" s="840"/>
      <c r="G73" s="594"/>
      <c r="H73" s="944">
        <f t="shared" si="3"/>
        <v>0</v>
      </c>
      <c r="I73" s="733"/>
    </row>
    <row r="74" spans="1:9" s="273" customFormat="1" ht="16.5" customHeight="1">
      <c r="A74" s="1857"/>
      <c r="B74" s="1855"/>
      <c r="C74" s="558" t="s">
        <v>100</v>
      </c>
      <c r="D74" s="754" t="s">
        <v>32</v>
      </c>
      <c r="E74" s="603" t="s">
        <v>33</v>
      </c>
      <c r="F74" s="840"/>
      <c r="G74" s="594"/>
      <c r="H74" s="944">
        <f t="shared" si="3"/>
        <v>0</v>
      </c>
      <c r="I74" s="1173"/>
    </row>
    <row r="75" spans="1:9" s="208" customFormat="1" ht="16.5" customHeight="1">
      <c r="A75" s="1857"/>
      <c r="B75" s="767">
        <v>2</v>
      </c>
      <c r="C75" s="1767" t="s">
        <v>34</v>
      </c>
      <c r="D75" s="1837"/>
      <c r="E75" s="654" t="s">
        <v>35</v>
      </c>
      <c r="F75" s="845"/>
      <c r="G75" s="653"/>
      <c r="H75" s="848">
        <f t="shared" si="3"/>
        <v>0</v>
      </c>
      <c r="I75" s="733"/>
    </row>
    <row r="76" spans="1:9" s="208" customFormat="1" ht="16.5" customHeight="1">
      <c r="A76" s="1857"/>
      <c r="B76" s="1040">
        <v>3</v>
      </c>
      <c r="C76" s="1419" t="s">
        <v>659</v>
      </c>
      <c r="D76" s="1420"/>
      <c r="E76" s="656" t="s">
        <v>637</v>
      </c>
      <c r="F76" s="1041">
        <v>72111</v>
      </c>
      <c r="G76" s="658"/>
      <c r="H76" s="848">
        <f t="shared" si="3"/>
        <v>72111</v>
      </c>
      <c r="I76" s="1709">
        <f>hivatal9!K32</f>
        <v>72111</v>
      </c>
    </row>
    <row r="77" spans="1:9" s="273" customFormat="1" ht="16.5" customHeight="1" thickBot="1">
      <c r="A77" s="1857"/>
      <c r="B77" s="1040">
        <v>4</v>
      </c>
      <c r="C77" s="1775" t="s">
        <v>36</v>
      </c>
      <c r="D77" s="1862"/>
      <c r="E77" s="656" t="s">
        <v>37</v>
      </c>
      <c r="F77" s="1041"/>
      <c r="G77" s="658"/>
      <c r="H77" s="1042">
        <f t="shared" si="3"/>
        <v>0</v>
      </c>
      <c r="I77" s="1173"/>
    </row>
    <row r="78" spans="1:9" s="208" customFormat="1" ht="16.5" customHeight="1" thickBot="1">
      <c r="A78" s="680" t="s">
        <v>122</v>
      </c>
      <c r="B78" s="1797" t="s">
        <v>25</v>
      </c>
      <c r="C78" s="1771"/>
      <c r="D78" s="1841"/>
      <c r="E78" s="714" t="s">
        <v>26</v>
      </c>
      <c r="F78" s="1504">
        <f>F71+F75+F77+F76</f>
        <v>72111</v>
      </c>
      <c r="G78" s="1504">
        <f>G71+G75+G77+G76</f>
        <v>0</v>
      </c>
      <c r="H78" s="1504">
        <f>H71+H75+H77+H76</f>
        <v>72111</v>
      </c>
      <c r="I78" s="733"/>
    </row>
    <row r="79" spans="1:9" s="208" customFormat="1" ht="16.5" customHeight="1" thickBot="1">
      <c r="A79" s="1043" t="s">
        <v>322</v>
      </c>
      <c r="B79" s="1868" t="s">
        <v>38</v>
      </c>
      <c r="C79" s="1869"/>
      <c r="D79" s="1870"/>
      <c r="E79" s="1044" t="s">
        <v>39</v>
      </c>
      <c r="F79" s="1045"/>
      <c r="G79" s="1046"/>
      <c r="H79" s="1047">
        <f>SUM(F79:G79)</f>
        <v>0</v>
      </c>
      <c r="I79" s="733"/>
    </row>
    <row r="80" spans="1:9" s="522" customFormat="1" ht="21" customHeight="1" thickBot="1">
      <c r="A80" s="830" t="s">
        <v>42</v>
      </c>
      <c r="B80" s="1848" t="s">
        <v>408</v>
      </c>
      <c r="C80" s="1849"/>
      <c r="D80" s="1849"/>
      <c r="E80" s="831"/>
      <c r="F80" s="846">
        <f>SUM(F78:F79)</f>
        <v>72111</v>
      </c>
      <c r="G80" s="829">
        <f>SUM(G78:G79)</f>
        <v>0</v>
      </c>
      <c r="H80" s="829">
        <f>SUM(H78:H79)</f>
        <v>72111</v>
      </c>
      <c r="I80" s="1173"/>
    </row>
    <row r="81" spans="1:9" s="522" customFormat="1" ht="22.5" customHeight="1" thickBot="1">
      <c r="A81" s="723" t="s">
        <v>43</v>
      </c>
      <c r="B81" s="1830" t="s">
        <v>366</v>
      </c>
      <c r="C81" s="1830"/>
      <c r="D81" s="1830"/>
      <c r="E81" s="1831"/>
      <c r="F81" s="847">
        <f>F69+F80</f>
        <v>16633801</v>
      </c>
      <c r="G81" s="951">
        <f>G69+G80</f>
        <v>1188023</v>
      </c>
      <c r="H81" s="951">
        <f>H69+H80</f>
        <v>17821824</v>
      </c>
      <c r="I81" s="1176">
        <f>hivatal9!K34</f>
        <v>17821824</v>
      </c>
    </row>
    <row r="82" spans="1:9" s="94" customFormat="1" ht="12.75">
      <c r="A82" s="699"/>
      <c r="B82" s="699"/>
      <c r="C82" s="699"/>
      <c r="D82" s="701"/>
      <c r="E82" s="701"/>
      <c r="F82" s="702"/>
      <c r="G82" s="702"/>
      <c r="H82" s="702"/>
      <c r="I82" s="733"/>
    </row>
    <row r="83" spans="1:9" s="94" customFormat="1" ht="12.75">
      <c r="A83" s="700"/>
      <c r="B83" s="699"/>
      <c r="C83" s="699"/>
      <c r="D83" s="701"/>
      <c r="E83" s="701"/>
      <c r="F83" s="702"/>
      <c r="G83" s="702"/>
      <c r="H83" s="702">
        <f>'bevétfő '!I92-'kiadfő '!H81</f>
        <v>0</v>
      </c>
      <c r="I83" s="733"/>
    </row>
    <row r="84" spans="1:9" s="94" customFormat="1" ht="12.75">
      <c r="A84" s="699"/>
      <c r="B84" s="699"/>
      <c r="C84" s="699"/>
      <c r="D84" s="701"/>
      <c r="E84" s="701"/>
      <c r="F84" s="702"/>
      <c r="G84" s="702"/>
      <c r="H84" s="702"/>
      <c r="I84" s="733"/>
    </row>
    <row r="85" spans="1:9" s="94" customFormat="1" ht="12.75">
      <c r="A85" s="699"/>
      <c r="B85" s="699"/>
      <c r="C85" s="699"/>
      <c r="D85" s="701"/>
      <c r="E85" s="701"/>
      <c r="F85" s="702"/>
      <c r="G85" s="702"/>
      <c r="H85" s="702"/>
      <c r="I85" s="733"/>
    </row>
    <row r="86" spans="1:9" s="94" customFormat="1" ht="12.75">
      <c r="A86" s="699"/>
      <c r="B86" s="699"/>
      <c r="C86" s="699"/>
      <c r="D86" s="701"/>
      <c r="E86" s="701"/>
      <c r="F86" s="702"/>
      <c r="G86" s="702"/>
      <c r="H86" s="702"/>
      <c r="I86" s="733"/>
    </row>
    <row r="87" spans="1:9" s="94" customFormat="1" ht="12.75">
      <c r="A87" s="233"/>
      <c r="B87" s="233"/>
      <c r="C87" s="233"/>
      <c r="F87" s="697"/>
      <c r="G87" s="697"/>
      <c r="H87" s="697"/>
      <c r="I87" s="733"/>
    </row>
    <row r="88" spans="1:9" s="94" customFormat="1" ht="12.75">
      <c r="A88" s="233"/>
      <c r="B88" s="233"/>
      <c r="C88" s="233"/>
      <c r="F88" s="697"/>
      <c r="G88" s="697"/>
      <c r="H88" s="697"/>
      <c r="I88" s="733"/>
    </row>
    <row r="89" spans="1:9" s="94" customFormat="1" ht="12.75">
      <c r="A89" s="233"/>
      <c r="B89" s="233"/>
      <c r="C89" s="233"/>
      <c r="F89" s="697"/>
      <c r="G89" s="697"/>
      <c r="H89" s="697"/>
      <c r="I89" s="733"/>
    </row>
    <row r="90" spans="1:9" s="94" customFormat="1" ht="12.75">
      <c r="A90" s="233"/>
      <c r="B90" s="233"/>
      <c r="C90" s="233"/>
      <c r="F90" s="697"/>
      <c r="G90" s="697"/>
      <c r="H90" s="697"/>
      <c r="I90" s="733"/>
    </row>
    <row r="91" spans="1:9" s="94" customFormat="1" ht="12.75">
      <c r="A91" s="233"/>
      <c r="B91" s="233"/>
      <c r="C91" s="233"/>
      <c r="F91" s="697"/>
      <c r="G91" s="697"/>
      <c r="H91" s="697"/>
      <c r="I91" s="733"/>
    </row>
    <row r="92" spans="1:9" s="94" customFormat="1" ht="12.75">
      <c r="A92" s="233"/>
      <c r="B92" s="233"/>
      <c r="C92" s="233"/>
      <c r="F92" s="697"/>
      <c r="G92" s="697"/>
      <c r="H92" s="697"/>
      <c r="I92" s="733"/>
    </row>
    <row r="93" spans="1:9" s="94" customFormat="1" ht="12.75">
      <c r="A93" s="233"/>
      <c r="B93" s="233"/>
      <c r="C93" s="233"/>
      <c r="F93" s="697"/>
      <c r="G93" s="697"/>
      <c r="H93" s="697"/>
      <c r="I93" s="733"/>
    </row>
    <row r="94" spans="1:9" s="94" customFormat="1" ht="12.75">
      <c r="A94" s="233"/>
      <c r="B94" s="233"/>
      <c r="C94" s="233"/>
      <c r="F94" s="697"/>
      <c r="G94" s="697"/>
      <c r="H94" s="697"/>
      <c r="I94" s="733"/>
    </row>
    <row r="95" spans="1:9" s="94" customFormat="1" ht="12.75">
      <c r="A95" s="233"/>
      <c r="B95" s="233"/>
      <c r="C95" s="233"/>
      <c r="F95" s="697"/>
      <c r="G95" s="697"/>
      <c r="H95" s="697"/>
      <c r="I95" s="733"/>
    </row>
    <row r="96" spans="1:9" s="94" customFormat="1" ht="12.75">
      <c r="A96" s="233"/>
      <c r="B96" s="233"/>
      <c r="C96" s="233"/>
      <c r="F96" s="697"/>
      <c r="G96" s="697"/>
      <c r="H96" s="697"/>
      <c r="I96" s="733"/>
    </row>
    <row r="97" spans="1:9" s="94" customFormat="1" ht="12.75">
      <c r="A97" s="233"/>
      <c r="B97" s="233"/>
      <c r="C97" s="233"/>
      <c r="F97" s="697"/>
      <c r="G97" s="697"/>
      <c r="H97" s="697"/>
      <c r="I97" s="733"/>
    </row>
    <row r="98" spans="1:9" s="94" customFormat="1" ht="12.75">
      <c r="A98" s="233"/>
      <c r="B98" s="233"/>
      <c r="C98" s="233"/>
      <c r="F98" s="697"/>
      <c r="G98" s="697"/>
      <c r="H98" s="697"/>
      <c r="I98" s="733"/>
    </row>
    <row r="99" spans="1:9" s="94" customFormat="1" ht="12.75">
      <c r="A99" s="233"/>
      <c r="B99" s="233"/>
      <c r="C99" s="233"/>
      <c r="F99" s="697"/>
      <c r="G99" s="697"/>
      <c r="H99" s="697"/>
      <c r="I99" s="733"/>
    </row>
    <row r="100" spans="1:9" s="94" customFormat="1" ht="12.75">
      <c r="A100" s="233"/>
      <c r="B100" s="233"/>
      <c r="C100" s="233"/>
      <c r="F100" s="697"/>
      <c r="G100" s="697"/>
      <c r="H100" s="697"/>
      <c r="I100" s="733"/>
    </row>
    <row r="101" spans="1:9" s="94" customFormat="1" ht="12.75">
      <c r="A101" s="233"/>
      <c r="B101" s="233"/>
      <c r="C101" s="233"/>
      <c r="F101" s="697"/>
      <c r="G101" s="697"/>
      <c r="H101" s="697"/>
      <c r="I101" s="733"/>
    </row>
    <row r="102" spans="1:9" s="94" customFormat="1" ht="12.75">
      <c r="A102" s="233"/>
      <c r="B102" s="233"/>
      <c r="C102" s="233"/>
      <c r="F102" s="697"/>
      <c r="G102" s="697"/>
      <c r="H102" s="697"/>
      <c r="I102" s="733"/>
    </row>
    <row r="103" spans="1:9" s="94" customFormat="1" ht="12.75">
      <c r="A103" s="233"/>
      <c r="B103" s="233"/>
      <c r="C103" s="233"/>
      <c r="F103" s="697"/>
      <c r="G103" s="697"/>
      <c r="H103" s="697"/>
      <c r="I103" s="733"/>
    </row>
    <row r="104" spans="1:9" s="94" customFormat="1" ht="12.75">
      <c r="A104" s="233"/>
      <c r="B104" s="233"/>
      <c r="C104" s="233"/>
      <c r="F104" s="697"/>
      <c r="G104" s="697"/>
      <c r="H104" s="697"/>
      <c r="I104" s="733"/>
    </row>
    <row r="105" spans="1:9" s="94" customFormat="1" ht="12.75">
      <c r="A105" s="233"/>
      <c r="B105" s="233"/>
      <c r="C105" s="233"/>
      <c r="F105" s="697"/>
      <c r="G105" s="697"/>
      <c r="H105" s="697"/>
      <c r="I105" s="733"/>
    </row>
    <row r="106" spans="1:9" s="94" customFormat="1" ht="12.75">
      <c r="A106" s="233"/>
      <c r="B106" s="233"/>
      <c r="C106" s="233"/>
      <c r="F106" s="697"/>
      <c r="G106" s="697"/>
      <c r="H106" s="697"/>
      <c r="I106" s="733"/>
    </row>
    <row r="107" spans="1:9" s="94" customFormat="1" ht="12.75">
      <c r="A107" s="233"/>
      <c r="B107" s="233"/>
      <c r="C107" s="233"/>
      <c r="F107" s="697"/>
      <c r="G107" s="697"/>
      <c r="H107" s="697"/>
      <c r="I107" s="733"/>
    </row>
    <row r="108" spans="1:9" s="94" customFormat="1" ht="12.75">
      <c r="A108" s="233"/>
      <c r="B108" s="233"/>
      <c r="C108" s="233"/>
      <c r="F108" s="697"/>
      <c r="G108" s="697"/>
      <c r="H108" s="697"/>
      <c r="I108" s="733"/>
    </row>
    <row r="109" spans="1:9" s="94" customFormat="1" ht="12.75">
      <c r="A109" s="233"/>
      <c r="B109" s="233"/>
      <c r="C109" s="233"/>
      <c r="F109" s="697"/>
      <c r="G109" s="697"/>
      <c r="H109" s="697"/>
      <c r="I109" s="733"/>
    </row>
    <row r="110" spans="1:9" s="94" customFormat="1" ht="12.75">
      <c r="A110" s="233"/>
      <c r="B110" s="233"/>
      <c r="C110" s="233"/>
      <c r="F110" s="697"/>
      <c r="G110" s="697"/>
      <c r="H110" s="697"/>
      <c r="I110" s="733"/>
    </row>
    <row r="111" spans="1:9" s="94" customFormat="1" ht="12.75">
      <c r="A111" s="233"/>
      <c r="B111" s="233"/>
      <c r="C111" s="233"/>
      <c r="F111" s="697"/>
      <c r="G111" s="697"/>
      <c r="H111" s="697"/>
      <c r="I111" s="733"/>
    </row>
    <row r="112" spans="1:9" s="94" customFormat="1" ht="12.75">
      <c r="A112" s="233"/>
      <c r="B112" s="233"/>
      <c r="C112" s="233"/>
      <c r="F112" s="697"/>
      <c r="G112" s="697"/>
      <c r="H112" s="697"/>
      <c r="I112" s="733"/>
    </row>
    <row r="113" spans="1:9" s="94" customFormat="1" ht="12.75">
      <c r="A113" s="233"/>
      <c r="B113" s="233"/>
      <c r="C113" s="233"/>
      <c r="F113" s="697"/>
      <c r="G113" s="697"/>
      <c r="H113" s="697"/>
      <c r="I113" s="733"/>
    </row>
    <row r="114" spans="1:9" s="94" customFormat="1" ht="12.75">
      <c r="A114" s="233"/>
      <c r="B114" s="233"/>
      <c r="C114" s="233"/>
      <c r="F114" s="697"/>
      <c r="G114" s="697"/>
      <c r="H114" s="697"/>
      <c r="I114" s="733"/>
    </row>
    <row r="115" spans="1:9" s="94" customFormat="1" ht="12.75">
      <c r="A115" s="233"/>
      <c r="B115" s="233"/>
      <c r="C115" s="233"/>
      <c r="F115" s="697"/>
      <c r="G115" s="697"/>
      <c r="H115" s="697"/>
      <c r="I115" s="733"/>
    </row>
    <row r="116" spans="1:9" s="94" customFormat="1" ht="12.75">
      <c r="A116" s="233"/>
      <c r="B116" s="233"/>
      <c r="C116" s="233"/>
      <c r="F116" s="697"/>
      <c r="G116" s="697"/>
      <c r="H116" s="697"/>
      <c r="I116" s="733"/>
    </row>
    <row r="117" spans="1:9" s="94" customFormat="1" ht="12.75">
      <c r="A117" s="233"/>
      <c r="B117" s="233"/>
      <c r="C117" s="233"/>
      <c r="F117" s="697"/>
      <c r="G117" s="697"/>
      <c r="H117" s="697"/>
      <c r="I117" s="733"/>
    </row>
    <row r="118" spans="1:9" s="94" customFormat="1" ht="12.75">
      <c r="A118" s="233"/>
      <c r="B118" s="233"/>
      <c r="C118" s="233"/>
      <c r="F118" s="697"/>
      <c r="G118" s="697"/>
      <c r="H118" s="697"/>
      <c r="I118" s="733"/>
    </row>
    <row r="119" spans="1:9" s="94" customFormat="1" ht="12.75">
      <c r="A119" s="233"/>
      <c r="B119" s="233"/>
      <c r="C119" s="233"/>
      <c r="F119" s="697"/>
      <c r="G119" s="697"/>
      <c r="H119" s="697"/>
      <c r="I119" s="733"/>
    </row>
    <row r="120" spans="1:9" s="94" customFormat="1" ht="12.75">
      <c r="A120" s="233"/>
      <c r="B120" s="233"/>
      <c r="C120" s="233"/>
      <c r="F120" s="697"/>
      <c r="G120" s="697"/>
      <c r="H120" s="697"/>
      <c r="I120" s="733"/>
    </row>
    <row r="121" spans="1:9" s="94" customFormat="1" ht="12.75">
      <c r="A121" s="233"/>
      <c r="B121" s="233"/>
      <c r="C121" s="233"/>
      <c r="F121" s="697"/>
      <c r="G121" s="697"/>
      <c r="H121" s="697"/>
      <c r="I121" s="733"/>
    </row>
    <row r="122" spans="1:3" ht="12.75">
      <c r="A122" s="233"/>
      <c r="B122" s="233"/>
      <c r="C122" s="233"/>
    </row>
  </sheetData>
  <sheetProtection/>
  <mergeCells count="54">
    <mergeCell ref="A41:A42"/>
    <mergeCell ref="A44:A45"/>
    <mergeCell ref="A13:A37"/>
    <mergeCell ref="B60:B65"/>
    <mergeCell ref="B54:B59"/>
    <mergeCell ref="B49:B53"/>
    <mergeCell ref="B16:B22"/>
    <mergeCell ref="B23:B28"/>
    <mergeCell ref="B29:B34"/>
    <mergeCell ref="B35:B37"/>
    <mergeCell ref="B38:D38"/>
    <mergeCell ref="B39:D39"/>
    <mergeCell ref="C41:D41"/>
    <mergeCell ref="C42:D42"/>
    <mergeCell ref="B81:E81"/>
    <mergeCell ref="B79:D79"/>
    <mergeCell ref="A68:E68"/>
    <mergeCell ref="B43:D43"/>
    <mergeCell ref="B46:D46"/>
    <mergeCell ref="A71:A77"/>
    <mergeCell ref="B71:B74"/>
    <mergeCell ref="A47:A65"/>
    <mergeCell ref="A70:E70"/>
    <mergeCell ref="C71:D71"/>
    <mergeCell ref="C75:D75"/>
    <mergeCell ref="C77:D77"/>
    <mergeCell ref="B66:D66"/>
    <mergeCell ref="B67:D67"/>
    <mergeCell ref="B78:D78"/>
    <mergeCell ref="B80:D80"/>
    <mergeCell ref="C44:D44"/>
    <mergeCell ref="C45:D45"/>
    <mergeCell ref="B69:E69"/>
    <mergeCell ref="C47:D47"/>
    <mergeCell ref="C48:D48"/>
    <mergeCell ref="C49:D49"/>
    <mergeCell ref="C54:D54"/>
    <mergeCell ref="C60:D60"/>
    <mergeCell ref="A4:H4"/>
    <mergeCell ref="A5:H5"/>
    <mergeCell ref="B7:D7"/>
    <mergeCell ref="B10:D10"/>
    <mergeCell ref="A40:E40"/>
    <mergeCell ref="B11:D11"/>
    <mergeCell ref="C35:D35"/>
    <mergeCell ref="B8:D8"/>
    <mergeCell ref="B9:D9"/>
    <mergeCell ref="B12:D12"/>
    <mergeCell ref="C13:D13"/>
    <mergeCell ref="C14:D14"/>
    <mergeCell ref="C15:D15"/>
    <mergeCell ref="C16:D16"/>
    <mergeCell ref="C23:D23"/>
    <mergeCell ref="C29:D29"/>
  </mergeCells>
  <printOptions horizontalCentered="1"/>
  <pageMargins left="0.7874015748031497" right="0.7874015748031497" top="0.61" bottom="0.77" header="0.4" footer="0.5118110236220472"/>
  <pageSetup fitToHeight="1" fitToWidth="1" horizontalDpi="600" verticalDpi="600" orientation="portrait" paperSize="9" scale="51" r:id="rId1"/>
  <headerFooter alignWithMargins="0">
    <oddFooter>&amp;L&amp;F&amp;C&amp;D    &amp;T&amp;R&amp;A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3"/>
  <sheetViews>
    <sheetView showGridLines="0" tabSelected="1" zoomScale="87" zoomScaleNormal="87" zoomScalePageLayoutView="0" workbookViewId="0" topLeftCell="A1">
      <pane xSplit="3" ySplit="11" topLeftCell="D12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L1" sqref="L1"/>
    </sheetView>
  </sheetViews>
  <sheetFormatPr defaultColWidth="10.625" defaultRowHeight="12.75"/>
  <cols>
    <col min="1" max="1" width="1.625" style="140" customWidth="1"/>
    <col min="2" max="2" width="9.125" style="276" customWidth="1"/>
    <col min="3" max="3" width="62.625" style="277" customWidth="1"/>
    <col min="4" max="7" width="21.00390625" style="277" customWidth="1"/>
    <col min="8" max="8" width="19.50390625" style="277" customWidth="1"/>
    <col min="9" max="9" width="21.00390625" style="280" customWidth="1"/>
    <col min="10" max="10" width="21.00390625" style="279" customWidth="1"/>
    <col min="11" max="11" width="20.125" style="279" customWidth="1"/>
    <col min="12" max="12" width="18.625" style="279" customWidth="1"/>
    <col min="13" max="13" width="22.00390625" style="516" customWidth="1"/>
    <col min="14" max="14" width="25.875" style="508" customWidth="1"/>
    <col min="15" max="16" width="24.50390625" style="508" customWidth="1"/>
    <col min="17" max="18" width="10.625" style="508" customWidth="1"/>
    <col min="19" max="16384" width="10.625" style="140" customWidth="1"/>
  </cols>
  <sheetData>
    <row r="1" spans="2:18" s="188" customFormat="1" ht="15.75">
      <c r="B1" s="189"/>
      <c r="C1" s="190"/>
      <c r="D1" s="190"/>
      <c r="E1" s="190"/>
      <c r="F1" s="190"/>
      <c r="G1" s="190"/>
      <c r="H1" s="190"/>
      <c r="I1" s="191"/>
      <c r="J1" s="192"/>
      <c r="K1" s="192"/>
      <c r="L1" s="193" t="s">
        <v>861</v>
      </c>
      <c r="M1" s="511"/>
      <c r="N1" s="494"/>
      <c r="O1" s="495"/>
      <c r="P1" s="495"/>
      <c r="Q1" s="495"/>
      <c r="R1" s="495"/>
    </row>
    <row r="2" spans="2:18" s="188" customFormat="1" ht="12.75">
      <c r="B2" s="189"/>
      <c r="C2" s="190"/>
      <c r="D2" s="190"/>
      <c r="E2" s="190"/>
      <c r="F2" s="190"/>
      <c r="G2" s="190"/>
      <c r="H2" s="190"/>
      <c r="I2" s="191"/>
      <c r="J2" s="461" t="s">
        <v>84</v>
      </c>
      <c r="K2" s="461"/>
      <c r="L2" s="232" t="s">
        <v>93</v>
      </c>
      <c r="M2" s="512"/>
      <c r="N2" s="495"/>
      <c r="O2" s="495"/>
      <c r="P2" s="495"/>
      <c r="Q2" s="495"/>
      <c r="R2" s="495"/>
    </row>
    <row r="3" spans="2:18" s="188" customFormat="1" ht="12.75">
      <c r="B3" s="194"/>
      <c r="C3" s="195"/>
      <c r="D3" s="195"/>
      <c r="E3" s="195"/>
      <c r="F3" s="195"/>
      <c r="G3" s="195"/>
      <c r="H3" s="195"/>
      <c r="I3" s="196"/>
      <c r="J3" s="197"/>
      <c r="K3" s="197"/>
      <c r="L3" s="197"/>
      <c r="M3" s="513"/>
      <c r="N3" s="496"/>
      <c r="O3" s="496"/>
      <c r="P3" s="496"/>
      <c r="Q3" s="495"/>
      <c r="R3" s="495"/>
    </row>
    <row r="4" spans="2:18" s="188" customFormat="1" ht="20.25">
      <c r="B4" s="1972" t="s">
        <v>574</v>
      </c>
      <c r="C4" s="1972"/>
      <c r="D4" s="1972"/>
      <c r="E4" s="1972"/>
      <c r="F4" s="1972"/>
      <c r="G4" s="1972"/>
      <c r="H4" s="1972"/>
      <c r="I4" s="1972"/>
      <c r="J4" s="1972"/>
      <c r="K4" s="1972"/>
      <c r="L4" s="1972"/>
      <c r="M4" s="497"/>
      <c r="N4" s="496"/>
      <c r="O4" s="496"/>
      <c r="P4" s="496"/>
      <c r="Q4" s="495"/>
      <c r="R4" s="495"/>
    </row>
    <row r="5" spans="2:18" s="188" customFormat="1" ht="20.25">
      <c r="B5" s="1972" t="s">
        <v>592</v>
      </c>
      <c r="C5" s="1972"/>
      <c r="D5" s="1972"/>
      <c r="E5" s="1972"/>
      <c r="F5" s="1972"/>
      <c r="G5" s="1972"/>
      <c r="H5" s="1972"/>
      <c r="I5" s="1972"/>
      <c r="J5" s="1972"/>
      <c r="K5" s="1972"/>
      <c r="L5" s="1972"/>
      <c r="M5" s="497"/>
      <c r="N5" s="496"/>
      <c r="O5" s="496"/>
      <c r="P5" s="496"/>
      <c r="Q5" s="495"/>
      <c r="R5" s="495"/>
    </row>
    <row r="6" spans="2:18" s="198" customFormat="1" ht="26.25" customHeight="1">
      <c r="B6" s="1990" t="s">
        <v>88</v>
      </c>
      <c r="C6" s="1990"/>
      <c r="D6" s="1990"/>
      <c r="E6" s="1990"/>
      <c r="F6" s="1990"/>
      <c r="G6" s="1990"/>
      <c r="H6" s="1990"/>
      <c r="I6" s="1990"/>
      <c r="J6" s="1990"/>
      <c r="K6" s="1990"/>
      <c r="L6" s="1990"/>
      <c r="M6" s="497"/>
      <c r="N6" s="496"/>
      <c r="O6" s="496"/>
      <c r="P6" s="496"/>
      <c r="Q6" s="498"/>
      <c r="R6" s="498"/>
    </row>
    <row r="7" spans="2:18" s="198" customFormat="1" ht="20.25" customHeight="1" thickBot="1">
      <c r="B7" s="462"/>
      <c r="C7" s="463"/>
      <c r="D7" s="463"/>
      <c r="E7" s="463"/>
      <c r="F7" s="463"/>
      <c r="G7" s="463"/>
      <c r="H7" s="463"/>
      <c r="I7" s="464"/>
      <c r="J7" s="465"/>
      <c r="K7" s="465"/>
      <c r="L7" s="466" t="s">
        <v>134</v>
      </c>
      <c r="M7" s="513"/>
      <c r="N7" s="496"/>
      <c r="O7" s="496"/>
      <c r="P7" s="496"/>
      <c r="Q7" s="498"/>
      <c r="R7" s="498"/>
    </row>
    <row r="8" spans="2:18" s="191" customFormat="1" ht="22.5" customHeight="1" thickBot="1">
      <c r="B8" s="1976" t="s">
        <v>94</v>
      </c>
      <c r="C8" s="1973" t="s">
        <v>125</v>
      </c>
      <c r="D8" s="1983" t="s">
        <v>70</v>
      </c>
      <c r="E8" s="1984"/>
      <c r="F8" s="1984"/>
      <c r="G8" s="1984"/>
      <c r="H8" s="1985"/>
      <c r="I8" s="1983" t="s">
        <v>71</v>
      </c>
      <c r="J8" s="1984"/>
      <c r="K8" s="1984"/>
      <c r="L8" s="1985"/>
      <c r="M8" s="510"/>
      <c r="N8" s="499"/>
      <c r="O8" s="499"/>
      <c r="P8" s="499"/>
      <c r="Q8" s="500"/>
      <c r="R8" s="500"/>
    </row>
    <row r="9" spans="2:18" s="191" customFormat="1" ht="15.75" customHeight="1">
      <c r="B9" s="1977"/>
      <c r="C9" s="1974"/>
      <c r="D9" s="1986" t="s">
        <v>75</v>
      </c>
      <c r="E9" s="1988" t="s">
        <v>411</v>
      </c>
      <c r="F9" s="1979" t="s">
        <v>159</v>
      </c>
      <c r="G9" s="1993" t="s">
        <v>533</v>
      </c>
      <c r="H9" s="1981" t="s">
        <v>76</v>
      </c>
      <c r="I9" s="1991" t="s">
        <v>85</v>
      </c>
      <c r="J9" s="1991" t="s">
        <v>72</v>
      </c>
      <c r="K9" s="1991" t="s">
        <v>73</v>
      </c>
      <c r="L9" s="1981" t="s">
        <v>74</v>
      </c>
      <c r="M9" s="501"/>
      <c r="N9" s="499"/>
      <c r="O9" s="499"/>
      <c r="P9" s="499"/>
      <c r="Q9" s="500"/>
      <c r="R9" s="500"/>
    </row>
    <row r="10" spans="2:18" s="191" customFormat="1" ht="48" customHeight="1" thickBot="1">
      <c r="B10" s="1978"/>
      <c r="C10" s="1975"/>
      <c r="D10" s="1987"/>
      <c r="E10" s="1989"/>
      <c r="F10" s="1980"/>
      <c r="G10" s="1994"/>
      <c r="H10" s="1982"/>
      <c r="I10" s="1992"/>
      <c r="J10" s="1992"/>
      <c r="K10" s="1992"/>
      <c r="L10" s="1982"/>
      <c r="M10" s="501"/>
      <c r="N10" s="500"/>
      <c r="O10" s="499"/>
      <c r="P10" s="499"/>
      <c r="Q10" s="500"/>
      <c r="R10" s="500"/>
    </row>
    <row r="11" spans="2:16" s="468" customFormat="1" ht="12" thickBot="1">
      <c r="B11" s="467">
        <v>1</v>
      </c>
      <c r="C11" s="467">
        <v>2</v>
      </c>
      <c r="D11" s="1169">
        <v>3</v>
      </c>
      <c r="E11" s="1170">
        <v>4</v>
      </c>
      <c r="F11" s="1319">
        <v>5</v>
      </c>
      <c r="G11" s="1325">
        <v>6</v>
      </c>
      <c r="H11" s="467">
        <v>7</v>
      </c>
      <c r="I11" s="517">
        <v>8</v>
      </c>
      <c r="J11" s="467">
        <v>9</v>
      </c>
      <c r="K11" s="517">
        <v>10</v>
      </c>
      <c r="L11" s="467">
        <v>11</v>
      </c>
      <c r="M11" s="497"/>
      <c r="O11" s="469"/>
      <c r="P11" s="469"/>
    </row>
    <row r="12" spans="2:18" s="191" customFormat="1" ht="18" customHeight="1">
      <c r="B12" s="470">
        <v>1</v>
      </c>
      <c r="C12" s="471" t="s">
        <v>203</v>
      </c>
      <c r="D12" s="491"/>
      <c r="E12" s="518"/>
      <c r="F12" s="1498">
        <f>H12-D12-E12-G12</f>
        <v>116931</v>
      </c>
      <c r="G12" s="1326">
        <f>72111+665000-665000+40070+5039+800+665000+4727</f>
        <v>787747</v>
      </c>
      <c r="H12" s="472">
        <f>L12</f>
        <v>904678</v>
      </c>
      <c r="I12" s="1494">
        <f>L12*0.6</f>
        <v>542806.7999999999</v>
      </c>
      <c r="J12" s="1495">
        <f>L12-I12</f>
        <v>361871.20000000007</v>
      </c>
      <c r="K12" s="473"/>
      <c r="L12" s="474">
        <f>hivatal1!E34</f>
        <v>904678</v>
      </c>
      <c r="M12" s="1038"/>
      <c r="N12" s="1039"/>
      <c r="O12" s="499"/>
      <c r="P12" s="499"/>
      <c r="Q12" s="500"/>
      <c r="R12" s="500"/>
    </row>
    <row r="13" spans="2:18" s="191" customFormat="1" ht="18" customHeight="1">
      <c r="B13" s="475">
        <f aca="true" t="shared" si="0" ref="B13:B32">B12+1</f>
        <v>2</v>
      </c>
      <c r="C13" s="471" t="s">
        <v>204</v>
      </c>
      <c r="D13" s="491"/>
      <c r="E13" s="518"/>
      <c r="F13" s="1498">
        <f aca="true" t="shared" si="1" ref="F13:F31">H13-D13-E13-G13</f>
        <v>121399</v>
      </c>
      <c r="G13" s="1326"/>
      <c r="H13" s="472">
        <f aca="true" t="shared" si="2" ref="H13:H64">L13</f>
        <v>121399</v>
      </c>
      <c r="I13" s="1494">
        <f>H13-J13</f>
        <v>113141</v>
      </c>
      <c r="J13" s="1495">
        <v>8258</v>
      </c>
      <c r="K13" s="476"/>
      <c r="L13" s="474">
        <f>hivatal1!H34</f>
        <v>121399</v>
      </c>
      <c r="M13" s="514"/>
      <c r="N13" s="499"/>
      <c r="O13" s="499"/>
      <c r="P13" s="499"/>
      <c r="Q13" s="500"/>
      <c r="R13" s="500"/>
    </row>
    <row r="14" spans="2:18" s="191" customFormat="1" ht="18" customHeight="1">
      <c r="B14" s="475">
        <f t="shared" si="0"/>
        <v>3</v>
      </c>
      <c r="C14" s="471" t="s">
        <v>135</v>
      </c>
      <c r="D14" s="491"/>
      <c r="E14" s="518"/>
      <c r="F14" s="1498">
        <f t="shared" si="1"/>
        <v>183073</v>
      </c>
      <c r="G14" s="1326">
        <v>25053</v>
      </c>
      <c r="H14" s="472">
        <f t="shared" si="2"/>
        <v>208126</v>
      </c>
      <c r="I14" s="1494">
        <f>L14-J14</f>
        <v>120758</v>
      </c>
      <c r="J14" s="1495">
        <f>47990-2000+4000+37378</f>
        <v>87368</v>
      </c>
      <c r="K14" s="476"/>
      <c r="L14" s="474">
        <f>hivatal1!K34</f>
        <v>208126</v>
      </c>
      <c r="M14" s="514"/>
      <c r="N14" s="499"/>
      <c r="O14" s="499"/>
      <c r="P14" s="499"/>
      <c r="Q14" s="500"/>
      <c r="R14" s="500"/>
    </row>
    <row r="15" spans="2:18" s="191" customFormat="1" ht="18" customHeight="1">
      <c r="B15" s="475">
        <f t="shared" si="0"/>
        <v>4</v>
      </c>
      <c r="C15" s="471" t="s">
        <v>136</v>
      </c>
      <c r="D15" s="491"/>
      <c r="E15" s="518"/>
      <c r="F15" s="1498">
        <f t="shared" si="1"/>
        <v>98010</v>
      </c>
      <c r="G15" s="1326">
        <f>34129+2500</f>
        <v>36629</v>
      </c>
      <c r="H15" s="472">
        <f t="shared" si="2"/>
        <v>134639</v>
      </c>
      <c r="I15" s="1389"/>
      <c r="J15" s="1495">
        <f>L15-I15-K15</f>
        <v>134639</v>
      </c>
      <c r="K15" s="476"/>
      <c r="L15" s="474">
        <f>hivatal1!N34</f>
        <v>134639</v>
      </c>
      <c r="M15" s="514"/>
      <c r="N15" s="499"/>
      <c r="O15" s="499"/>
      <c r="P15" s="499"/>
      <c r="Q15" s="500"/>
      <c r="R15" s="500"/>
    </row>
    <row r="16" spans="2:18" s="478" customFormat="1" ht="18" customHeight="1">
      <c r="B16" s="475">
        <f t="shared" si="0"/>
        <v>5</v>
      </c>
      <c r="C16" s="471" t="s">
        <v>205</v>
      </c>
      <c r="D16" s="491"/>
      <c r="E16" s="518"/>
      <c r="F16" s="1498">
        <f t="shared" si="1"/>
        <v>40520</v>
      </c>
      <c r="G16" s="1326">
        <v>1254</v>
      </c>
      <c r="H16" s="472">
        <f t="shared" si="2"/>
        <v>41774</v>
      </c>
      <c r="I16" s="1389"/>
      <c r="J16" s="1495">
        <f>L16-I16-K16</f>
        <v>41774</v>
      </c>
      <c r="K16" s="477"/>
      <c r="L16" s="474">
        <f>hivatal1!Q34</f>
        <v>41774</v>
      </c>
      <c r="M16" s="514"/>
      <c r="N16" s="496"/>
      <c r="O16" s="496"/>
      <c r="P16" s="496"/>
      <c r="Q16" s="498"/>
      <c r="R16" s="498"/>
    </row>
    <row r="17" spans="2:18" s="478" customFormat="1" ht="18" customHeight="1">
      <c r="B17" s="475">
        <f t="shared" si="0"/>
        <v>6</v>
      </c>
      <c r="C17" s="471" t="s">
        <v>137</v>
      </c>
      <c r="D17" s="491"/>
      <c r="E17" s="518"/>
      <c r="F17" s="1498">
        <f t="shared" si="1"/>
        <v>119660</v>
      </c>
      <c r="G17" s="1326">
        <v>15643</v>
      </c>
      <c r="H17" s="472">
        <f t="shared" si="2"/>
        <v>135303</v>
      </c>
      <c r="I17" s="1494">
        <f>L17-J17</f>
        <v>78476</v>
      </c>
      <c r="J17" s="1495">
        <f>53660+3167</f>
        <v>56827</v>
      </c>
      <c r="K17" s="477"/>
      <c r="L17" s="474">
        <f>hivatal2!E34</f>
        <v>135303</v>
      </c>
      <c r="M17" s="514"/>
      <c r="N17" s="496"/>
      <c r="O17" s="496"/>
      <c r="P17" s="496"/>
      <c r="Q17" s="498"/>
      <c r="R17" s="498"/>
    </row>
    <row r="18" spans="2:18" s="478" customFormat="1" ht="18" customHeight="1">
      <c r="B18" s="475">
        <f t="shared" si="0"/>
        <v>7</v>
      </c>
      <c r="C18" s="471" t="s">
        <v>138</v>
      </c>
      <c r="D18" s="492"/>
      <c r="E18" s="519"/>
      <c r="F18" s="1498">
        <f t="shared" si="1"/>
        <v>46946</v>
      </c>
      <c r="G18" s="1326">
        <f>1416+20000</f>
        <v>21416</v>
      </c>
      <c r="H18" s="472">
        <f t="shared" si="2"/>
        <v>68362</v>
      </c>
      <c r="I18" s="1494">
        <f>+L18-J18</f>
        <v>33962</v>
      </c>
      <c r="J18" s="1495">
        <v>34400</v>
      </c>
      <c r="K18" s="477"/>
      <c r="L18" s="474">
        <f>hivatal2!H34</f>
        <v>68362</v>
      </c>
      <c r="M18" s="514"/>
      <c r="N18" s="496"/>
      <c r="O18" s="496"/>
      <c r="P18" s="496"/>
      <c r="Q18" s="498"/>
      <c r="R18" s="498"/>
    </row>
    <row r="19" spans="2:18" s="478" customFormat="1" ht="18" customHeight="1">
      <c r="B19" s="475">
        <f t="shared" si="0"/>
        <v>8</v>
      </c>
      <c r="C19" s="471" t="s">
        <v>140</v>
      </c>
      <c r="D19" s="491"/>
      <c r="E19" s="518"/>
      <c r="F19" s="1498">
        <f t="shared" si="1"/>
        <v>8132</v>
      </c>
      <c r="G19" s="1326"/>
      <c r="H19" s="472">
        <f t="shared" si="2"/>
        <v>8132</v>
      </c>
      <c r="I19" s="1389"/>
      <c r="J19" s="1495">
        <f>L19-I19-K19</f>
        <v>8132</v>
      </c>
      <c r="K19" s="477"/>
      <c r="L19" s="474">
        <f>hivatal2!K34</f>
        <v>8132</v>
      </c>
      <c r="M19" s="514"/>
      <c r="N19" s="496"/>
      <c r="O19" s="496"/>
      <c r="P19" s="496"/>
      <c r="Q19" s="498"/>
      <c r="R19" s="498"/>
    </row>
    <row r="20" spans="2:18" s="478" customFormat="1" ht="18" customHeight="1">
      <c r="B20" s="475">
        <f t="shared" si="0"/>
        <v>9</v>
      </c>
      <c r="C20" s="471" t="s">
        <v>141</v>
      </c>
      <c r="D20" s="491"/>
      <c r="E20" s="518"/>
      <c r="F20" s="1498">
        <f t="shared" si="1"/>
        <v>6165</v>
      </c>
      <c r="G20" s="1326">
        <f>2279+3080</f>
        <v>5359</v>
      </c>
      <c r="H20" s="472">
        <f t="shared" si="2"/>
        <v>11524</v>
      </c>
      <c r="I20" s="1389"/>
      <c r="J20" s="1495">
        <f>L20-I20-K20</f>
        <v>11524</v>
      </c>
      <c r="K20" s="477"/>
      <c r="L20" s="474">
        <f>hivatal2!N34</f>
        <v>11524</v>
      </c>
      <c r="M20" s="514"/>
      <c r="N20" s="496"/>
      <c r="O20" s="496"/>
      <c r="P20" s="496"/>
      <c r="Q20" s="498"/>
      <c r="R20" s="498"/>
    </row>
    <row r="21" spans="2:18" s="478" customFormat="1" ht="18" customHeight="1">
      <c r="B21" s="475">
        <f t="shared" si="0"/>
        <v>10</v>
      </c>
      <c r="C21" s="471" t="s">
        <v>412</v>
      </c>
      <c r="D21" s="491"/>
      <c r="E21" s="518"/>
      <c r="F21" s="1498">
        <f t="shared" si="1"/>
        <v>80521</v>
      </c>
      <c r="G21" s="1327">
        <f>600+4686</f>
        <v>5286</v>
      </c>
      <c r="H21" s="472">
        <f t="shared" si="2"/>
        <v>85807</v>
      </c>
      <c r="I21" s="1494">
        <f>59930+10+4600</f>
        <v>64540</v>
      </c>
      <c r="J21" s="1495">
        <f>L21-I21-K21</f>
        <v>21267</v>
      </c>
      <c r="K21" s="477"/>
      <c r="L21" s="479">
        <f>hivatal2!Q34</f>
        <v>85807</v>
      </c>
      <c r="M21" s="514"/>
      <c r="N21" s="496"/>
      <c r="O21" s="496"/>
      <c r="P21" s="496"/>
      <c r="Q21" s="498"/>
      <c r="R21" s="498"/>
    </row>
    <row r="22" spans="2:18" s="478" customFormat="1" ht="18" customHeight="1">
      <c r="B22" s="475">
        <f t="shared" si="0"/>
        <v>11</v>
      </c>
      <c r="C22" s="541" t="s">
        <v>417</v>
      </c>
      <c r="D22" s="955"/>
      <c r="E22" s="543">
        <f>308+2911</f>
        <v>3219</v>
      </c>
      <c r="F22" s="1499">
        <f t="shared" si="1"/>
        <v>95581</v>
      </c>
      <c r="G22" s="1328">
        <v>6533</v>
      </c>
      <c r="H22" s="484">
        <f t="shared" si="2"/>
        <v>105333</v>
      </c>
      <c r="I22" s="544">
        <f>H22-J22</f>
        <v>94033</v>
      </c>
      <c r="J22" s="1496">
        <v>11300</v>
      </c>
      <c r="K22" s="545"/>
      <c r="L22" s="474">
        <f>hivatal3!E34</f>
        <v>105333</v>
      </c>
      <c r="M22" s="514"/>
      <c r="N22" s="496"/>
      <c r="O22" s="496"/>
      <c r="P22" s="496"/>
      <c r="Q22" s="498"/>
      <c r="R22" s="498"/>
    </row>
    <row r="23" spans="2:18" s="478" customFormat="1" ht="18" customHeight="1">
      <c r="B23" s="475">
        <f t="shared" si="0"/>
        <v>12</v>
      </c>
      <c r="C23" s="541" t="str">
        <f>hivatal3!F7</f>
        <v>Szociális feladatellátás</v>
      </c>
      <c r="D23" s="542"/>
      <c r="E23" s="543"/>
      <c r="F23" s="1499">
        <f t="shared" si="1"/>
        <v>75856</v>
      </c>
      <c r="G23" s="1328">
        <v>13398</v>
      </c>
      <c r="H23" s="484">
        <f t="shared" si="2"/>
        <v>89254</v>
      </c>
      <c r="I23" s="544">
        <f>+L23-J23</f>
        <v>29866</v>
      </c>
      <c r="J23" s="1496">
        <f>46617+12771</f>
        <v>59388</v>
      </c>
      <c r="K23" s="545"/>
      <c r="L23" s="474">
        <f>hivatal3!H34</f>
        <v>89254</v>
      </c>
      <c r="M23" s="514"/>
      <c r="N23" s="496"/>
      <c r="O23" s="496"/>
      <c r="P23" s="496"/>
      <c r="Q23" s="498"/>
      <c r="R23" s="498"/>
    </row>
    <row r="24" spans="2:18" s="478" customFormat="1" ht="18" customHeight="1">
      <c r="B24" s="475">
        <f t="shared" si="0"/>
        <v>13</v>
      </c>
      <c r="C24" s="541" t="s">
        <v>78</v>
      </c>
      <c r="D24" s="542"/>
      <c r="E24" s="543"/>
      <c r="F24" s="1499">
        <f t="shared" si="1"/>
        <v>700</v>
      </c>
      <c r="G24" s="1329">
        <v>2000</v>
      </c>
      <c r="H24" s="484">
        <f t="shared" si="2"/>
        <v>2700</v>
      </c>
      <c r="I24" s="1390"/>
      <c r="J24" s="1496">
        <f>L24-I24-K24</f>
        <v>2700</v>
      </c>
      <c r="K24" s="545"/>
      <c r="L24" s="474">
        <f>hivatal3!K34</f>
        <v>2700</v>
      </c>
      <c r="M24" s="514"/>
      <c r="N24" s="496"/>
      <c r="O24" s="496"/>
      <c r="P24" s="496"/>
      <c r="Q24" s="498"/>
      <c r="R24" s="498"/>
    </row>
    <row r="25" spans="2:18" s="478" customFormat="1" ht="18" customHeight="1">
      <c r="B25" s="475">
        <f t="shared" si="0"/>
        <v>14</v>
      </c>
      <c r="C25" s="471" t="s">
        <v>193</v>
      </c>
      <c r="D25" s="491"/>
      <c r="E25" s="518"/>
      <c r="F25" s="1498">
        <f t="shared" si="1"/>
        <v>10000</v>
      </c>
      <c r="G25" s="1326"/>
      <c r="H25" s="472">
        <f t="shared" si="2"/>
        <v>10000</v>
      </c>
      <c r="I25" s="1389"/>
      <c r="J25" s="1495">
        <f>L25-I25-K25</f>
        <v>10000</v>
      </c>
      <c r="K25" s="477"/>
      <c r="L25" s="474">
        <f>hivatal3!N34</f>
        <v>10000</v>
      </c>
      <c r="M25" s="514"/>
      <c r="N25" s="496"/>
      <c r="O25" s="496"/>
      <c r="P25" s="496"/>
      <c r="Q25" s="498"/>
      <c r="R25" s="498"/>
    </row>
    <row r="26" spans="2:18" s="478" customFormat="1" ht="18" customHeight="1">
      <c r="B26" s="475">
        <f t="shared" si="0"/>
        <v>15</v>
      </c>
      <c r="C26" s="471" t="s">
        <v>565</v>
      </c>
      <c r="D26" s="491"/>
      <c r="E26" s="518"/>
      <c r="F26" s="1498">
        <f t="shared" si="1"/>
        <v>10549</v>
      </c>
      <c r="G26" s="1326"/>
      <c r="H26" s="472">
        <f t="shared" si="2"/>
        <v>10549</v>
      </c>
      <c r="I26" s="1494">
        <v>1740</v>
      </c>
      <c r="J26" s="1495">
        <f>L26-I26</f>
        <v>8809</v>
      </c>
      <c r="K26" s="477"/>
      <c r="L26" s="474">
        <f>hivatal3!Q34</f>
        <v>10549</v>
      </c>
      <c r="M26" s="514"/>
      <c r="N26" s="496"/>
      <c r="O26" s="496"/>
      <c r="P26" s="496"/>
      <c r="Q26" s="498"/>
      <c r="R26" s="498"/>
    </row>
    <row r="27" spans="2:18" s="478" customFormat="1" ht="18" customHeight="1">
      <c r="B27" s="475">
        <f t="shared" si="0"/>
        <v>16</v>
      </c>
      <c r="C27" s="471" t="s">
        <v>462</v>
      </c>
      <c r="D27" s="491"/>
      <c r="E27" s="518">
        <v>4954</v>
      </c>
      <c r="F27" s="1498">
        <f t="shared" si="1"/>
        <v>8821</v>
      </c>
      <c r="G27" s="1326">
        <f>2884+10634+1874</f>
        <v>15392</v>
      </c>
      <c r="H27" s="472">
        <f t="shared" si="2"/>
        <v>29167</v>
      </c>
      <c r="I27" s="1389"/>
      <c r="J27" s="1495">
        <f>L27</f>
        <v>29167</v>
      </c>
      <c r="K27" s="477"/>
      <c r="L27" s="474">
        <f>hivatal4!E34</f>
        <v>29167</v>
      </c>
      <c r="M27" s="514"/>
      <c r="N27" s="496"/>
      <c r="O27" s="496"/>
      <c r="P27" s="496"/>
      <c r="Q27" s="498"/>
      <c r="R27" s="498"/>
    </row>
    <row r="28" spans="2:18" s="478" customFormat="1" ht="18" customHeight="1">
      <c r="B28" s="475">
        <f t="shared" si="0"/>
        <v>17</v>
      </c>
      <c r="C28" s="471" t="s">
        <v>314</v>
      </c>
      <c r="D28" s="491"/>
      <c r="E28" s="518"/>
      <c r="F28" s="1498">
        <f t="shared" si="1"/>
        <v>44042</v>
      </c>
      <c r="G28" s="1326">
        <v>11010</v>
      </c>
      <c r="H28" s="472">
        <f t="shared" si="2"/>
        <v>55052</v>
      </c>
      <c r="I28" s="1494">
        <f>L28-J28-K28</f>
        <v>51987</v>
      </c>
      <c r="J28" s="1495">
        <f>2270+795</f>
        <v>3065</v>
      </c>
      <c r="K28" s="477"/>
      <c r="L28" s="474">
        <f>hivatal4!H34</f>
        <v>55052</v>
      </c>
      <c r="M28" s="514"/>
      <c r="N28" s="496"/>
      <c r="O28" s="496"/>
      <c r="P28" s="496"/>
      <c r="Q28" s="498"/>
      <c r="R28" s="498"/>
    </row>
    <row r="29" spans="2:18" s="478" customFormat="1" ht="18" customHeight="1">
      <c r="B29" s="475">
        <f t="shared" si="0"/>
        <v>18</v>
      </c>
      <c r="C29" s="471" t="s">
        <v>79</v>
      </c>
      <c r="D29" s="491"/>
      <c r="E29" s="518"/>
      <c r="F29" s="1498">
        <f t="shared" si="1"/>
        <v>26253</v>
      </c>
      <c r="G29" s="1326">
        <v>5503</v>
      </c>
      <c r="H29" s="472">
        <f t="shared" si="2"/>
        <v>31756</v>
      </c>
      <c r="I29" s="1494">
        <v>13303</v>
      </c>
      <c r="J29" s="1495">
        <f>L29-I29-K29</f>
        <v>18453</v>
      </c>
      <c r="K29" s="477"/>
      <c r="L29" s="474">
        <f>hivatal4!K34</f>
        <v>31756</v>
      </c>
      <c r="M29" s="514"/>
      <c r="N29" s="496"/>
      <c r="O29" s="496"/>
      <c r="P29" s="496"/>
      <c r="Q29" s="498"/>
      <c r="R29" s="498"/>
    </row>
    <row r="30" spans="2:18" s="478" customFormat="1" ht="18" customHeight="1">
      <c r="B30" s="475">
        <f t="shared" si="0"/>
        <v>19</v>
      </c>
      <c r="C30" s="471" t="s">
        <v>61</v>
      </c>
      <c r="D30" s="491">
        <v>300000</v>
      </c>
      <c r="E30" s="518"/>
      <c r="F30" s="1498">
        <f t="shared" si="1"/>
        <v>1202830</v>
      </c>
      <c r="G30" s="1326">
        <v>195622</v>
      </c>
      <c r="H30" s="472">
        <f>L30</f>
        <v>1698452</v>
      </c>
      <c r="I30" s="1494">
        <f>L30-J30-K30</f>
        <v>767117</v>
      </c>
      <c r="J30" s="1495">
        <f>891700-767587+807222</f>
        <v>931335</v>
      </c>
      <c r="K30" s="477"/>
      <c r="L30" s="474">
        <f>hivatal4!N34</f>
        <v>1698452</v>
      </c>
      <c r="M30" s="514"/>
      <c r="N30" s="496"/>
      <c r="O30" s="496"/>
      <c r="P30" s="496"/>
      <c r="Q30" s="498"/>
      <c r="R30" s="498"/>
    </row>
    <row r="31" spans="2:18" s="478" customFormat="1" ht="18" customHeight="1" thickBot="1">
      <c r="B31" s="1701">
        <f t="shared" si="0"/>
        <v>20</v>
      </c>
      <c r="C31" s="541" t="s">
        <v>500</v>
      </c>
      <c r="D31" s="542"/>
      <c r="E31" s="543"/>
      <c r="F31" s="1498">
        <f t="shared" si="1"/>
        <v>0</v>
      </c>
      <c r="G31" s="1326"/>
      <c r="H31" s="472">
        <f>L31</f>
        <v>0</v>
      </c>
      <c r="I31" s="544"/>
      <c r="J31" s="544"/>
      <c r="K31" s="545"/>
      <c r="L31" s="474">
        <f>hivatal4!Q34</f>
        <v>0</v>
      </c>
      <c r="M31" s="514"/>
      <c r="N31" s="496"/>
      <c r="O31" s="496"/>
      <c r="P31" s="496"/>
      <c r="Q31" s="498"/>
      <c r="R31" s="498"/>
    </row>
    <row r="32" spans="2:18" s="478" customFormat="1" ht="18" customHeight="1">
      <c r="B32" s="540">
        <f t="shared" si="0"/>
        <v>21</v>
      </c>
      <c r="C32" s="1662" t="s">
        <v>86</v>
      </c>
      <c r="D32" s="552"/>
      <c r="E32" s="553"/>
      <c r="F32" s="1320"/>
      <c r="G32" s="1330"/>
      <c r="H32" s="554"/>
      <c r="I32" s="554"/>
      <c r="J32" s="1244"/>
      <c r="K32" s="1242"/>
      <c r="L32" s="555"/>
      <c r="M32" s="514"/>
      <c r="N32" s="502"/>
      <c r="O32" s="496"/>
      <c r="P32" s="496"/>
      <c r="Q32" s="498"/>
      <c r="R32" s="498"/>
    </row>
    <row r="33" spans="2:18" s="191" customFormat="1" ht="18" customHeight="1">
      <c r="B33" s="1661"/>
      <c r="C33" s="1663" t="s">
        <v>481</v>
      </c>
      <c r="D33" s="493"/>
      <c r="E33" s="520">
        <v>40000</v>
      </c>
      <c r="F33" s="1498">
        <f aca="true" t="shared" si="3" ref="F33:F64">H33-D33-E33-G33</f>
        <v>565900</v>
      </c>
      <c r="G33" s="1326">
        <f>39205+91640+85000+6970</f>
        <v>222815</v>
      </c>
      <c r="H33" s="472">
        <f>L33</f>
        <v>828715</v>
      </c>
      <c r="I33" s="1494">
        <f>H33</f>
        <v>828715</v>
      </c>
      <c r="J33" s="1495"/>
      <c r="K33" s="1243"/>
      <c r="L33" s="479">
        <f>'[4]Városüzemeltetés'!$T$36</f>
        <v>828715</v>
      </c>
      <c r="M33" s="514"/>
      <c r="N33" s="499"/>
      <c r="O33" s="499"/>
      <c r="P33" s="499"/>
      <c r="Q33" s="500"/>
      <c r="R33" s="500"/>
    </row>
    <row r="34" spans="2:18" s="191" customFormat="1" ht="18" customHeight="1">
      <c r="B34" s="1201"/>
      <c r="C34" s="1663" t="s">
        <v>212</v>
      </c>
      <c r="D34" s="493"/>
      <c r="E34" s="520"/>
      <c r="F34" s="1498">
        <f t="shared" si="3"/>
        <v>500</v>
      </c>
      <c r="G34" s="1326">
        <f>1022+17511</f>
        <v>18533</v>
      </c>
      <c r="H34" s="472">
        <f t="shared" si="2"/>
        <v>19033</v>
      </c>
      <c r="I34" s="1494"/>
      <c r="J34" s="1495">
        <f>L34-I34-K34</f>
        <v>19033</v>
      </c>
      <c r="K34" s="1243"/>
      <c r="L34" s="479">
        <f>'[4]Városüzemeltetés'!$T$38</f>
        <v>19033</v>
      </c>
      <c r="M34" s="514"/>
      <c r="N34" s="499"/>
      <c r="O34" s="499"/>
      <c r="P34" s="499"/>
      <c r="Q34" s="500"/>
      <c r="R34" s="500"/>
    </row>
    <row r="35" spans="2:18" s="191" customFormat="1" ht="18" customHeight="1">
      <c r="B35" s="1201"/>
      <c r="C35" s="1663" t="s">
        <v>211</v>
      </c>
      <c r="D35" s="493"/>
      <c r="E35" s="520"/>
      <c r="F35" s="1498">
        <f t="shared" si="3"/>
        <v>30500</v>
      </c>
      <c r="G35" s="1326">
        <v>633</v>
      </c>
      <c r="H35" s="472">
        <f t="shared" si="2"/>
        <v>31133</v>
      </c>
      <c r="I35" s="1494">
        <f>H35</f>
        <v>31133</v>
      </c>
      <c r="J35" s="1495"/>
      <c r="K35" s="1243"/>
      <c r="L35" s="479">
        <f>'[4]Városüzemeltetés'!$T$42</f>
        <v>31133</v>
      </c>
      <c r="M35" s="514"/>
      <c r="N35" s="499"/>
      <c r="O35" s="499"/>
      <c r="P35" s="499"/>
      <c r="Q35" s="500"/>
      <c r="R35" s="500"/>
    </row>
    <row r="36" spans="2:18" s="191" customFormat="1" ht="18" customHeight="1">
      <c r="B36" s="1201"/>
      <c r="C36" s="1663" t="s">
        <v>458</v>
      </c>
      <c r="D36" s="493"/>
      <c r="E36" s="520"/>
      <c r="F36" s="1498">
        <f t="shared" si="3"/>
        <v>500</v>
      </c>
      <c r="G36" s="1326"/>
      <c r="H36" s="472">
        <f t="shared" si="2"/>
        <v>500</v>
      </c>
      <c r="I36" s="1494">
        <f>H36</f>
        <v>500</v>
      </c>
      <c r="J36" s="1495"/>
      <c r="K36" s="1243"/>
      <c r="L36" s="479">
        <f>'[4]Városüzemeltetés'!$T$45</f>
        <v>500</v>
      </c>
      <c r="M36" s="514"/>
      <c r="N36" s="499"/>
      <c r="O36" s="499"/>
      <c r="P36" s="499"/>
      <c r="Q36" s="500"/>
      <c r="R36" s="500"/>
    </row>
    <row r="37" spans="2:18" s="191" customFormat="1" ht="18" customHeight="1">
      <c r="B37" s="1201"/>
      <c r="C37" s="1663" t="s">
        <v>213</v>
      </c>
      <c r="D37" s="493"/>
      <c r="E37" s="520"/>
      <c r="F37" s="1498">
        <f t="shared" si="3"/>
        <v>22225</v>
      </c>
      <c r="G37" s="1326">
        <v>18524</v>
      </c>
      <c r="H37" s="472">
        <f t="shared" si="2"/>
        <v>40749</v>
      </c>
      <c r="I37" s="1494"/>
      <c r="J37" s="1495">
        <f>L37</f>
        <v>40749</v>
      </c>
      <c r="K37" s="1243"/>
      <c r="L37" s="479">
        <f>'[4]Városüzemeltetés'!$T$48</f>
        <v>40749</v>
      </c>
      <c r="M37" s="514"/>
      <c r="N37" s="503"/>
      <c r="O37" s="499"/>
      <c r="P37" s="499"/>
      <c r="Q37" s="500"/>
      <c r="R37" s="500"/>
    </row>
    <row r="38" spans="2:18" s="191" customFormat="1" ht="18" customHeight="1">
      <c r="B38" s="1201"/>
      <c r="C38" s="1663" t="s">
        <v>459</v>
      </c>
      <c r="D38" s="493"/>
      <c r="E38" s="520">
        <v>352225</v>
      </c>
      <c r="F38" s="1498">
        <f t="shared" si="3"/>
        <v>213895</v>
      </c>
      <c r="G38" s="1326">
        <f>162067+1286886</f>
        <v>1448953</v>
      </c>
      <c r="H38" s="472">
        <f t="shared" si="2"/>
        <v>2015073</v>
      </c>
      <c r="I38" s="1494"/>
      <c r="J38" s="1495">
        <f aca="true" t="shared" si="4" ref="J38:J46">L38-I38-K38</f>
        <v>2015073</v>
      </c>
      <c r="K38" s="1243"/>
      <c r="L38" s="479">
        <f>'[4]Városüzemeltetés'!$T$102</f>
        <v>2015073</v>
      </c>
      <c r="M38" s="514"/>
      <c r="N38" s="499"/>
      <c r="O38" s="499"/>
      <c r="P38" s="499"/>
      <c r="Q38" s="500"/>
      <c r="R38" s="500"/>
    </row>
    <row r="39" spans="2:18" s="191" customFormat="1" ht="18" customHeight="1">
      <c r="B39" s="1201"/>
      <c r="C39" s="1663" t="s">
        <v>460</v>
      </c>
      <c r="D39" s="493"/>
      <c r="E39" s="520"/>
      <c r="F39" s="1498">
        <f t="shared" si="3"/>
        <v>2700</v>
      </c>
      <c r="G39" s="1326">
        <v>895</v>
      </c>
      <c r="H39" s="472">
        <f>L39</f>
        <v>3595</v>
      </c>
      <c r="I39" s="1494">
        <f>L39</f>
        <v>3595</v>
      </c>
      <c r="J39" s="1495">
        <f t="shared" si="4"/>
        <v>0</v>
      </c>
      <c r="K39" s="1243"/>
      <c r="L39" s="479">
        <f>'[4]Városüzemeltetés'!$V$109</f>
        <v>3595</v>
      </c>
      <c r="M39" s="514"/>
      <c r="N39" s="499"/>
      <c r="O39" s="499"/>
      <c r="P39" s="499"/>
      <c r="Q39" s="500"/>
      <c r="R39" s="500"/>
    </row>
    <row r="40" spans="2:18" s="191" customFormat="1" ht="18" customHeight="1">
      <c r="B40" s="1201"/>
      <c r="C40" s="1663" t="s">
        <v>461</v>
      </c>
      <c r="D40" s="493"/>
      <c r="E40" s="520"/>
      <c r="F40" s="1498">
        <f t="shared" si="3"/>
        <v>37021</v>
      </c>
      <c r="G40" s="1326">
        <v>1242</v>
      </c>
      <c r="H40" s="472">
        <f>L40</f>
        <v>38263</v>
      </c>
      <c r="I40" s="1494">
        <f>L40</f>
        <v>38263</v>
      </c>
      <c r="J40" s="1495">
        <f t="shared" si="4"/>
        <v>0</v>
      </c>
      <c r="K40" s="1243"/>
      <c r="L40" s="479">
        <f>'[4]Városüzemeltetés'!$V$105</f>
        <v>38263</v>
      </c>
      <c r="M40" s="514"/>
      <c r="N40" s="499"/>
      <c r="O40" s="499"/>
      <c r="P40" s="499"/>
      <c r="Q40" s="500"/>
      <c r="R40" s="500"/>
    </row>
    <row r="41" spans="2:18" s="191" customFormat="1" ht="18" customHeight="1">
      <c r="B41" s="1201"/>
      <c r="C41" s="1663" t="s">
        <v>465</v>
      </c>
      <c r="D41" s="493"/>
      <c r="E41" s="520"/>
      <c r="F41" s="1498">
        <f t="shared" si="3"/>
        <v>1500</v>
      </c>
      <c r="G41" s="1326">
        <v>10921</v>
      </c>
      <c r="H41" s="472">
        <f>L41</f>
        <v>12421</v>
      </c>
      <c r="I41" s="1494">
        <f>L41</f>
        <v>12421</v>
      </c>
      <c r="J41" s="1495">
        <f t="shared" si="4"/>
        <v>0</v>
      </c>
      <c r="K41" s="1243"/>
      <c r="L41" s="479">
        <f>'[4]Városüzemeltetés'!$V$112</f>
        <v>12421</v>
      </c>
      <c r="M41" s="514"/>
      <c r="N41" s="499"/>
      <c r="O41" s="499"/>
      <c r="P41" s="499"/>
      <c r="Q41" s="500"/>
      <c r="R41" s="500"/>
    </row>
    <row r="42" spans="2:18" s="191" customFormat="1" ht="18" customHeight="1">
      <c r="B42" s="1201"/>
      <c r="C42" s="1663" t="s">
        <v>466</v>
      </c>
      <c r="D42" s="493"/>
      <c r="E42" s="520"/>
      <c r="F42" s="1498">
        <f t="shared" si="3"/>
        <v>5000</v>
      </c>
      <c r="G42" s="1326">
        <f>10148+1758</f>
        <v>11906</v>
      </c>
      <c r="H42" s="472">
        <f t="shared" si="2"/>
        <v>16906</v>
      </c>
      <c r="I42" s="1494">
        <f>L42</f>
        <v>16906</v>
      </c>
      <c r="J42" s="1495">
        <f t="shared" si="4"/>
        <v>0</v>
      </c>
      <c r="K42" s="1243"/>
      <c r="L42" s="479">
        <f>'[4]Városüzemeltetés'!$V$116</f>
        <v>16906</v>
      </c>
      <c r="M42" s="514"/>
      <c r="N42" s="499"/>
      <c r="O42" s="499"/>
      <c r="P42" s="499"/>
      <c r="Q42" s="500"/>
      <c r="R42" s="500"/>
    </row>
    <row r="43" spans="2:18" s="191" customFormat="1" ht="18" customHeight="1">
      <c r="B43" s="1201"/>
      <c r="C43" s="1663" t="s">
        <v>208</v>
      </c>
      <c r="D43" s="493"/>
      <c r="E43" s="520"/>
      <c r="F43" s="1498">
        <f t="shared" si="3"/>
        <v>298138</v>
      </c>
      <c r="G43" s="1326">
        <f>9049-5000+102196</f>
        <v>106245</v>
      </c>
      <c r="H43" s="472">
        <f t="shared" si="2"/>
        <v>404383</v>
      </c>
      <c r="I43" s="1494">
        <f>H43</f>
        <v>404383</v>
      </c>
      <c r="J43" s="1495">
        <f t="shared" si="4"/>
        <v>0</v>
      </c>
      <c r="K43" s="1243"/>
      <c r="L43" s="479">
        <f>'[4]Városüzemeltetés'!$T$139</f>
        <v>404383</v>
      </c>
      <c r="M43" s="514"/>
      <c r="N43" s="499"/>
      <c r="O43" s="499"/>
      <c r="P43" s="499"/>
      <c r="Q43" s="500"/>
      <c r="R43" s="500"/>
    </row>
    <row r="44" spans="2:18" s="191" customFormat="1" ht="18" customHeight="1">
      <c r="B44" s="1201"/>
      <c r="C44" s="1663" t="s">
        <v>214</v>
      </c>
      <c r="D44" s="493"/>
      <c r="E44" s="520"/>
      <c r="F44" s="1498">
        <f t="shared" si="3"/>
        <v>2300</v>
      </c>
      <c r="G44" s="1326">
        <f>3200-1000-200</f>
        <v>2000</v>
      </c>
      <c r="H44" s="472">
        <f t="shared" si="2"/>
        <v>4300</v>
      </c>
      <c r="I44" s="1494">
        <f>L44</f>
        <v>4300</v>
      </c>
      <c r="J44" s="1495">
        <f t="shared" si="4"/>
        <v>0</v>
      </c>
      <c r="K44" s="1243"/>
      <c r="L44" s="479">
        <f>'[4]Városüzemeltetés'!$T$140</f>
        <v>4300</v>
      </c>
      <c r="M44" s="514"/>
      <c r="N44" s="499"/>
      <c r="O44" s="499"/>
      <c r="P44" s="499"/>
      <c r="Q44" s="500"/>
      <c r="R44" s="500"/>
    </row>
    <row r="45" spans="2:18" s="191" customFormat="1" ht="18" customHeight="1">
      <c r="B45" s="1201"/>
      <c r="C45" s="1663" t="s">
        <v>215</v>
      </c>
      <c r="D45" s="493"/>
      <c r="E45" s="520"/>
      <c r="F45" s="1498">
        <f t="shared" si="3"/>
        <v>4260</v>
      </c>
      <c r="G45" s="1326">
        <f>54552-1500-2500-2224-2000-2000+94776-5772-2276</f>
        <v>131056</v>
      </c>
      <c r="H45" s="472">
        <f t="shared" si="2"/>
        <v>135316</v>
      </c>
      <c r="I45" s="1494">
        <f>L45</f>
        <v>135316</v>
      </c>
      <c r="J45" s="1495">
        <f t="shared" si="4"/>
        <v>0</v>
      </c>
      <c r="K45" s="1243"/>
      <c r="L45" s="479">
        <f>'[4]Városüzemeltetés'!$T$141</f>
        <v>135316</v>
      </c>
      <c r="M45" s="514"/>
      <c r="N45" s="499"/>
      <c r="O45" s="499"/>
      <c r="P45" s="499"/>
      <c r="Q45" s="500"/>
      <c r="R45" s="500"/>
    </row>
    <row r="46" spans="2:18" s="191" customFormat="1" ht="18" customHeight="1">
      <c r="B46" s="1201"/>
      <c r="C46" s="1663" t="s">
        <v>216</v>
      </c>
      <c r="D46" s="493"/>
      <c r="E46" s="520"/>
      <c r="F46" s="1498">
        <f t="shared" si="3"/>
        <v>12043</v>
      </c>
      <c r="G46" s="1326">
        <f>5772+2276</f>
        <v>8048</v>
      </c>
      <c r="H46" s="472">
        <f t="shared" si="2"/>
        <v>20091</v>
      </c>
      <c r="I46" s="1494">
        <f>L46</f>
        <v>20091</v>
      </c>
      <c r="J46" s="1495">
        <f t="shared" si="4"/>
        <v>0</v>
      </c>
      <c r="K46" s="1243"/>
      <c r="L46" s="479">
        <f>'[4]Városüzemeltetés'!$T$142</f>
        <v>20091</v>
      </c>
      <c r="M46" s="514"/>
      <c r="N46" s="499"/>
      <c r="O46" s="499"/>
      <c r="P46" s="499"/>
      <c r="Q46" s="500"/>
      <c r="R46" s="500"/>
    </row>
    <row r="47" spans="2:18" s="191" customFormat="1" ht="18" customHeight="1">
      <c r="B47" s="1201"/>
      <c r="C47" s="1663" t="s">
        <v>209</v>
      </c>
      <c r="D47" s="493"/>
      <c r="E47" s="520"/>
      <c r="F47" s="1498">
        <f t="shared" si="3"/>
        <v>149754</v>
      </c>
      <c r="G47" s="1326">
        <f>5000+55746</f>
        <v>60746</v>
      </c>
      <c r="H47" s="472">
        <f t="shared" si="2"/>
        <v>210500</v>
      </c>
      <c r="I47" s="1494">
        <f>L47</f>
        <v>210500</v>
      </c>
      <c r="J47" s="1495"/>
      <c r="K47" s="1243"/>
      <c r="L47" s="479">
        <f>'[4]Városüzemeltetés'!$T$160</f>
        <v>210500</v>
      </c>
      <c r="M47" s="514"/>
      <c r="N47" s="499"/>
      <c r="O47" s="499"/>
      <c r="P47" s="499"/>
      <c r="Q47" s="500"/>
      <c r="R47" s="500"/>
    </row>
    <row r="48" spans="2:18" s="191" customFormat="1" ht="18" customHeight="1">
      <c r="B48" s="1201"/>
      <c r="C48" s="1664" t="s">
        <v>210</v>
      </c>
      <c r="D48" s="952"/>
      <c r="E48" s="953"/>
      <c r="F48" s="1498">
        <f t="shared" si="3"/>
        <v>30000</v>
      </c>
      <c r="G48" s="1326">
        <v>54180</v>
      </c>
      <c r="H48" s="472">
        <f t="shared" si="2"/>
        <v>84180</v>
      </c>
      <c r="I48" s="1494"/>
      <c r="J48" s="1495">
        <f>L48-I48-K48</f>
        <v>84180</v>
      </c>
      <c r="K48" s="1243"/>
      <c r="L48" s="479">
        <f>'[4]Városüzemeltetés'!$T$161</f>
        <v>84180</v>
      </c>
      <c r="M48" s="514"/>
      <c r="N48" s="503"/>
      <c r="O48" s="499"/>
      <c r="P48" s="503"/>
      <c r="Q48" s="500"/>
      <c r="R48" s="500"/>
    </row>
    <row r="49" spans="2:18" s="191" customFormat="1" ht="18" customHeight="1">
      <c r="B49" s="1201"/>
      <c r="C49" s="1664" t="s">
        <v>570</v>
      </c>
      <c r="D49" s="952"/>
      <c r="E49" s="1202"/>
      <c r="F49" s="1498">
        <f t="shared" si="3"/>
        <v>0</v>
      </c>
      <c r="G49" s="1326">
        <v>12011</v>
      </c>
      <c r="H49" s="472">
        <f t="shared" si="2"/>
        <v>12011</v>
      </c>
      <c r="I49" s="1497"/>
      <c r="J49" s="1495">
        <f>L49</f>
        <v>12011</v>
      </c>
      <c r="K49" s="1243"/>
      <c r="L49" s="479">
        <f>'[4]Városüzemeltetés'!$T$163</f>
        <v>12011</v>
      </c>
      <c r="M49" s="514"/>
      <c r="N49" s="503"/>
      <c r="O49" s="499"/>
      <c r="P49" s="503"/>
      <c r="Q49" s="500"/>
      <c r="R49" s="500"/>
    </row>
    <row r="50" spans="2:18" s="191" customFormat="1" ht="18" customHeight="1">
      <c r="B50" s="1201"/>
      <c r="C50" s="1663" t="s">
        <v>477</v>
      </c>
      <c r="D50" s="493"/>
      <c r="E50" s="520"/>
      <c r="F50" s="1499">
        <f t="shared" si="3"/>
        <v>12250</v>
      </c>
      <c r="G50" s="1329"/>
      <c r="H50" s="484">
        <f t="shared" si="2"/>
        <v>12250</v>
      </c>
      <c r="I50" s="544"/>
      <c r="J50" s="1496">
        <f>L50-I50-K50</f>
        <v>12250</v>
      </c>
      <c r="K50" s="1755"/>
      <c r="L50" s="474">
        <f>'[4]Városüzemeltetés'!$T$166</f>
        <v>12250</v>
      </c>
      <c r="M50" s="514"/>
      <c r="N50" s="503"/>
      <c r="O50" s="499"/>
      <c r="P50" s="503"/>
      <c r="Q50" s="500"/>
      <c r="R50" s="500"/>
    </row>
    <row r="51" spans="2:18" s="191" customFormat="1" ht="18" customHeight="1" thickBot="1">
      <c r="B51" s="1756"/>
      <c r="C51" s="1757" t="s">
        <v>851</v>
      </c>
      <c r="D51" s="1758"/>
      <c r="E51" s="1759"/>
      <c r="F51" s="1760">
        <f t="shared" si="3"/>
        <v>102707</v>
      </c>
      <c r="G51" s="1240">
        <v>107025</v>
      </c>
      <c r="H51" s="1761">
        <f t="shared" si="2"/>
        <v>209732</v>
      </c>
      <c r="I51" s="1762">
        <f>L51</f>
        <v>209732</v>
      </c>
      <c r="J51" s="1763"/>
      <c r="K51" s="1764"/>
      <c r="L51" s="1765">
        <f>'[4]Városüzemeltetés'!$T$167</f>
        <v>209732</v>
      </c>
      <c r="M51" s="514"/>
      <c r="N51" s="503"/>
      <c r="O51" s="499"/>
      <c r="P51" s="503"/>
      <c r="Q51" s="500"/>
      <c r="R51" s="500"/>
    </row>
    <row r="52" spans="2:18" s="478" customFormat="1" ht="18" customHeight="1">
      <c r="B52" s="540">
        <f>B32+1</f>
        <v>22</v>
      </c>
      <c r="C52" s="541" t="s">
        <v>63</v>
      </c>
      <c r="D52" s="542"/>
      <c r="E52" s="543">
        <v>15000</v>
      </c>
      <c r="F52" s="1499">
        <f t="shared" si="3"/>
        <v>7470</v>
      </c>
      <c r="G52" s="1329"/>
      <c r="H52" s="484">
        <f t="shared" si="2"/>
        <v>22470</v>
      </c>
      <c r="I52" s="544"/>
      <c r="J52" s="1496">
        <f>L52-I52-K52</f>
        <v>22470</v>
      </c>
      <c r="K52" s="545"/>
      <c r="L52" s="474">
        <f>'hivatal5 '!H34</f>
        <v>22470</v>
      </c>
      <c r="M52" s="514"/>
      <c r="N52" s="496"/>
      <c r="O52" s="496"/>
      <c r="P52" s="496"/>
      <c r="Q52" s="498"/>
      <c r="R52" s="498"/>
    </row>
    <row r="53" spans="2:18" s="478" customFormat="1" ht="18" customHeight="1">
      <c r="B53" s="540">
        <f>B52+1</f>
        <v>23</v>
      </c>
      <c r="C53" s="1203" t="s">
        <v>514</v>
      </c>
      <c r="D53" s="542"/>
      <c r="E53" s="543"/>
      <c r="F53" s="1499">
        <f t="shared" si="3"/>
        <v>12450</v>
      </c>
      <c r="G53" s="1329">
        <v>2883</v>
      </c>
      <c r="H53" s="484">
        <f aca="true" t="shared" si="5" ref="H53:H60">L53</f>
        <v>15333</v>
      </c>
      <c r="I53" s="544">
        <f>L53</f>
        <v>15333</v>
      </c>
      <c r="J53" s="1496"/>
      <c r="K53" s="545"/>
      <c r="L53" s="474">
        <f>'hivatal5 '!Q34</f>
        <v>15333</v>
      </c>
      <c r="M53" s="514"/>
      <c r="N53" s="496"/>
      <c r="O53" s="496"/>
      <c r="P53" s="496"/>
      <c r="Q53" s="498"/>
      <c r="R53" s="498"/>
    </row>
    <row r="54" spans="2:18" s="478" customFormat="1" ht="18" customHeight="1">
      <c r="B54" s="540">
        <f aca="true" t="shared" si="6" ref="B54:B64">B53+1</f>
        <v>24</v>
      </c>
      <c r="C54" s="1203" t="s">
        <v>432</v>
      </c>
      <c r="D54" s="542"/>
      <c r="E54" s="543"/>
      <c r="F54" s="1499">
        <f t="shared" si="3"/>
        <v>6283</v>
      </c>
      <c r="G54" s="1329">
        <f>52560+27080</f>
        <v>79640</v>
      </c>
      <c r="H54" s="484">
        <f t="shared" si="5"/>
        <v>85923</v>
      </c>
      <c r="I54" s="544"/>
      <c r="J54" s="1496">
        <f aca="true" t="shared" si="7" ref="J54:J59">L54</f>
        <v>85923</v>
      </c>
      <c r="K54" s="545"/>
      <c r="L54" s="474">
        <f>'hivatal5 '!K34</f>
        <v>85923</v>
      </c>
      <c r="M54" s="514"/>
      <c r="N54" s="496"/>
      <c r="O54" s="496"/>
      <c r="P54" s="496"/>
      <c r="Q54" s="498"/>
      <c r="R54" s="498"/>
    </row>
    <row r="55" spans="2:18" s="478" customFormat="1" ht="18" customHeight="1">
      <c r="B55" s="540">
        <f t="shared" si="6"/>
        <v>25</v>
      </c>
      <c r="C55" s="1203" t="s">
        <v>502</v>
      </c>
      <c r="D55" s="542"/>
      <c r="E55" s="543">
        <v>30761</v>
      </c>
      <c r="F55" s="1499">
        <f t="shared" si="3"/>
        <v>278985</v>
      </c>
      <c r="G55" s="1329">
        <f>15357+51159</f>
        <v>66516</v>
      </c>
      <c r="H55" s="484">
        <f t="shared" si="5"/>
        <v>376262</v>
      </c>
      <c r="I55" s="544"/>
      <c r="J55" s="1496">
        <f t="shared" si="7"/>
        <v>376262</v>
      </c>
      <c r="K55" s="545"/>
      <c r="L55" s="474">
        <f>hivatal6!E34</f>
        <v>376262</v>
      </c>
      <c r="M55" s="514"/>
      <c r="N55" s="496"/>
      <c r="O55" s="496"/>
      <c r="P55" s="496"/>
      <c r="Q55" s="498"/>
      <c r="R55" s="498"/>
    </row>
    <row r="56" spans="2:18" s="478" customFormat="1" ht="18" customHeight="1">
      <c r="B56" s="540">
        <f t="shared" si="6"/>
        <v>26</v>
      </c>
      <c r="C56" s="1658" t="s">
        <v>666</v>
      </c>
      <c r="D56" s="542"/>
      <c r="E56" s="543">
        <v>1000</v>
      </c>
      <c r="F56" s="1499">
        <f t="shared" si="3"/>
        <v>0</v>
      </c>
      <c r="G56" s="1329">
        <v>1473</v>
      </c>
      <c r="H56" s="484">
        <f t="shared" si="5"/>
        <v>2473</v>
      </c>
      <c r="I56" s="544"/>
      <c r="J56" s="1496">
        <f t="shared" si="7"/>
        <v>2473</v>
      </c>
      <c r="K56" s="545"/>
      <c r="L56" s="474">
        <f>hivatal6!H34</f>
        <v>2473</v>
      </c>
      <c r="M56" s="514"/>
      <c r="N56" s="496"/>
      <c r="O56" s="496"/>
      <c r="P56" s="496"/>
      <c r="Q56" s="498"/>
      <c r="R56" s="498"/>
    </row>
    <row r="57" spans="2:18" s="478" customFormat="1" ht="18" customHeight="1">
      <c r="B57" s="540">
        <f t="shared" si="6"/>
        <v>27</v>
      </c>
      <c r="C57" s="1658" t="s">
        <v>667</v>
      </c>
      <c r="D57" s="542"/>
      <c r="E57" s="543"/>
      <c r="F57" s="1499">
        <f t="shared" si="3"/>
        <v>0</v>
      </c>
      <c r="G57" s="1329">
        <v>2413</v>
      </c>
      <c r="H57" s="484">
        <f t="shared" si="5"/>
        <v>2413</v>
      </c>
      <c r="I57" s="544"/>
      <c r="J57" s="1496">
        <f t="shared" si="7"/>
        <v>2413</v>
      </c>
      <c r="K57" s="545"/>
      <c r="L57" s="474">
        <f>hivatal6!K34</f>
        <v>2413</v>
      </c>
      <c r="M57" s="514"/>
      <c r="N57" s="496"/>
      <c r="O57" s="496"/>
      <c r="P57" s="496"/>
      <c r="Q57" s="498"/>
      <c r="R57" s="498"/>
    </row>
    <row r="58" spans="2:18" s="478" customFormat="1" ht="18" customHeight="1">
      <c r="B58" s="540">
        <f t="shared" si="6"/>
        <v>28</v>
      </c>
      <c r="C58" s="1658" t="s">
        <v>668</v>
      </c>
      <c r="D58" s="542"/>
      <c r="E58" s="543"/>
      <c r="F58" s="1499">
        <f t="shared" si="3"/>
        <v>0</v>
      </c>
      <c r="G58" s="1329">
        <v>114</v>
      </c>
      <c r="H58" s="484">
        <f t="shared" si="5"/>
        <v>114</v>
      </c>
      <c r="I58" s="544"/>
      <c r="J58" s="1496">
        <f t="shared" si="7"/>
        <v>114</v>
      </c>
      <c r="K58" s="545"/>
      <c r="L58" s="474">
        <f>hivatal6!N34</f>
        <v>114</v>
      </c>
      <c r="M58" s="514"/>
      <c r="N58" s="496"/>
      <c r="O58" s="496"/>
      <c r="P58" s="496"/>
      <c r="Q58" s="498"/>
      <c r="R58" s="498"/>
    </row>
    <row r="59" spans="2:18" s="478" customFormat="1" ht="18" customHeight="1">
      <c r="B59" s="540">
        <f t="shared" si="6"/>
        <v>29</v>
      </c>
      <c r="C59" s="1658" t="s">
        <v>669</v>
      </c>
      <c r="D59" s="542"/>
      <c r="E59" s="543"/>
      <c r="F59" s="1499">
        <f t="shared" si="3"/>
        <v>4400</v>
      </c>
      <c r="G59" s="1329">
        <v>304347</v>
      </c>
      <c r="H59" s="484">
        <f t="shared" si="5"/>
        <v>308747</v>
      </c>
      <c r="I59" s="544"/>
      <c r="J59" s="1496">
        <f t="shared" si="7"/>
        <v>308747</v>
      </c>
      <c r="K59" s="545"/>
      <c r="L59" s="474">
        <f>hivatal6!Q34</f>
        <v>308747</v>
      </c>
      <c r="M59" s="514"/>
      <c r="N59" s="496"/>
      <c r="O59" s="496"/>
      <c r="P59" s="496"/>
      <c r="Q59" s="498"/>
      <c r="R59" s="498"/>
    </row>
    <row r="60" spans="2:18" s="478" customFormat="1" ht="18" customHeight="1">
      <c r="B60" s="540">
        <f t="shared" si="6"/>
        <v>30</v>
      </c>
      <c r="C60" s="1658" t="s">
        <v>756</v>
      </c>
      <c r="D60" s="542"/>
      <c r="E60" s="543">
        <f>7174+25</f>
        <v>7199</v>
      </c>
      <c r="F60" s="1499">
        <f t="shared" si="3"/>
        <v>53977</v>
      </c>
      <c r="G60" s="1329">
        <v>50000</v>
      </c>
      <c r="H60" s="484">
        <f t="shared" si="5"/>
        <v>111176</v>
      </c>
      <c r="I60" s="544">
        <f>L60</f>
        <v>111176</v>
      </c>
      <c r="J60" s="1496"/>
      <c r="K60" s="545"/>
      <c r="L60" s="474">
        <f>hivatal7!E34</f>
        <v>111176</v>
      </c>
      <c r="M60" s="514"/>
      <c r="N60" s="496"/>
      <c r="O60" s="496"/>
      <c r="P60" s="496"/>
      <c r="Q60" s="498"/>
      <c r="R60" s="498"/>
    </row>
    <row r="61" spans="2:18" s="478" customFormat="1" ht="18" customHeight="1">
      <c r="B61" s="540">
        <f t="shared" si="6"/>
        <v>31</v>
      </c>
      <c r="C61" s="1241" t="s">
        <v>570</v>
      </c>
      <c r="D61" s="491"/>
      <c r="E61" s="518">
        <f>350000+6019</f>
        <v>356019</v>
      </c>
      <c r="F61" s="1498">
        <f t="shared" si="3"/>
        <v>239497</v>
      </c>
      <c r="G61" s="1326">
        <f>551+20000</f>
        <v>20551</v>
      </c>
      <c r="H61" s="472">
        <f t="shared" si="2"/>
        <v>616067</v>
      </c>
      <c r="I61" s="1494">
        <v>25480</v>
      </c>
      <c r="J61" s="1495">
        <f>L61-I61-K61</f>
        <v>590587</v>
      </c>
      <c r="K61" s="476"/>
      <c r="L61" s="479">
        <f>hivatal8!E34</f>
        <v>616067</v>
      </c>
      <c r="M61" s="514"/>
      <c r="N61" s="496"/>
      <c r="O61" s="496"/>
      <c r="P61" s="496"/>
      <c r="Q61" s="498"/>
      <c r="R61" s="498"/>
    </row>
    <row r="62" spans="2:18" s="478" customFormat="1" ht="27.75" customHeight="1">
      <c r="B62" s="540">
        <f t="shared" si="6"/>
        <v>32</v>
      </c>
      <c r="C62" s="1365" t="s">
        <v>569</v>
      </c>
      <c r="D62" s="491">
        <v>209030</v>
      </c>
      <c r="E62" s="518"/>
      <c r="F62" s="1498">
        <f t="shared" si="3"/>
        <v>105000</v>
      </c>
      <c r="G62" s="1326">
        <v>5000</v>
      </c>
      <c r="H62" s="472">
        <f t="shared" si="2"/>
        <v>319030</v>
      </c>
      <c r="I62" s="1494">
        <f>D62</f>
        <v>209030</v>
      </c>
      <c r="J62" s="1495">
        <f>L62-I62-K62</f>
        <v>110000</v>
      </c>
      <c r="K62" s="476"/>
      <c r="L62" s="479">
        <f>hivatal8!H34</f>
        <v>319030</v>
      </c>
      <c r="M62" s="514"/>
      <c r="N62" s="496"/>
      <c r="O62" s="496"/>
      <c r="P62" s="496"/>
      <c r="Q62" s="498"/>
      <c r="R62" s="498"/>
    </row>
    <row r="63" spans="2:18" s="478" customFormat="1" ht="18" customHeight="1">
      <c r="B63" s="540">
        <f t="shared" si="6"/>
        <v>33</v>
      </c>
      <c r="C63" s="471" t="s">
        <v>65</v>
      </c>
      <c r="D63" s="491"/>
      <c r="E63" s="518"/>
      <c r="F63" s="1498">
        <f t="shared" si="3"/>
        <v>136014</v>
      </c>
      <c r="G63" s="1326">
        <v>675</v>
      </c>
      <c r="H63" s="472">
        <f t="shared" si="2"/>
        <v>136689</v>
      </c>
      <c r="I63" s="1494"/>
      <c r="J63" s="1495">
        <f>L63-I63-K63</f>
        <v>136689</v>
      </c>
      <c r="K63" s="476"/>
      <c r="L63" s="479">
        <f>hivatal8!K34</f>
        <v>136689</v>
      </c>
      <c r="M63" s="514"/>
      <c r="N63" s="496"/>
      <c r="O63" s="496"/>
      <c r="P63" s="496"/>
      <c r="Q63" s="498"/>
      <c r="R63" s="498"/>
    </row>
    <row r="64" spans="2:18" s="478" customFormat="1" ht="18" customHeight="1" thickBot="1">
      <c r="B64" s="540">
        <f t="shared" si="6"/>
        <v>34</v>
      </c>
      <c r="C64" s="471" t="s">
        <v>55</v>
      </c>
      <c r="D64" s="491">
        <v>19302</v>
      </c>
      <c r="E64" s="518">
        <f>88130+61+85+282+2197+1928+10000</f>
        <v>102683</v>
      </c>
      <c r="F64" s="1498">
        <f t="shared" si="3"/>
        <v>46851</v>
      </c>
      <c r="G64" s="1326">
        <f>2000+665000+12836+5000+1000+200+1500+2500+2224+2000+2000+795292+120000+568131+190000-145150-665000-20000-2000-4781+54-3080-29470</f>
        <v>1500256</v>
      </c>
      <c r="H64" s="472">
        <f t="shared" si="2"/>
        <v>1669092</v>
      </c>
      <c r="I64" s="1494">
        <f>tartalék!F9+tartalék!F11+tartalék!F14+tartalék!F15+430917</f>
        <v>671600</v>
      </c>
      <c r="J64" s="1495">
        <f>L64-I64-K64</f>
        <v>997492</v>
      </c>
      <c r="K64" s="477"/>
      <c r="L64" s="479">
        <f>tartalék!F38</f>
        <v>1669092</v>
      </c>
      <c r="M64" s="514"/>
      <c r="N64" s="496"/>
      <c r="O64" s="496"/>
      <c r="P64" s="496"/>
      <c r="Q64" s="498"/>
      <c r="R64" s="498"/>
    </row>
    <row r="65" spans="2:18" s="483" customFormat="1" ht="18" customHeight="1" thickBot="1">
      <c r="B65" s="480" t="s">
        <v>95</v>
      </c>
      <c r="C65" s="481" t="s">
        <v>207</v>
      </c>
      <c r="D65" s="1232">
        <f aca="true" t="shared" si="8" ref="D65:L65">SUM(D12:D64)</f>
        <v>528332</v>
      </c>
      <c r="E65" s="1233">
        <f t="shared" si="8"/>
        <v>913060</v>
      </c>
      <c r="F65" s="1321">
        <f t="shared" si="8"/>
        <v>4678109</v>
      </c>
      <c r="G65" s="1333">
        <f t="shared" si="8"/>
        <v>5397446</v>
      </c>
      <c r="H65" s="482">
        <f t="shared" si="8"/>
        <v>11516947</v>
      </c>
      <c r="I65" s="482">
        <f t="shared" si="8"/>
        <v>4860203.8</v>
      </c>
      <c r="J65" s="482">
        <f t="shared" si="8"/>
        <v>6656743.2</v>
      </c>
      <c r="K65" s="482">
        <f t="shared" si="8"/>
        <v>0</v>
      </c>
      <c r="L65" s="482">
        <f t="shared" si="8"/>
        <v>11516947</v>
      </c>
      <c r="M65" s="514"/>
      <c r="N65" s="504"/>
      <c r="O65" s="504"/>
      <c r="P65" s="504"/>
      <c r="Q65" s="505"/>
      <c r="R65" s="505"/>
    </row>
    <row r="66" spans="2:18" s="486" customFormat="1" ht="18" customHeight="1">
      <c r="B66" s="1659">
        <f>B64+1</f>
        <v>35</v>
      </c>
      <c r="C66" s="1228" t="s">
        <v>576</v>
      </c>
      <c r="D66" s="1237">
        <f>'bevétfő '!I10+'bevétfő '!I11+'bevétfő '!I12-D62+1190+360</f>
        <v>1959963</v>
      </c>
      <c r="E66" s="1238">
        <f>217200-42131-3549+13513-23932+302</f>
        <v>161403</v>
      </c>
      <c r="F66" s="1322">
        <f>H66-D66-E66-G66</f>
        <v>2561957</v>
      </c>
      <c r="G66" s="1329">
        <f>40983+277+1008+112550+2000</f>
        <v>156818</v>
      </c>
      <c r="H66" s="1230">
        <f>L66</f>
        <v>4840141</v>
      </c>
      <c r="I66" s="1502">
        <f>+L66-J66</f>
        <v>4694803</v>
      </c>
      <c r="J66" s="1495">
        <f>+(631*200)+19138</f>
        <v>145338</v>
      </c>
      <c r="K66" s="1522"/>
      <c r="L66" s="485">
        <f>'önállóan gazd.'!K34</f>
        <v>4840141</v>
      </c>
      <c r="M66" s="515"/>
      <c r="N66" s="506"/>
      <c r="O66" s="506"/>
      <c r="P66" s="504"/>
      <c r="Q66" s="505"/>
      <c r="R66" s="505"/>
    </row>
    <row r="67" spans="2:18" s="486" customFormat="1" ht="18" customHeight="1" thickBot="1">
      <c r="B67" s="1660">
        <v>34</v>
      </c>
      <c r="C67" s="1229" t="s">
        <v>338</v>
      </c>
      <c r="D67" s="1693">
        <f>261+51</f>
        <v>312</v>
      </c>
      <c r="E67" s="1239">
        <v>1332</v>
      </c>
      <c r="F67" s="1323">
        <f>H67-D67-E67-G67</f>
        <v>1388666</v>
      </c>
      <c r="G67" s="1240">
        <f>20626+10000+10000+2000+31800</f>
        <v>74426</v>
      </c>
      <c r="H67" s="1231">
        <f>L67</f>
        <v>1464736</v>
      </c>
      <c r="I67" s="1501">
        <f>L67-K67-J67</f>
        <v>1436112</v>
      </c>
      <c r="J67" s="1495">
        <v>20114</v>
      </c>
      <c r="K67" s="1500">
        <v>8510</v>
      </c>
      <c r="L67" s="485">
        <f>'önállóan gazd.'!N60</f>
        <v>1464736</v>
      </c>
      <c r="M67" s="515"/>
      <c r="N67" s="495"/>
      <c r="O67" s="506"/>
      <c r="P67" s="505"/>
      <c r="Q67" s="506"/>
      <c r="R67" s="505"/>
    </row>
    <row r="68" spans="2:18" s="490" customFormat="1" ht="18" customHeight="1" thickBot="1">
      <c r="B68" s="487" t="s">
        <v>102</v>
      </c>
      <c r="C68" s="488" t="s">
        <v>206</v>
      </c>
      <c r="D68" s="1234">
        <f aca="true" t="shared" si="9" ref="D68:L68">SUM(D66:D67)</f>
        <v>1960275</v>
      </c>
      <c r="E68" s="1235">
        <f t="shared" si="9"/>
        <v>162735</v>
      </c>
      <c r="F68" s="1236">
        <f t="shared" si="9"/>
        <v>3950623</v>
      </c>
      <c r="G68" s="1331">
        <f>SUM(G66:G67)</f>
        <v>231244</v>
      </c>
      <c r="H68" s="489">
        <f t="shared" si="9"/>
        <v>6304877</v>
      </c>
      <c r="I68" s="489">
        <f t="shared" si="9"/>
        <v>6130915</v>
      </c>
      <c r="J68" s="489">
        <f t="shared" si="9"/>
        <v>165452</v>
      </c>
      <c r="K68" s="489">
        <f t="shared" si="9"/>
        <v>8510</v>
      </c>
      <c r="L68" s="482">
        <f t="shared" si="9"/>
        <v>6304877</v>
      </c>
      <c r="M68" s="514"/>
      <c r="N68" s="496"/>
      <c r="P68" s="496"/>
      <c r="Q68" s="496"/>
      <c r="R68" s="496"/>
    </row>
    <row r="69" spans="2:18" s="460" customFormat="1" ht="21.75" customHeight="1" thickBot="1">
      <c r="B69" s="457" t="s">
        <v>105</v>
      </c>
      <c r="C69" s="458" t="s">
        <v>217</v>
      </c>
      <c r="D69" s="521">
        <f aca="true" t="shared" si="10" ref="D69:L69">D65+D68</f>
        <v>2488607</v>
      </c>
      <c r="E69" s="1168">
        <f t="shared" si="10"/>
        <v>1075795</v>
      </c>
      <c r="F69" s="1324">
        <f t="shared" si="10"/>
        <v>8628732</v>
      </c>
      <c r="G69" s="1332">
        <f>G65+G68</f>
        <v>5628690</v>
      </c>
      <c r="H69" s="459">
        <f t="shared" si="10"/>
        <v>17821824</v>
      </c>
      <c r="I69" s="459">
        <f t="shared" si="10"/>
        <v>10991118.8</v>
      </c>
      <c r="J69" s="459">
        <f t="shared" si="10"/>
        <v>6822195.2</v>
      </c>
      <c r="K69" s="459">
        <f t="shared" si="10"/>
        <v>8510</v>
      </c>
      <c r="L69" s="954">
        <f t="shared" si="10"/>
        <v>17821824</v>
      </c>
      <c r="M69" s="514"/>
      <c r="N69" s="507"/>
      <c r="O69" s="496"/>
      <c r="P69" s="507"/>
      <c r="Q69" s="496"/>
      <c r="R69" s="496"/>
    </row>
    <row r="70" spans="2:18" s="1525" customFormat="1" ht="12.75">
      <c r="B70" s="276"/>
      <c r="C70" s="1523"/>
      <c r="D70" s="556"/>
      <c r="E70" s="556"/>
      <c r="F70" s="1524"/>
      <c r="G70" s="1524"/>
      <c r="H70" s="1524">
        <f>SUM(D69:G69)</f>
        <v>17821824</v>
      </c>
      <c r="I70" s="453"/>
      <c r="J70" s="453"/>
      <c r="K70" s="453"/>
      <c r="L70" s="278">
        <f>SUM(I69:K69)</f>
        <v>17821824</v>
      </c>
      <c r="M70" s="516"/>
      <c r="N70" s="508"/>
      <c r="O70" s="508"/>
      <c r="P70" s="508"/>
      <c r="Q70" s="508"/>
      <c r="R70" s="508"/>
    </row>
    <row r="71" spans="2:18" s="1525" customFormat="1" ht="12.75">
      <c r="B71" s="276"/>
      <c r="C71" s="1523"/>
      <c r="D71" s="1524">
        <f>'bevétfő '!I8+'bevétfő '!I62</f>
        <v>2488607</v>
      </c>
      <c r="E71" s="1524">
        <f>'bevétfő '!I16+'bevétfő '!I59+'bevétfő '!I63+'bevétfő '!I76</f>
        <v>1075795</v>
      </c>
      <c r="F71" s="556"/>
      <c r="G71" s="1524">
        <f>'bevétfő '!I89</f>
        <v>5628690</v>
      </c>
      <c r="H71" s="556"/>
      <c r="I71" s="453"/>
      <c r="J71" s="454"/>
      <c r="K71" s="454"/>
      <c r="L71" s="279">
        <f>'kiadfő '!H81</f>
        <v>17821824</v>
      </c>
      <c r="M71" s="516"/>
      <c r="N71" s="509"/>
      <c r="O71" s="508"/>
      <c r="P71" s="508"/>
      <c r="Q71" s="508"/>
      <c r="R71" s="508"/>
    </row>
    <row r="72" spans="4:12" ht="12.75">
      <c r="D72" s="452"/>
      <c r="E72" s="452"/>
      <c r="F72" s="452"/>
      <c r="G72" s="452"/>
      <c r="H72" s="456">
        <f>'bevétfő '!I92</f>
        <v>17821824</v>
      </c>
      <c r="I72" s="453"/>
      <c r="J72" s="454"/>
      <c r="K72" s="454"/>
      <c r="L72" s="279">
        <f>L71-L70</f>
        <v>0</v>
      </c>
    </row>
    <row r="73" spans="4:11" ht="12.75">
      <c r="D73" s="452"/>
      <c r="E73" s="452"/>
      <c r="F73" s="452"/>
      <c r="G73" s="456">
        <f>G71-G69</f>
        <v>0</v>
      </c>
      <c r="H73" s="456">
        <f>H72-H70</f>
        <v>0</v>
      </c>
      <c r="I73" s="453"/>
      <c r="J73" s="454"/>
      <c r="K73" s="454"/>
    </row>
    <row r="74" spans="4:11" ht="12.75">
      <c r="D74" s="452"/>
      <c r="E74" s="452"/>
      <c r="F74" s="452"/>
      <c r="G74" s="452"/>
      <c r="H74" s="452"/>
      <c r="I74" s="453"/>
      <c r="J74" s="454"/>
      <c r="K74" s="454"/>
    </row>
    <row r="75" spans="4:11" ht="12.75">
      <c r="D75" s="453"/>
      <c r="E75" s="452"/>
      <c r="F75" s="452"/>
      <c r="G75" s="452"/>
      <c r="H75" s="556"/>
      <c r="I75" s="453"/>
      <c r="J75" s="454"/>
      <c r="K75" s="454"/>
    </row>
    <row r="76" spans="4:11" ht="12.75">
      <c r="D76" s="452"/>
      <c r="E76" s="452"/>
      <c r="F76" s="452"/>
      <c r="G76" s="452"/>
      <c r="H76" s="452"/>
      <c r="I76" s="455"/>
      <c r="J76" s="454"/>
      <c r="K76" s="454"/>
    </row>
    <row r="77" spans="4:11" ht="12.75">
      <c r="D77" s="452"/>
      <c r="E77" s="452"/>
      <c r="F77" s="452"/>
      <c r="G77" s="452"/>
      <c r="H77" s="452"/>
      <c r="I77" s="455"/>
      <c r="J77" s="454"/>
      <c r="K77" s="454"/>
    </row>
    <row r="78" spans="4:11" ht="12.75">
      <c r="D78" s="452"/>
      <c r="E78" s="452"/>
      <c r="F78" s="452"/>
      <c r="G78" s="452"/>
      <c r="H78" s="452"/>
      <c r="I78" s="455" t="s">
        <v>87</v>
      </c>
      <c r="J78" s="454"/>
      <c r="K78" s="454"/>
    </row>
    <row r="79" spans="4:11" ht="12.75">
      <c r="D79" s="452"/>
      <c r="E79" s="452"/>
      <c r="F79" s="452"/>
      <c r="G79" s="452"/>
      <c r="H79" s="452"/>
      <c r="I79" s="455"/>
      <c r="J79" s="454"/>
      <c r="K79" s="454"/>
    </row>
    <row r="80" spans="4:11" ht="12.75">
      <c r="D80" s="452"/>
      <c r="E80" s="452"/>
      <c r="F80" s="452"/>
      <c r="G80" s="452"/>
      <c r="H80" s="452"/>
      <c r="I80" s="455"/>
      <c r="J80" s="454"/>
      <c r="K80" s="454"/>
    </row>
    <row r="81" spans="4:11" ht="12.75">
      <c r="D81" s="452"/>
      <c r="E81" s="452"/>
      <c r="F81" s="452"/>
      <c r="G81" s="452"/>
      <c r="H81" s="452"/>
      <c r="I81" s="455"/>
      <c r="J81" s="454"/>
      <c r="K81" s="454"/>
    </row>
    <row r="82" spans="4:11" ht="12.75">
      <c r="D82" s="452"/>
      <c r="E82" s="452"/>
      <c r="F82" s="452"/>
      <c r="G82" s="452"/>
      <c r="H82" s="452"/>
      <c r="I82" s="455"/>
      <c r="J82" s="454"/>
      <c r="K82" s="454"/>
    </row>
    <row r="83" spans="4:11" ht="12.75">
      <c r="D83" s="452"/>
      <c r="E83" s="452"/>
      <c r="F83" s="452"/>
      <c r="G83" s="452"/>
      <c r="H83" s="452"/>
      <c r="I83" s="455"/>
      <c r="J83" s="454"/>
      <c r="K83" s="454"/>
    </row>
    <row r="84" spans="4:11" ht="12.75">
      <c r="D84" s="452"/>
      <c r="E84" s="452"/>
      <c r="F84" s="452"/>
      <c r="G84" s="452"/>
      <c r="H84" s="452"/>
      <c r="I84" s="455"/>
      <c r="J84" s="454"/>
      <c r="K84" s="454"/>
    </row>
    <row r="85" spans="4:11" ht="12.75">
      <c r="D85" s="452"/>
      <c r="E85" s="452"/>
      <c r="F85" s="452"/>
      <c r="G85" s="452"/>
      <c r="H85" s="452"/>
      <c r="I85" s="455"/>
      <c r="J85" s="454"/>
      <c r="K85" s="454"/>
    </row>
    <row r="86" spans="4:11" ht="12.75">
      <c r="D86" s="452"/>
      <c r="E86" s="452"/>
      <c r="F86" s="452"/>
      <c r="G86" s="452"/>
      <c r="H86" s="452"/>
      <c r="I86" s="455"/>
      <c r="J86" s="454"/>
      <c r="K86" s="454"/>
    </row>
    <row r="87" spans="4:11" ht="12.75">
      <c r="D87" s="452"/>
      <c r="E87" s="452"/>
      <c r="F87" s="452"/>
      <c r="G87" s="452"/>
      <c r="H87" s="452"/>
      <c r="I87" s="455"/>
      <c r="J87" s="454"/>
      <c r="K87" s="454"/>
    </row>
    <row r="88" spans="4:11" ht="12.75">
      <c r="D88" s="452"/>
      <c r="E88" s="452"/>
      <c r="F88" s="452"/>
      <c r="G88" s="452"/>
      <c r="H88" s="452"/>
      <c r="I88" s="455"/>
      <c r="J88" s="454"/>
      <c r="K88" s="454"/>
    </row>
    <row r="89" spans="4:11" ht="12.75">
      <c r="D89" s="452"/>
      <c r="E89" s="452"/>
      <c r="F89" s="452"/>
      <c r="G89" s="452"/>
      <c r="H89" s="452"/>
      <c r="I89" s="455"/>
      <c r="J89" s="454"/>
      <c r="K89" s="454"/>
    </row>
    <row r="90" spans="4:11" ht="12.75">
      <c r="D90" s="452"/>
      <c r="E90" s="452"/>
      <c r="F90" s="452"/>
      <c r="G90" s="452"/>
      <c r="H90" s="452"/>
      <c r="I90" s="455"/>
      <c r="J90" s="454"/>
      <c r="K90" s="454"/>
    </row>
    <row r="91" spans="4:11" ht="12.75">
      <c r="D91" s="452"/>
      <c r="E91" s="452"/>
      <c r="F91" s="452"/>
      <c r="G91" s="452"/>
      <c r="H91" s="452"/>
      <c r="I91" s="455"/>
      <c r="J91" s="454"/>
      <c r="K91" s="454"/>
    </row>
    <row r="92" spans="4:11" ht="12.75">
      <c r="D92" s="452"/>
      <c r="E92" s="452"/>
      <c r="F92" s="452"/>
      <c r="G92" s="452"/>
      <c r="H92" s="452"/>
      <c r="I92" s="455"/>
      <c r="J92" s="454"/>
      <c r="K92" s="454"/>
    </row>
    <row r="93" spans="4:11" ht="12.75">
      <c r="D93" s="452"/>
      <c r="E93" s="452"/>
      <c r="F93" s="452"/>
      <c r="G93" s="452"/>
      <c r="H93" s="452"/>
      <c r="I93" s="455"/>
      <c r="J93" s="454"/>
      <c r="K93" s="454"/>
    </row>
    <row r="94" spans="4:11" ht="12.75">
      <c r="D94" s="452"/>
      <c r="E94" s="452"/>
      <c r="F94" s="452"/>
      <c r="G94" s="452"/>
      <c r="H94" s="452"/>
      <c r="I94" s="455"/>
      <c r="J94" s="454"/>
      <c r="K94" s="454"/>
    </row>
    <row r="95" spans="4:11" ht="12.75">
      <c r="D95" s="452"/>
      <c r="E95" s="452"/>
      <c r="F95" s="452"/>
      <c r="G95" s="452"/>
      <c r="H95" s="452"/>
      <c r="I95" s="455"/>
      <c r="J95" s="454"/>
      <c r="K95" s="454"/>
    </row>
    <row r="96" spans="4:11" ht="12.75">
      <c r="D96" s="452"/>
      <c r="E96" s="452"/>
      <c r="F96" s="452"/>
      <c r="G96" s="452"/>
      <c r="H96" s="452"/>
      <c r="I96" s="455"/>
      <c r="J96" s="454"/>
      <c r="K96" s="454"/>
    </row>
    <row r="97" spans="4:11" ht="12.75">
      <c r="D97" s="452"/>
      <c r="E97" s="452"/>
      <c r="F97" s="452"/>
      <c r="G97" s="452"/>
      <c r="H97" s="452"/>
      <c r="I97" s="455"/>
      <c r="J97" s="454"/>
      <c r="K97" s="454"/>
    </row>
    <row r="98" spans="4:11" ht="12.75">
      <c r="D98" s="452"/>
      <c r="E98" s="452"/>
      <c r="F98" s="452"/>
      <c r="G98" s="452"/>
      <c r="H98" s="452"/>
      <c r="I98" s="455"/>
      <c r="J98" s="454"/>
      <c r="K98" s="454"/>
    </row>
    <row r="99" spans="4:11" ht="12.75">
      <c r="D99" s="452"/>
      <c r="E99" s="452"/>
      <c r="F99" s="452"/>
      <c r="G99" s="452"/>
      <c r="H99" s="452"/>
      <c r="I99" s="455"/>
      <c r="J99" s="454"/>
      <c r="K99" s="454"/>
    </row>
    <row r="100" spans="4:11" ht="12.75">
      <c r="D100" s="452"/>
      <c r="E100" s="452"/>
      <c r="F100" s="452"/>
      <c r="G100" s="452"/>
      <c r="H100" s="452"/>
      <c r="I100" s="455"/>
      <c r="J100" s="454"/>
      <c r="K100" s="454"/>
    </row>
    <row r="101" spans="4:11" ht="12.75">
      <c r="D101" s="452"/>
      <c r="E101" s="452"/>
      <c r="F101" s="452"/>
      <c r="G101" s="452"/>
      <c r="H101" s="452"/>
      <c r="I101" s="455"/>
      <c r="J101" s="454"/>
      <c r="K101" s="454"/>
    </row>
    <row r="102" spans="4:11" ht="12.75">
      <c r="D102" s="452"/>
      <c r="E102" s="452"/>
      <c r="F102" s="452"/>
      <c r="G102" s="452"/>
      <c r="H102" s="452"/>
      <c r="I102" s="455"/>
      <c r="J102" s="454"/>
      <c r="K102" s="454"/>
    </row>
    <row r="103" spans="4:11" ht="12.75">
      <c r="D103" s="452"/>
      <c r="E103" s="452"/>
      <c r="F103" s="452"/>
      <c r="G103" s="452"/>
      <c r="H103" s="452"/>
      <c r="I103" s="455"/>
      <c r="J103" s="454"/>
      <c r="K103" s="454"/>
    </row>
  </sheetData>
  <sheetProtection/>
  <mergeCells count="16">
    <mergeCell ref="B6:L6"/>
    <mergeCell ref="I9:I10"/>
    <mergeCell ref="J9:J10"/>
    <mergeCell ref="K9:K10"/>
    <mergeCell ref="L9:L10"/>
    <mergeCell ref="G9:G10"/>
    <mergeCell ref="B4:L4"/>
    <mergeCell ref="C8:C10"/>
    <mergeCell ref="B8:B10"/>
    <mergeCell ref="B5:L5"/>
    <mergeCell ref="F9:F10"/>
    <mergeCell ref="H9:H10"/>
    <mergeCell ref="D8:H8"/>
    <mergeCell ref="D9:D10"/>
    <mergeCell ref="E9:E10"/>
    <mergeCell ref="I8:L8"/>
  </mergeCells>
  <printOptions horizontalCentered="1" verticalCentered="1"/>
  <pageMargins left="0.7874015748031497" right="0.7874015748031497" top="0.58" bottom="0.67" header="0.5118110236220472" footer="0.5118110236220472"/>
  <pageSetup fitToHeight="1" fitToWidth="1" horizontalDpi="600" verticalDpi="600" orientation="landscape" paperSize="9" scale="39" r:id="rId1"/>
  <headerFooter alignWithMargins="0">
    <oddFooter>&amp;L&amp;F&amp;C&amp;D 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="75" zoomScaleNormal="75" zoomScaleSheetLayoutView="50" zoomScalePageLayoutView="0" workbookViewId="0" topLeftCell="A1">
      <pane xSplit="2" ySplit="9" topLeftCell="C16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10" customWidth="1"/>
    <col min="2" max="2" width="78.375" style="94" customWidth="1"/>
    <col min="3" max="3" width="15.875" style="94" customWidth="1"/>
    <col min="4" max="4" width="15.50390625" style="94" customWidth="1"/>
    <col min="5" max="9" width="15.875" style="94" customWidth="1"/>
    <col min="10" max="10" width="14.375" style="94" customWidth="1"/>
    <col min="11" max="12" width="15.875" style="94" customWidth="1"/>
    <col min="13" max="13" width="14.375" style="94" customWidth="1"/>
    <col min="14" max="15" width="15.875" style="94" customWidth="1"/>
    <col min="16" max="16" width="13.875" style="94" customWidth="1"/>
    <col min="17" max="17" width="15.875" style="94" customWidth="1"/>
  </cols>
  <sheetData>
    <row r="1" spans="1:17" ht="10.5" customHeight="1">
      <c r="A1" s="294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867" t="s">
        <v>855</v>
      </c>
    </row>
    <row r="2" spans="1:17" ht="12.75" customHeight="1">
      <c r="A2" s="294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867" t="s">
        <v>93</v>
      </c>
    </row>
    <row r="3" spans="1:17" ht="10.5" customHeight="1">
      <c r="A3" s="294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868" t="s">
        <v>123</v>
      </c>
    </row>
    <row r="4" spans="1:17" ht="20.25">
      <c r="A4" s="869" t="s">
        <v>578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</row>
    <row r="5" spans="1:17" ht="18">
      <c r="A5" s="870" t="s">
        <v>584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</row>
    <row r="6" spans="1:17" ht="18.75" thickBot="1">
      <c r="A6" s="870"/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871" t="s">
        <v>134</v>
      </c>
    </row>
    <row r="7" spans="1:17" ht="18">
      <c r="A7" s="229" t="s">
        <v>124</v>
      </c>
      <c r="B7" s="93" t="s">
        <v>125</v>
      </c>
      <c r="C7" s="1885" t="s">
        <v>329</v>
      </c>
      <c r="D7" s="1886"/>
      <c r="E7" s="1887"/>
      <c r="F7" s="1885" t="s">
        <v>162</v>
      </c>
      <c r="G7" s="1886"/>
      <c r="H7" s="1887"/>
      <c r="I7" s="1885" t="s">
        <v>561</v>
      </c>
      <c r="J7" s="1886"/>
      <c r="K7" s="1887"/>
      <c r="L7" s="1885" t="s">
        <v>562</v>
      </c>
      <c r="M7" s="1886"/>
      <c r="N7" s="1887"/>
      <c r="O7" s="1885" t="s">
        <v>563</v>
      </c>
      <c r="P7" s="1886"/>
      <c r="Q7" s="1887"/>
    </row>
    <row r="8" spans="1:17" s="26" customFormat="1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24" t="s">
        <v>420</v>
      </c>
      <c r="M8" s="23" t="s">
        <v>128</v>
      </c>
      <c r="N8" s="11" t="s">
        <v>661</v>
      </c>
      <c r="O8" s="24" t="s">
        <v>420</v>
      </c>
      <c r="P8" s="23" t="s">
        <v>128</v>
      </c>
      <c r="Q8" s="11" t="s">
        <v>661</v>
      </c>
    </row>
    <row r="9" spans="1:17" s="89" customFormat="1" ht="12" thickBot="1">
      <c r="A9" s="411">
        <v>1</v>
      </c>
      <c r="B9" s="86">
        <v>2</v>
      </c>
      <c r="C9" s="872">
        <v>3</v>
      </c>
      <c r="D9" s="873">
        <v>4</v>
      </c>
      <c r="E9" s="874">
        <v>5</v>
      </c>
      <c r="F9" s="872">
        <v>6</v>
      </c>
      <c r="G9" s="873">
        <v>7</v>
      </c>
      <c r="H9" s="874">
        <v>8</v>
      </c>
      <c r="I9" s="872">
        <v>9</v>
      </c>
      <c r="J9" s="873">
        <v>10</v>
      </c>
      <c r="K9" s="874">
        <v>11</v>
      </c>
      <c r="L9" s="872">
        <v>12</v>
      </c>
      <c r="M9" s="873">
        <v>13</v>
      </c>
      <c r="N9" s="874">
        <v>14</v>
      </c>
      <c r="O9" s="872">
        <v>15</v>
      </c>
      <c r="P9" s="873">
        <v>16</v>
      </c>
      <c r="Q9" s="874">
        <v>17</v>
      </c>
    </row>
    <row r="10" spans="1:17" s="26" customFormat="1" ht="18.75" thickBot="1">
      <c r="A10" s="371"/>
      <c r="B10" s="416" t="s">
        <v>129</v>
      </c>
      <c r="C10" s="375"/>
      <c r="D10" s="925"/>
      <c r="E10" s="418"/>
      <c r="F10" s="372"/>
      <c r="G10" s="373"/>
      <c r="H10" s="418"/>
      <c r="I10" s="372"/>
      <c r="J10" s="373"/>
      <c r="K10" s="418"/>
      <c r="L10" s="372"/>
      <c r="M10" s="373"/>
      <c r="N10" s="418"/>
      <c r="O10" s="372"/>
      <c r="P10" s="373"/>
      <c r="Q10" s="418"/>
    </row>
    <row r="11" spans="1:17" s="180" customFormat="1" ht="17.25" customHeight="1" thickBot="1">
      <c r="A11" s="304">
        <v>1</v>
      </c>
      <c r="B11" s="296" t="s">
        <v>113</v>
      </c>
      <c r="C11" s="310">
        <v>1044413</v>
      </c>
      <c r="D11" s="307">
        <v>38</v>
      </c>
      <c r="E11" s="306">
        <f>SUM(C11:D11)</f>
        <v>1044451</v>
      </c>
      <c r="F11" s="310">
        <v>432030</v>
      </c>
      <c r="G11" s="307">
        <v>137</v>
      </c>
      <c r="H11" s="306">
        <f>F11+G11</f>
        <v>432167</v>
      </c>
      <c r="I11" s="305">
        <v>259121</v>
      </c>
      <c r="J11" s="305">
        <v>-4038</v>
      </c>
      <c r="K11" s="306">
        <f>I11+J11</f>
        <v>255083</v>
      </c>
      <c r="L11" s="305">
        <v>280367</v>
      </c>
      <c r="M11" s="305"/>
      <c r="N11" s="306">
        <f>L11+M11</f>
        <v>280367</v>
      </c>
      <c r="O11" s="307">
        <v>165741</v>
      </c>
      <c r="P11" s="305">
        <v>33</v>
      </c>
      <c r="Q11" s="306">
        <f aca="true" t="shared" si="0" ref="Q11:Q16">SUM(O11:P11)</f>
        <v>165774</v>
      </c>
    </row>
    <row r="12" spans="1:17" s="181" customFormat="1" ht="17.25" customHeight="1" thickBot="1">
      <c r="A12" s="308">
        <v>2</v>
      </c>
      <c r="B12" s="316" t="s">
        <v>202</v>
      </c>
      <c r="C12" s="310">
        <v>215552</v>
      </c>
      <c r="D12" s="307">
        <v>6</v>
      </c>
      <c r="E12" s="306">
        <f>SUM(C12:D12)</f>
        <v>215558</v>
      </c>
      <c r="F12" s="310">
        <v>87736</v>
      </c>
      <c r="G12" s="307">
        <v>22</v>
      </c>
      <c r="H12" s="306">
        <f>SUM(F12:G12)</f>
        <v>87758</v>
      </c>
      <c r="I12" s="305">
        <v>54859</v>
      </c>
      <c r="J12" s="305">
        <v>1</v>
      </c>
      <c r="K12" s="306">
        <f>SUM(I12:J12)</f>
        <v>54860</v>
      </c>
      <c r="L12" s="305">
        <v>54641</v>
      </c>
      <c r="M12" s="305"/>
      <c r="N12" s="306">
        <f>SUM(L12:M12)</f>
        <v>54641</v>
      </c>
      <c r="O12" s="305">
        <v>32454</v>
      </c>
      <c r="P12" s="305">
        <v>5</v>
      </c>
      <c r="Q12" s="306">
        <f t="shared" si="0"/>
        <v>32459</v>
      </c>
    </row>
    <row r="13" spans="1:17" s="208" customFormat="1" ht="17.25" customHeight="1" thickBot="1">
      <c r="A13" s="308">
        <v>3</v>
      </c>
      <c r="B13" s="296" t="s">
        <v>116</v>
      </c>
      <c r="C13" s="310">
        <v>440892</v>
      </c>
      <c r="D13" s="307">
        <v>832</v>
      </c>
      <c r="E13" s="306">
        <f>SUM(C13:D13)</f>
        <v>441724</v>
      </c>
      <c r="F13" s="310">
        <v>79065</v>
      </c>
      <c r="G13" s="307">
        <v>77</v>
      </c>
      <c r="H13" s="306">
        <f>F13+G13</f>
        <v>79142</v>
      </c>
      <c r="I13" s="305">
        <v>34684</v>
      </c>
      <c r="J13" s="305">
        <v>4349</v>
      </c>
      <c r="K13" s="306">
        <f>I13+J13</f>
        <v>39033</v>
      </c>
      <c r="L13" s="305">
        <v>110264</v>
      </c>
      <c r="M13" s="305"/>
      <c r="N13" s="306">
        <f>L13+M13</f>
        <v>110264</v>
      </c>
      <c r="O13" s="307">
        <v>18408</v>
      </c>
      <c r="P13" s="305"/>
      <c r="Q13" s="306">
        <f t="shared" si="0"/>
        <v>18408</v>
      </c>
    </row>
    <row r="14" spans="1:17" s="208" customFormat="1" ht="17.25" customHeight="1" thickBot="1">
      <c r="A14" s="308">
        <v>4</v>
      </c>
      <c r="B14" s="296" t="s">
        <v>172</v>
      </c>
      <c r="C14" s="310"/>
      <c r="D14" s="307"/>
      <c r="E14" s="311">
        <f>SUM(C14:D14)</f>
        <v>0</v>
      </c>
      <c r="F14" s="307"/>
      <c r="G14" s="307"/>
      <c r="H14" s="311">
        <f>SUM(F14:G14)</f>
        <v>0</v>
      </c>
      <c r="I14" s="310"/>
      <c r="J14" s="307"/>
      <c r="K14" s="311">
        <f>SUM(I14:J14)</f>
        <v>0</v>
      </c>
      <c r="L14" s="310"/>
      <c r="M14" s="307"/>
      <c r="N14" s="311">
        <f>SUM(L14:M14)</f>
        <v>0</v>
      </c>
      <c r="O14" s="310"/>
      <c r="P14" s="307"/>
      <c r="Q14" s="311">
        <f t="shared" si="0"/>
        <v>0</v>
      </c>
    </row>
    <row r="15" spans="1:17" s="180" customFormat="1" ht="17.25" customHeight="1">
      <c r="A15" s="163" t="s">
        <v>98</v>
      </c>
      <c r="B15" s="152" t="s">
        <v>370</v>
      </c>
      <c r="C15" s="226">
        <v>962</v>
      </c>
      <c r="D15" s="224"/>
      <c r="E15" s="239">
        <f>C15+D15</f>
        <v>962</v>
      </c>
      <c r="F15" s="226">
        <v>949</v>
      </c>
      <c r="G15" s="224"/>
      <c r="H15" s="239">
        <f>F15+G15</f>
        <v>949</v>
      </c>
      <c r="I15" s="226"/>
      <c r="J15" s="224"/>
      <c r="K15" s="239">
        <f>I15+J15</f>
        <v>0</v>
      </c>
      <c r="L15" s="226">
        <v>856</v>
      </c>
      <c r="M15" s="224"/>
      <c r="N15" s="239">
        <f>L15+M15</f>
        <v>856</v>
      </c>
      <c r="O15" s="226">
        <v>101</v>
      </c>
      <c r="P15" s="224"/>
      <c r="Q15" s="239">
        <f t="shared" si="0"/>
        <v>101</v>
      </c>
    </row>
    <row r="16" spans="1:17" s="180" customFormat="1" ht="17.25" customHeight="1">
      <c r="A16" s="160" t="s">
        <v>99</v>
      </c>
      <c r="B16" s="156" t="s">
        <v>554</v>
      </c>
      <c r="C16" s="150"/>
      <c r="D16" s="146"/>
      <c r="E16" s="239">
        <f>C16+D16</f>
        <v>0</v>
      </c>
      <c r="F16" s="150"/>
      <c r="G16" s="146"/>
      <c r="H16" s="239">
        <f>F16+G16</f>
        <v>0</v>
      </c>
      <c r="I16" s="150"/>
      <c r="J16" s="146"/>
      <c r="K16" s="239">
        <f>I16+J16</f>
        <v>0</v>
      </c>
      <c r="L16" s="150"/>
      <c r="M16" s="146"/>
      <c r="N16" s="239">
        <f>L16+M16</f>
        <v>0</v>
      </c>
      <c r="O16" s="150"/>
      <c r="P16" s="146"/>
      <c r="Q16" s="239">
        <f t="shared" si="0"/>
        <v>0</v>
      </c>
    </row>
    <row r="17" spans="1:17" s="180" customFormat="1" ht="17.25" customHeight="1">
      <c r="A17" s="160" t="s">
        <v>100</v>
      </c>
      <c r="B17" s="156" t="s">
        <v>555</v>
      </c>
      <c r="C17" s="881"/>
      <c r="D17" s="146"/>
      <c r="E17" s="351">
        <f aca="true" t="shared" si="1" ref="E17:E22">C17+D17</f>
        <v>0</v>
      </c>
      <c r="F17" s="150"/>
      <c r="G17" s="146"/>
      <c r="H17" s="239">
        <f aca="true" t="shared" si="2" ref="H17:H22">F17+G17</f>
        <v>0</v>
      </c>
      <c r="I17" s="150"/>
      <c r="J17" s="146"/>
      <c r="K17" s="239">
        <f aca="true" t="shared" si="3" ref="K17:K22">I17+J17</f>
        <v>0</v>
      </c>
      <c r="L17" s="150"/>
      <c r="M17" s="146"/>
      <c r="N17" s="239">
        <f aca="true" t="shared" si="4" ref="N17:N22">L17+M17</f>
        <v>0</v>
      </c>
      <c r="O17" s="150"/>
      <c r="P17" s="146"/>
      <c r="Q17" s="239">
        <f aca="true" t="shared" si="5" ref="Q17:Q22">SUM(O17:P17)</f>
        <v>0</v>
      </c>
    </row>
    <row r="18" spans="1:17" s="180" customFormat="1" ht="17.25" customHeight="1">
      <c r="A18" s="160" t="s">
        <v>101</v>
      </c>
      <c r="B18" s="154" t="s">
        <v>371</v>
      </c>
      <c r="C18" s="881"/>
      <c r="D18" s="146"/>
      <c r="E18" s="351">
        <f t="shared" si="1"/>
        <v>0</v>
      </c>
      <c r="F18" s="150"/>
      <c r="G18" s="146"/>
      <c r="H18" s="239">
        <f t="shared" si="2"/>
        <v>0</v>
      </c>
      <c r="I18" s="150"/>
      <c r="J18" s="146"/>
      <c r="K18" s="239">
        <f t="shared" si="3"/>
        <v>0</v>
      </c>
      <c r="L18" s="150"/>
      <c r="M18" s="146"/>
      <c r="N18" s="239">
        <f t="shared" si="4"/>
        <v>0</v>
      </c>
      <c r="O18" s="150"/>
      <c r="P18" s="146"/>
      <c r="Q18" s="239">
        <f t="shared" si="5"/>
        <v>0</v>
      </c>
    </row>
    <row r="19" spans="1:17" s="180" customFormat="1" ht="17.25" customHeight="1">
      <c r="A19" s="155" t="s">
        <v>192</v>
      </c>
      <c r="B19" s="156" t="s">
        <v>556</v>
      </c>
      <c r="C19" s="860"/>
      <c r="D19" s="146"/>
      <c r="E19" s="351">
        <f>C19+D19</f>
        <v>0</v>
      </c>
      <c r="F19" s="148"/>
      <c r="G19" s="146"/>
      <c r="H19" s="239">
        <f>F19+G19</f>
        <v>0</v>
      </c>
      <c r="I19" s="148"/>
      <c r="J19" s="146"/>
      <c r="K19" s="239">
        <f>I19+J19</f>
        <v>0</v>
      </c>
      <c r="L19" s="148"/>
      <c r="M19" s="146"/>
      <c r="N19" s="239">
        <f>L19+M19</f>
        <v>0</v>
      </c>
      <c r="O19" s="148"/>
      <c r="P19" s="146"/>
      <c r="Q19" s="239">
        <f>SUM(O19:P19)</f>
        <v>0</v>
      </c>
    </row>
    <row r="20" spans="1:17" s="180" customFormat="1" ht="17.25" customHeight="1">
      <c r="A20" s="155" t="s">
        <v>327</v>
      </c>
      <c r="B20" s="156" t="s">
        <v>557</v>
      </c>
      <c r="C20" s="860"/>
      <c r="D20" s="146"/>
      <c r="E20" s="351">
        <f t="shared" si="1"/>
        <v>0</v>
      </c>
      <c r="F20" s="860"/>
      <c r="G20" s="146"/>
      <c r="H20" s="351">
        <f t="shared" si="2"/>
        <v>0</v>
      </c>
      <c r="I20" s="860"/>
      <c r="J20" s="146"/>
      <c r="K20" s="351">
        <f t="shared" si="3"/>
        <v>0</v>
      </c>
      <c r="L20" s="860"/>
      <c r="M20" s="146"/>
      <c r="N20" s="351">
        <f t="shared" si="4"/>
        <v>0</v>
      </c>
      <c r="O20" s="860"/>
      <c r="P20" s="146"/>
      <c r="Q20" s="351">
        <f t="shared" si="5"/>
        <v>0</v>
      </c>
    </row>
    <row r="21" spans="1:17" s="180" customFormat="1" ht="17.25" customHeight="1">
      <c r="A21" s="155" t="s">
        <v>328</v>
      </c>
      <c r="B21" s="154" t="s">
        <v>372</v>
      </c>
      <c r="C21" s="860"/>
      <c r="D21" s="146"/>
      <c r="E21" s="351">
        <f t="shared" si="1"/>
        <v>0</v>
      </c>
      <c r="F21" s="860"/>
      <c r="G21" s="146"/>
      <c r="H21" s="351">
        <f t="shared" si="2"/>
        <v>0</v>
      </c>
      <c r="I21" s="860"/>
      <c r="J21" s="146"/>
      <c r="K21" s="351">
        <f t="shared" si="3"/>
        <v>0</v>
      </c>
      <c r="L21" s="860"/>
      <c r="M21" s="146"/>
      <c r="N21" s="351">
        <f t="shared" si="4"/>
        <v>0</v>
      </c>
      <c r="O21" s="860"/>
      <c r="P21" s="146"/>
      <c r="Q21" s="351">
        <f t="shared" si="5"/>
        <v>0</v>
      </c>
    </row>
    <row r="22" spans="1:17" s="180" customFormat="1" ht="15" customHeight="1" thickBot="1">
      <c r="A22" s="16" t="s">
        <v>69</v>
      </c>
      <c r="B22" s="325" t="s">
        <v>373</v>
      </c>
      <c r="C22" s="861"/>
      <c r="D22" s="158"/>
      <c r="E22" s="351">
        <f t="shared" si="1"/>
        <v>0</v>
      </c>
      <c r="F22" s="861"/>
      <c r="G22" s="158"/>
      <c r="H22" s="351">
        <f t="shared" si="2"/>
        <v>0</v>
      </c>
      <c r="I22" s="861"/>
      <c r="J22" s="158"/>
      <c r="K22" s="351">
        <f t="shared" si="3"/>
        <v>0</v>
      </c>
      <c r="L22" s="861"/>
      <c r="M22" s="158"/>
      <c r="N22" s="351">
        <f t="shared" si="4"/>
        <v>0</v>
      </c>
      <c r="O22" s="861"/>
      <c r="P22" s="158"/>
      <c r="Q22" s="351">
        <f t="shared" si="5"/>
        <v>0</v>
      </c>
    </row>
    <row r="23" spans="1:17" s="208" customFormat="1" ht="17.25" customHeight="1" thickBot="1">
      <c r="A23" s="308">
        <v>5</v>
      </c>
      <c r="B23" s="296" t="s">
        <v>171</v>
      </c>
      <c r="C23" s="338">
        <f aca="true" t="shared" si="6" ref="C23:Q23">SUM(C15:C22)</f>
        <v>962</v>
      </c>
      <c r="D23" s="305">
        <f t="shared" si="6"/>
        <v>0</v>
      </c>
      <c r="E23" s="311">
        <f t="shared" si="6"/>
        <v>962</v>
      </c>
      <c r="F23" s="321">
        <f t="shared" si="6"/>
        <v>949</v>
      </c>
      <c r="G23" s="305">
        <f t="shared" si="6"/>
        <v>0</v>
      </c>
      <c r="H23" s="321">
        <f t="shared" si="6"/>
        <v>949</v>
      </c>
      <c r="I23" s="338">
        <f t="shared" si="6"/>
        <v>0</v>
      </c>
      <c r="J23" s="305">
        <f t="shared" si="6"/>
        <v>0</v>
      </c>
      <c r="K23" s="311">
        <f t="shared" si="6"/>
        <v>0</v>
      </c>
      <c r="L23" s="338">
        <f t="shared" si="6"/>
        <v>856</v>
      </c>
      <c r="M23" s="305">
        <f t="shared" si="6"/>
        <v>0</v>
      </c>
      <c r="N23" s="311">
        <f t="shared" si="6"/>
        <v>856</v>
      </c>
      <c r="O23" s="338">
        <f t="shared" si="6"/>
        <v>101</v>
      </c>
      <c r="P23" s="305">
        <f t="shared" si="6"/>
        <v>0</v>
      </c>
      <c r="Q23" s="311">
        <f t="shared" si="6"/>
        <v>101</v>
      </c>
    </row>
    <row r="24" spans="1:17" s="180" customFormat="1" ht="17.25" customHeight="1" thickBot="1">
      <c r="A24" s="304">
        <v>6</v>
      </c>
      <c r="B24" s="296" t="s">
        <v>174</v>
      </c>
      <c r="C24" s="309">
        <v>3564</v>
      </c>
      <c r="D24" s="305">
        <v>284</v>
      </c>
      <c r="E24" s="283">
        <f aca="true" t="shared" si="7" ref="E24:E30">C24+D24</f>
        <v>3848</v>
      </c>
      <c r="F24" s="309">
        <v>7150</v>
      </c>
      <c r="G24" s="305"/>
      <c r="H24" s="283">
        <f aca="true" t="shared" si="8" ref="H24:H30">F24+G24</f>
        <v>7150</v>
      </c>
      <c r="I24" s="309">
        <v>7398</v>
      </c>
      <c r="J24" s="305"/>
      <c r="K24" s="283">
        <f aca="true" t="shared" si="9" ref="K24:K30">I24+J24</f>
        <v>7398</v>
      </c>
      <c r="L24" s="309">
        <v>4345</v>
      </c>
      <c r="M24" s="305"/>
      <c r="N24" s="283">
        <f aca="true" t="shared" si="10" ref="N24:N30">L24+M24</f>
        <v>4345</v>
      </c>
      <c r="O24" s="338">
        <v>4680</v>
      </c>
      <c r="P24" s="305"/>
      <c r="Q24" s="283">
        <f>SUM(O24:P24)</f>
        <v>4680</v>
      </c>
    </row>
    <row r="25" spans="1:17" s="208" customFormat="1" ht="17.25" customHeight="1" thickBot="1">
      <c r="A25" s="304">
        <v>7</v>
      </c>
      <c r="B25" s="296" t="s">
        <v>421</v>
      </c>
      <c r="C25" s="338"/>
      <c r="D25" s="305"/>
      <c r="E25" s="283">
        <f t="shared" si="7"/>
        <v>0</v>
      </c>
      <c r="F25" s="338"/>
      <c r="G25" s="305"/>
      <c r="H25" s="283">
        <f t="shared" si="8"/>
        <v>0</v>
      </c>
      <c r="I25" s="338"/>
      <c r="J25" s="305"/>
      <c r="K25" s="283">
        <f t="shared" si="9"/>
        <v>0</v>
      </c>
      <c r="L25" s="338"/>
      <c r="M25" s="305"/>
      <c r="N25" s="283">
        <f t="shared" si="10"/>
        <v>0</v>
      </c>
      <c r="O25" s="338"/>
      <c r="P25" s="305"/>
      <c r="Q25" s="283">
        <f>SUM(O25:P25)</f>
        <v>0</v>
      </c>
    </row>
    <row r="26" spans="1:17" s="180" customFormat="1" ht="17.25" customHeight="1">
      <c r="A26" s="163" t="s">
        <v>98</v>
      </c>
      <c r="B26" s="156" t="s">
        <v>560</v>
      </c>
      <c r="C26" s="1070"/>
      <c r="D26" s="224"/>
      <c r="E26" s="351">
        <f t="shared" si="7"/>
        <v>0</v>
      </c>
      <c r="F26" s="1070"/>
      <c r="G26" s="224"/>
      <c r="H26" s="351">
        <f t="shared" si="8"/>
        <v>0</v>
      </c>
      <c r="I26" s="1070"/>
      <c r="J26" s="224"/>
      <c r="K26" s="351">
        <f t="shared" si="9"/>
        <v>0</v>
      </c>
      <c r="L26" s="1070"/>
      <c r="M26" s="224"/>
      <c r="N26" s="351">
        <f t="shared" si="10"/>
        <v>0</v>
      </c>
      <c r="O26" s="1070"/>
      <c r="P26" s="224"/>
      <c r="Q26" s="351">
        <f>SUM(O26:P26)</f>
        <v>0</v>
      </c>
    </row>
    <row r="27" spans="1:17" s="180" customFormat="1" ht="17.25" customHeight="1">
      <c r="A27" s="163" t="s">
        <v>99</v>
      </c>
      <c r="B27" s="156" t="s">
        <v>558</v>
      </c>
      <c r="C27" s="1070"/>
      <c r="D27" s="224"/>
      <c r="E27" s="351">
        <f t="shared" si="7"/>
        <v>0</v>
      </c>
      <c r="F27" s="1070"/>
      <c r="G27" s="224"/>
      <c r="H27" s="351">
        <f t="shared" si="8"/>
        <v>0</v>
      </c>
      <c r="I27" s="1070"/>
      <c r="J27" s="224"/>
      <c r="K27" s="351">
        <f t="shared" si="9"/>
        <v>0</v>
      </c>
      <c r="L27" s="1070"/>
      <c r="M27" s="224"/>
      <c r="N27" s="351">
        <f t="shared" si="10"/>
        <v>0</v>
      </c>
      <c r="O27" s="1070"/>
      <c r="P27" s="224"/>
      <c r="Q27" s="351">
        <f aca="true" t="shared" si="11" ref="Q27:Q32">SUM(O27:P27)</f>
        <v>0</v>
      </c>
    </row>
    <row r="28" spans="1:17" s="180" customFormat="1" ht="17.25" customHeight="1">
      <c r="A28" s="163" t="s">
        <v>100</v>
      </c>
      <c r="B28" s="154" t="s">
        <v>374</v>
      </c>
      <c r="C28" s="1070"/>
      <c r="D28" s="224"/>
      <c r="E28" s="351">
        <f t="shared" si="7"/>
        <v>0</v>
      </c>
      <c r="F28" s="1070"/>
      <c r="G28" s="224"/>
      <c r="H28" s="351">
        <f t="shared" si="8"/>
        <v>0</v>
      </c>
      <c r="I28" s="1070"/>
      <c r="J28" s="224"/>
      <c r="K28" s="351">
        <f t="shared" si="9"/>
        <v>0</v>
      </c>
      <c r="L28" s="1070"/>
      <c r="M28" s="224"/>
      <c r="N28" s="351">
        <f t="shared" si="10"/>
        <v>0</v>
      </c>
      <c r="O28" s="1070"/>
      <c r="P28" s="224"/>
      <c r="Q28" s="351">
        <f t="shared" si="11"/>
        <v>0</v>
      </c>
    </row>
    <row r="29" spans="1:17" s="180" customFormat="1" ht="17.25" customHeight="1">
      <c r="A29" s="163" t="s">
        <v>101</v>
      </c>
      <c r="B29" s="156" t="s">
        <v>559</v>
      </c>
      <c r="C29" s="1070"/>
      <c r="D29" s="224"/>
      <c r="E29" s="351">
        <f t="shared" si="7"/>
        <v>0</v>
      </c>
      <c r="F29" s="1070"/>
      <c r="G29" s="224"/>
      <c r="H29" s="351">
        <f t="shared" si="8"/>
        <v>0</v>
      </c>
      <c r="I29" s="1070"/>
      <c r="J29" s="224"/>
      <c r="K29" s="351">
        <f t="shared" si="9"/>
        <v>0</v>
      </c>
      <c r="L29" s="1070"/>
      <c r="M29" s="224"/>
      <c r="N29" s="351">
        <f t="shared" si="10"/>
        <v>0</v>
      </c>
      <c r="O29" s="1070"/>
      <c r="P29" s="224"/>
      <c r="Q29" s="351">
        <f t="shared" si="11"/>
        <v>0</v>
      </c>
    </row>
    <row r="30" spans="1:17" s="180" customFormat="1" ht="17.25" customHeight="1" thickBot="1">
      <c r="A30" s="326" t="s">
        <v>192</v>
      </c>
      <c r="B30" s="154" t="s">
        <v>375</v>
      </c>
      <c r="C30" s="1071"/>
      <c r="D30" s="312"/>
      <c r="E30" s="352">
        <f t="shared" si="7"/>
        <v>0</v>
      </c>
      <c r="F30" s="1071"/>
      <c r="G30" s="312"/>
      <c r="H30" s="352">
        <f t="shared" si="8"/>
        <v>0</v>
      </c>
      <c r="I30" s="1071"/>
      <c r="J30" s="312"/>
      <c r="K30" s="352">
        <f t="shared" si="9"/>
        <v>0</v>
      </c>
      <c r="L30" s="1071"/>
      <c r="M30" s="312"/>
      <c r="N30" s="352">
        <f t="shared" si="10"/>
        <v>0</v>
      </c>
      <c r="O30" s="1071"/>
      <c r="P30" s="312"/>
      <c r="Q30" s="352">
        <f t="shared" si="11"/>
        <v>0</v>
      </c>
    </row>
    <row r="31" spans="1:17" s="208" customFormat="1" ht="17.25" customHeight="1" thickBot="1">
      <c r="A31" s="304">
        <v>8</v>
      </c>
      <c r="B31" s="296" t="s">
        <v>173</v>
      </c>
      <c r="C31" s="338">
        <f aca="true" t="shared" si="12" ref="C31:Q31">SUM(C26:C30)</f>
        <v>0</v>
      </c>
      <c r="D31" s="305">
        <f t="shared" si="12"/>
        <v>0</v>
      </c>
      <c r="E31" s="307">
        <f t="shared" si="12"/>
        <v>0</v>
      </c>
      <c r="F31" s="338">
        <f t="shared" si="12"/>
        <v>0</v>
      </c>
      <c r="G31" s="305">
        <f t="shared" si="12"/>
        <v>0</v>
      </c>
      <c r="H31" s="307">
        <f t="shared" si="12"/>
        <v>0</v>
      </c>
      <c r="I31" s="338">
        <f t="shared" si="12"/>
        <v>0</v>
      </c>
      <c r="J31" s="305">
        <f t="shared" si="12"/>
        <v>0</v>
      </c>
      <c r="K31" s="307">
        <f t="shared" si="12"/>
        <v>0</v>
      </c>
      <c r="L31" s="338">
        <f t="shared" si="12"/>
        <v>0</v>
      </c>
      <c r="M31" s="305">
        <f t="shared" si="12"/>
        <v>0</v>
      </c>
      <c r="N31" s="307">
        <f t="shared" si="12"/>
        <v>0</v>
      </c>
      <c r="O31" s="338">
        <f t="shared" si="12"/>
        <v>0</v>
      </c>
      <c r="P31" s="305">
        <f t="shared" si="12"/>
        <v>0</v>
      </c>
      <c r="Q31" s="311">
        <f t="shared" si="12"/>
        <v>0</v>
      </c>
    </row>
    <row r="32" spans="1:17" s="180" customFormat="1" ht="17.25" customHeight="1" thickBot="1">
      <c r="A32" s="304">
        <v>9</v>
      </c>
      <c r="B32" s="296" t="s">
        <v>179</v>
      </c>
      <c r="C32" s="338"/>
      <c r="D32" s="305"/>
      <c r="E32" s="283">
        <f>C32+D32</f>
        <v>0</v>
      </c>
      <c r="F32" s="338"/>
      <c r="G32" s="305"/>
      <c r="H32" s="283">
        <f>F32+G32</f>
        <v>0</v>
      </c>
      <c r="I32" s="338"/>
      <c r="J32" s="305"/>
      <c r="K32" s="283">
        <f>I32+J32</f>
        <v>0</v>
      </c>
      <c r="L32" s="338"/>
      <c r="M32" s="305"/>
      <c r="N32" s="283">
        <f>L32+M32</f>
        <v>0</v>
      </c>
      <c r="O32" s="338"/>
      <c r="P32" s="305"/>
      <c r="Q32" s="283">
        <f t="shared" si="11"/>
        <v>0</v>
      </c>
    </row>
    <row r="33" spans="1:17" s="159" customFormat="1" ht="17.25" customHeight="1" thickBot="1">
      <c r="A33" s="358">
        <v>10</v>
      </c>
      <c r="B33" s="359"/>
      <c r="C33" s="165"/>
      <c r="D33" s="360"/>
      <c r="E33" s="362">
        <f>SUM(C33:D33)</f>
        <v>0</v>
      </c>
      <c r="F33" s="165"/>
      <c r="G33" s="360"/>
      <c r="H33" s="362">
        <f>SUM(F33:G33)</f>
        <v>0</v>
      </c>
      <c r="I33" s="165"/>
      <c r="J33" s="360"/>
      <c r="K33" s="362">
        <f>SUM(I33:J33)</f>
        <v>0</v>
      </c>
      <c r="L33" s="165"/>
      <c r="M33" s="360"/>
      <c r="N33" s="362">
        <f>SUM(L33:M33)</f>
        <v>0</v>
      </c>
      <c r="O33" s="165"/>
      <c r="P33" s="360"/>
      <c r="Q33" s="362">
        <f>SUM(O33:P33)</f>
        <v>0</v>
      </c>
    </row>
    <row r="34" spans="1:18" s="167" customFormat="1" ht="17.25" customHeight="1" thickBot="1" thickTop="1">
      <c r="A34" s="334" t="s">
        <v>108</v>
      </c>
      <c r="B34" s="357" t="s">
        <v>180</v>
      </c>
      <c r="C34" s="356">
        <f aca="true" t="shared" si="13" ref="C34:Q34">C11+C12+C13+C23+C14+C31+C25+C24+C32+C33</f>
        <v>1705383</v>
      </c>
      <c r="D34" s="335">
        <f t="shared" si="13"/>
        <v>1160</v>
      </c>
      <c r="E34" s="747">
        <f t="shared" si="13"/>
        <v>1706543</v>
      </c>
      <c r="F34" s="356">
        <f t="shared" si="13"/>
        <v>606930</v>
      </c>
      <c r="G34" s="335">
        <f t="shared" si="13"/>
        <v>236</v>
      </c>
      <c r="H34" s="747">
        <f t="shared" si="13"/>
        <v>607166</v>
      </c>
      <c r="I34" s="356">
        <f t="shared" si="13"/>
        <v>356062</v>
      </c>
      <c r="J34" s="335">
        <f t="shared" si="13"/>
        <v>312</v>
      </c>
      <c r="K34" s="747">
        <f t="shared" si="13"/>
        <v>356374</v>
      </c>
      <c r="L34" s="356">
        <f t="shared" si="13"/>
        <v>450473</v>
      </c>
      <c r="M34" s="335">
        <f t="shared" si="13"/>
        <v>0</v>
      </c>
      <c r="N34" s="747">
        <f t="shared" si="13"/>
        <v>450473</v>
      </c>
      <c r="O34" s="356">
        <f t="shared" si="13"/>
        <v>221384</v>
      </c>
      <c r="P34" s="335">
        <f t="shared" si="13"/>
        <v>38</v>
      </c>
      <c r="Q34" s="365">
        <f t="shared" si="13"/>
        <v>221422</v>
      </c>
      <c r="R34" s="166"/>
    </row>
    <row r="35" spans="1:21" s="94" customFormat="1" ht="17.25" customHeight="1" thickBot="1" thickTop="1">
      <c r="A35" s="151"/>
      <c r="B35" s="337" t="s">
        <v>131</v>
      </c>
      <c r="C35" s="1072"/>
      <c r="D35" s="293"/>
      <c r="E35" s="1078"/>
      <c r="F35" s="1072"/>
      <c r="G35" s="293"/>
      <c r="H35" s="1078"/>
      <c r="I35" s="1072"/>
      <c r="J35" s="293"/>
      <c r="K35" s="1078"/>
      <c r="L35" s="1072"/>
      <c r="M35" s="293"/>
      <c r="N35" s="1078"/>
      <c r="O35" s="1072"/>
      <c r="P35" s="293"/>
      <c r="Q35" s="1078"/>
      <c r="R35" s="348"/>
      <c r="S35" s="233"/>
      <c r="T35" s="233"/>
      <c r="U35" s="233"/>
    </row>
    <row r="36" spans="1:21" s="729" customFormat="1" ht="17.25" customHeight="1">
      <c r="A36" s="738" t="s">
        <v>98</v>
      </c>
      <c r="B36" s="739" t="s">
        <v>376</v>
      </c>
      <c r="C36" s="741"/>
      <c r="D36" s="740"/>
      <c r="E36" s="742">
        <f>SUM(C36:D36)</f>
        <v>0</v>
      </c>
      <c r="F36" s="741"/>
      <c r="G36" s="740"/>
      <c r="H36" s="742">
        <f>SUM(F36:G36)</f>
        <v>0</v>
      </c>
      <c r="I36" s="741"/>
      <c r="J36" s="740"/>
      <c r="K36" s="742">
        <f>SUM(I36:J36)</f>
        <v>0</v>
      </c>
      <c r="L36" s="741"/>
      <c r="M36" s="740"/>
      <c r="N36" s="742">
        <f>SUM(L36:M36)</f>
        <v>0</v>
      </c>
      <c r="O36" s="1080"/>
      <c r="P36" s="740"/>
      <c r="Q36" s="742">
        <f aca="true" t="shared" si="14" ref="Q36:Q44">SUM(O36:P36)</f>
        <v>0</v>
      </c>
      <c r="R36" s="733"/>
      <c r="S36" s="733"/>
      <c r="T36" s="733"/>
      <c r="U36" s="733"/>
    </row>
    <row r="37" spans="1:21" s="729" customFormat="1" ht="17.25" customHeight="1">
      <c r="A37" s="160" t="s">
        <v>99</v>
      </c>
      <c r="B37" s="156" t="s">
        <v>235</v>
      </c>
      <c r="C37" s="298"/>
      <c r="D37" s="146"/>
      <c r="E37" s="425">
        <f aca="true" t="shared" si="15" ref="E37:E44">C37+D37</f>
        <v>0</v>
      </c>
      <c r="F37" s="298"/>
      <c r="G37" s="146"/>
      <c r="H37" s="425">
        <f aca="true" t="shared" si="16" ref="H37:H44">F37+G37</f>
        <v>0</v>
      </c>
      <c r="I37" s="298"/>
      <c r="J37" s="146"/>
      <c r="K37" s="425">
        <f aca="true" t="shared" si="17" ref="K37:K44">I37+J37</f>
        <v>0</v>
      </c>
      <c r="L37" s="298"/>
      <c r="M37" s="146"/>
      <c r="N37" s="425">
        <f aca="true" t="shared" si="18" ref="N37:N44">L37+M37</f>
        <v>0</v>
      </c>
      <c r="O37" s="881"/>
      <c r="P37" s="146"/>
      <c r="Q37" s="425">
        <f t="shared" si="14"/>
        <v>0</v>
      </c>
      <c r="R37" s="733"/>
      <c r="S37" s="733"/>
      <c r="T37" s="733"/>
      <c r="U37" s="733"/>
    </row>
    <row r="38" spans="1:17" s="729" customFormat="1" ht="17.25" customHeight="1">
      <c r="A38" s="326" t="s">
        <v>100</v>
      </c>
      <c r="B38" s="149" t="s">
        <v>377</v>
      </c>
      <c r="C38" s="320"/>
      <c r="D38" s="312"/>
      <c r="E38" s="352">
        <f t="shared" si="15"/>
        <v>0</v>
      </c>
      <c r="F38" s="320"/>
      <c r="G38" s="312"/>
      <c r="H38" s="352">
        <f t="shared" si="16"/>
        <v>0</v>
      </c>
      <c r="I38" s="320"/>
      <c r="J38" s="312"/>
      <c r="K38" s="352">
        <f t="shared" si="17"/>
        <v>0</v>
      </c>
      <c r="L38" s="320"/>
      <c r="M38" s="312"/>
      <c r="N38" s="352">
        <f t="shared" si="18"/>
        <v>0</v>
      </c>
      <c r="O38" s="1071"/>
      <c r="P38" s="312"/>
      <c r="Q38" s="352">
        <f t="shared" si="14"/>
        <v>0</v>
      </c>
    </row>
    <row r="39" spans="1:17" s="729" customFormat="1" ht="17.25" customHeight="1" thickBot="1">
      <c r="A39" s="161" t="s">
        <v>101</v>
      </c>
      <c r="B39" s="162" t="s">
        <v>381</v>
      </c>
      <c r="C39" s="299"/>
      <c r="D39" s="158"/>
      <c r="E39" s="427">
        <f t="shared" si="15"/>
        <v>0</v>
      </c>
      <c r="F39" s="299"/>
      <c r="G39" s="158"/>
      <c r="H39" s="427">
        <f t="shared" si="16"/>
        <v>0</v>
      </c>
      <c r="I39" s="299"/>
      <c r="J39" s="158"/>
      <c r="K39" s="427">
        <f t="shared" si="17"/>
        <v>0</v>
      </c>
      <c r="L39" s="299"/>
      <c r="M39" s="158"/>
      <c r="N39" s="427">
        <f t="shared" si="18"/>
        <v>0</v>
      </c>
      <c r="O39" s="882"/>
      <c r="P39" s="158"/>
      <c r="Q39" s="427">
        <f t="shared" si="14"/>
        <v>0</v>
      </c>
    </row>
    <row r="40" spans="1:17" s="208" customFormat="1" ht="17.25" customHeight="1" thickBot="1">
      <c r="A40" s="304">
        <v>1</v>
      </c>
      <c r="B40" s="296" t="s">
        <v>177</v>
      </c>
      <c r="C40" s="338">
        <f aca="true" t="shared" si="19" ref="C40:Q40">SUM(C36:C39)</f>
        <v>0</v>
      </c>
      <c r="D40" s="305">
        <f t="shared" si="19"/>
        <v>0</v>
      </c>
      <c r="E40" s="311">
        <f t="shared" si="19"/>
        <v>0</v>
      </c>
      <c r="F40" s="338">
        <f t="shared" si="19"/>
        <v>0</v>
      </c>
      <c r="G40" s="305">
        <f t="shared" si="19"/>
        <v>0</v>
      </c>
      <c r="H40" s="311">
        <f t="shared" si="19"/>
        <v>0</v>
      </c>
      <c r="I40" s="338">
        <f t="shared" si="19"/>
        <v>0</v>
      </c>
      <c r="J40" s="305">
        <f t="shared" si="19"/>
        <v>0</v>
      </c>
      <c r="K40" s="311">
        <f t="shared" si="19"/>
        <v>0</v>
      </c>
      <c r="L40" s="338">
        <f t="shared" si="19"/>
        <v>0</v>
      </c>
      <c r="M40" s="305">
        <f t="shared" si="19"/>
        <v>0</v>
      </c>
      <c r="N40" s="311">
        <f t="shared" si="19"/>
        <v>0</v>
      </c>
      <c r="O40" s="338">
        <f t="shared" si="19"/>
        <v>0</v>
      </c>
      <c r="P40" s="305">
        <f t="shared" si="19"/>
        <v>0</v>
      </c>
      <c r="Q40" s="311">
        <f t="shared" si="19"/>
        <v>0</v>
      </c>
    </row>
    <row r="41" spans="1:17" s="180" customFormat="1" ht="17.25" customHeight="1">
      <c r="A41" s="163" t="s">
        <v>98</v>
      </c>
      <c r="B41" s="152" t="s">
        <v>403</v>
      </c>
      <c r="C41" s="297"/>
      <c r="D41" s="224"/>
      <c r="E41" s="352">
        <f t="shared" si="15"/>
        <v>0</v>
      </c>
      <c r="F41" s="297"/>
      <c r="G41" s="224"/>
      <c r="H41" s="352">
        <f t="shared" si="16"/>
        <v>0</v>
      </c>
      <c r="I41" s="297"/>
      <c r="J41" s="224"/>
      <c r="K41" s="352">
        <f t="shared" si="17"/>
        <v>0</v>
      </c>
      <c r="L41" s="297"/>
      <c r="M41" s="224"/>
      <c r="N41" s="352">
        <f t="shared" si="18"/>
        <v>0</v>
      </c>
      <c r="O41" s="1070"/>
      <c r="P41" s="224"/>
      <c r="Q41" s="351">
        <f t="shared" si="14"/>
        <v>0</v>
      </c>
    </row>
    <row r="42" spans="1:17" s="180" customFormat="1" ht="17.25" customHeight="1">
      <c r="A42" s="160" t="s">
        <v>99</v>
      </c>
      <c r="B42" s="156" t="s">
        <v>378</v>
      </c>
      <c r="C42" s="298"/>
      <c r="D42" s="146"/>
      <c r="E42" s="427">
        <f t="shared" si="15"/>
        <v>0</v>
      </c>
      <c r="F42" s="298"/>
      <c r="G42" s="146"/>
      <c r="H42" s="427">
        <f t="shared" si="16"/>
        <v>0</v>
      </c>
      <c r="I42" s="298"/>
      <c r="J42" s="146"/>
      <c r="K42" s="427">
        <f t="shared" si="17"/>
        <v>0</v>
      </c>
      <c r="L42" s="298"/>
      <c r="M42" s="146"/>
      <c r="N42" s="427">
        <f t="shared" si="18"/>
        <v>0</v>
      </c>
      <c r="O42" s="881"/>
      <c r="P42" s="146"/>
      <c r="Q42" s="425">
        <f t="shared" si="14"/>
        <v>0</v>
      </c>
    </row>
    <row r="43" spans="1:17" s="180" customFormat="1" ht="17.25" customHeight="1">
      <c r="A43" s="160" t="s">
        <v>100</v>
      </c>
      <c r="B43" s="156" t="s">
        <v>379</v>
      </c>
      <c r="C43" s="298"/>
      <c r="D43" s="146"/>
      <c r="E43" s="427">
        <f t="shared" si="15"/>
        <v>0</v>
      </c>
      <c r="F43" s="298"/>
      <c r="G43" s="146"/>
      <c r="H43" s="427">
        <f t="shared" si="16"/>
        <v>0</v>
      </c>
      <c r="I43" s="298"/>
      <c r="J43" s="146"/>
      <c r="K43" s="427">
        <f t="shared" si="17"/>
        <v>0</v>
      </c>
      <c r="L43" s="298"/>
      <c r="M43" s="146"/>
      <c r="N43" s="427">
        <f t="shared" si="18"/>
        <v>0</v>
      </c>
      <c r="O43" s="881"/>
      <c r="P43" s="146"/>
      <c r="Q43" s="425">
        <f t="shared" si="14"/>
        <v>0</v>
      </c>
    </row>
    <row r="44" spans="1:17" s="180" customFormat="1" ht="17.25" customHeight="1" thickBot="1">
      <c r="A44" s="161" t="s">
        <v>101</v>
      </c>
      <c r="B44" s="162" t="s">
        <v>175</v>
      </c>
      <c r="C44" s="299"/>
      <c r="D44" s="158"/>
      <c r="E44" s="427">
        <f t="shared" si="15"/>
        <v>0</v>
      </c>
      <c r="F44" s="299"/>
      <c r="G44" s="158"/>
      <c r="H44" s="427">
        <f t="shared" si="16"/>
        <v>0</v>
      </c>
      <c r="I44" s="299"/>
      <c r="J44" s="158"/>
      <c r="K44" s="427">
        <f t="shared" si="17"/>
        <v>0</v>
      </c>
      <c r="L44" s="299"/>
      <c r="M44" s="158"/>
      <c r="N44" s="427">
        <f t="shared" si="18"/>
        <v>0</v>
      </c>
      <c r="O44" s="882"/>
      <c r="P44" s="158"/>
      <c r="Q44" s="427">
        <f t="shared" si="14"/>
        <v>0</v>
      </c>
    </row>
    <row r="45" spans="1:17" s="208" customFormat="1" ht="17.25" customHeight="1" thickBot="1">
      <c r="A45" s="304">
        <v>2</v>
      </c>
      <c r="B45" s="296" t="s">
        <v>176</v>
      </c>
      <c r="C45" s="338">
        <f>SUM(C41:C44)</f>
        <v>0</v>
      </c>
      <c r="D45" s="305">
        <f aca="true" t="shared" si="20" ref="D45:Q45">SUM(D41:D44)</f>
        <v>0</v>
      </c>
      <c r="E45" s="307">
        <f t="shared" si="20"/>
        <v>0</v>
      </c>
      <c r="F45" s="338">
        <f t="shared" si="20"/>
        <v>0</v>
      </c>
      <c r="G45" s="305">
        <f t="shared" si="20"/>
        <v>0</v>
      </c>
      <c r="H45" s="307">
        <f t="shared" si="20"/>
        <v>0</v>
      </c>
      <c r="I45" s="338">
        <f t="shared" si="20"/>
        <v>0</v>
      </c>
      <c r="J45" s="305">
        <f t="shared" si="20"/>
        <v>0</v>
      </c>
      <c r="K45" s="307">
        <f t="shared" si="20"/>
        <v>0</v>
      </c>
      <c r="L45" s="338">
        <f t="shared" si="20"/>
        <v>0</v>
      </c>
      <c r="M45" s="305">
        <f t="shared" si="20"/>
        <v>0</v>
      </c>
      <c r="N45" s="321">
        <f t="shared" si="20"/>
        <v>0</v>
      </c>
      <c r="O45" s="338">
        <f t="shared" si="20"/>
        <v>0</v>
      </c>
      <c r="P45" s="305">
        <f t="shared" si="20"/>
        <v>0</v>
      </c>
      <c r="Q45" s="311">
        <f t="shared" si="20"/>
        <v>0</v>
      </c>
    </row>
    <row r="46" spans="1:17" s="208" customFormat="1" ht="17.25" customHeight="1" thickBot="1">
      <c r="A46" s="304">
        <v>3</v>
      </c>
      <c r="B46" s="296" t="s">
        <v>254</v>
      </c>
      <c r="C46" s="338">
        <v>78307</v>
      </c>
      <c r="D46" s="305">
        <v>719</v>
      </c>
      <c r="E46" s="307">
        <f>SUM(C46:D46)</f>
        <v>79026</v>
      </c>
      <c r="F46" s="338">
        <v>17005</v>
      </c>
      <c r="G46" s="305">
        <v>77</v>
      </c>
      <c r="H46" s="307">
        <f>SUM(F46:G46)</f>
        <v>17082</v>
      </c>
      <c r="I46" s="338">
        <v>2500</v>
      </c>
      <c r="J46" s="305"/>
      <c r="K46" s="307">
        <f>SUM(I46:J46)</f>
        <v>2500</v>
      </c>
      <c r="L46" s="338">
        <v>39905</v>
      </c>
      <c r="M46" s="305"/>
      <c r="N46" s="321">
        <f>SUM(L46:M46)</f>
        <v>39905</v>
      </c>
      <c r="O46" s="338">
        <v>1</v>
      </c>
      <c r="P46" s="305"/>
      <c r="Q46" s="311">
        <f>SUM(O46:P46)</f>
        <v>1</v>
      </c>
    </row>
    <row r="47" spans="1:17" s="180" customFormat="1" ht="17.25" customHeight="1" thickBot="1">
      <c r="A47" s="304">
        <v>4</v>
      </c>
      <c r="B47" s="296" t="s">
        <v>275</v>
      </c>
      <c r="C47" s="338"/>
      <c r="D47" s="305"/>
      <c r="E47" s="307">
        <f>SUM(C47:D47)</f>
        <v>0</v>
      </c>
      <c r="F47" s="338"/>
      <c r="G47" s="305"/>
      <c r="H47" s="307">
        <f>SUM(F47:G47)</f>
        <v>0</v>
      </c>
      <c r="I47" s="338"/>
      <c r="J47" s="305">
        <v>302</v>
      </c>
      <c r="K47" s="307">
        <f>SUM(I47:J47)</f>
        <v>302</v>
      </c>
      <c r="L47" s="338"/>
      <c r="M47" s="305"/>
      <c r="N47" s="321">
        <f>SUM(L47:M47)</f>
        <v>0</v>
      </c>
      <c r="O47" s="338"/>
      <c r="P47" s="305"/>
      <c r="Q47" s="311">
        <f>SUM(O47:P47)</f>
        <v>0</v>
      </c>
    </row>
    <row r="48" spans="1:17" s="729" customFormat="1" ht="17.25" customHeight="1">
      <c r="A48" s="163" t="s">
        <v>98</v>
      </c>
      <c r="B48" s="149" t="s">
        <v>281</v>
      </c>
      <c r="C48" s="1070"/>
      <c r="D48" s="224"/>
      <c r="E48" s="352">
        <f>C48+D48</f>
        <v>0</v>
      </c>
      <c r="F48" s="1070"/>
      <c r="G48" s="224"/>
      <c r="H48" s="352">
        <f>F48+G48</f>
        <v>0</v>
      </c>
      <c r="I48" s="1070"/>
      <c r="J48" s="224"/>
      <c r="K48" s="352">
        <f>I48+J48</f>
        <v>0</v>
      </c>
      <c r="L48" s="1070"/>
      <c r="M48" s="224"/>
      <c r="N48" s="352">
        <f>L48+M48</f>
        <v>0</v>
      </c>
      <c r="O48" s="1070"/>
      <c r="P48" s="224"/>
      <c r="Q48" s="351">
        <f>SUM(O48:P48)</f>
        <v>0</v>
      </c>
    </row>
    <row r="49" spans="1:17" s="180" customFormat="1" ht="17.25" customHeight="1">
      <c r="A49" s="161" t="s">
        <v>99</v>
      </c>
      <c r="B49" s="325" t="s">
        <v>380</v>
      </c>
      <c r="C49" s="881"/>
      <c r="D49" s="146"/>
      <c r="E49" s="425">
        <f>C49+D49</f>
        <v>0</v>
      </c>
      <c r="F49" s="881"/>
      <c r="G49" s="146"/>
      <c r="H49" s="425">
        <f>F49+G49</f>
        <v>0</v>
      </c>
      <c r="I49" s="881"/>
      <c r="J49" s="146"/>
      <c r="K49" s="425">
        <f>I49+J49</f>
        <v>0</v>
      </c>
      <c r="L49" s="881"/>
      <c r="M49" s="146"/>
      <c r="N49" s="425">
        <f>L49+M49</f>
        <v>0</v>
      </c>
      <c r="O49" s="881"/>
      <c r="P49" s="146"/>
      <c r="Q49" s="425">
        <f>SUM(O49:P49)</f>
        <v>0</v>
      </c>
    </row>
    <row r="50" spans="1:17" s="180" customFormat="1" ht="17.25" customHeight="1" thickBot="1">
      <c r="A50" s="161" t="s">
        <v>100</v>
      </c>
      <c r="B50" s="325" t="s">
        <v>413</v>
      </c>
      <c r="C50" s="881"/>
      <c r="D50" s="146"/>
      <c r="E50" s="425">
        <f>C50+D50</f>
        <v>0</v>
      </c>
      <c r="F50" s="881"/>
      <c r="G50" s="146"/>
      <c r="H50" s="425">
        <f>F50+G50</f>
        <v>0</v>
      </c>
      <c r="I50" s="881"/>
      <c r="J50" s="146"/>
      <c r="K50" s="425">
        <f>I50+J50</f>
        <v>0</v>
      </c>
      <c r="L50" s="881"/>
      <c r="M50" s="146"/>
      <c r="N50" s="425">
        <f>L50+M50</f>
        <v>0</v>
      </c>
      <c r="O50" s="881"/>
      <c r="P50" s="146"/>
      <c r="Q50" s="425">
        <f>SUM(O50:P50)</f>
        <v>0</v>
      </c>
    </row>
    <row r="51" spans="1:17" s="208" customFormat="1" ht="17.25" customHeight="1" thickBot="1">
      <c r="A51" s="304">
        <v>5</v>
      </c>
      <c r="B51" s="296" t="s">
        <v>178</v>
      </c>
      <c r="C51" s="338">
        <f>SUM(C48:C50)</f>
        <v>0</v>
      </c>
      <c r="D51" s="305">
        <f>SUM(D48:D50)</f>
        <v>0</v>
      </c>
      <c r="E51" s="307">
        <f aca="true" t="shared" si="21" ref="E51:Q51">SUM(E48:E50)</f>
        <v>0</v>
      </c>
      <c r="F51" s="338">
        <f t="shared" si="21"/>
        <v>0</v>
      </c>
      <c r="G51" s="305">
        <f t="shared" si="21"/>
        <v>0</v>
      </c>
      <c r="H51" s="307">
        <f t="shared" si="21"/>
        <v>0</v>
      </c>
      <c r="I51" s="338">
        <f t="shared" si="21"/>
        <v>0</v>
      </c>
      <c r="J51" s="305">
        <f t="shared" si="21"/>
        <v>0</v>
      </c>
      <c r="K51" s="307">
        <f t="shared" si="21"/>
        <v>0</v>
      </c>
      <c r="L51" s="338">
        <f t="shared" si="21"/>
        <v>0</v>
      </c>
      <c r="M51" s="305">
        <f t="shared" si="21"/>
        <v>0</v>
      </c>
      <c r="N51" s="307">
        <f t="shared" si="21"/>
        <v>0</v>
      </c>
      <c r="O51" s="338">
        <f t="shared" si="21"/>
        <v>0</v>
      </c>
      <c r="P51" s="305">
        <f t="shared" si="21"/>
        <v>0</v>
      </c>
      <c r="Q51" s="311">
        <f t="shared" si="21"/>
        <v>0</v>
      </c>
    </row>
    <row r="52" spans="1:17" s="208" customFormat="1" ht="17.25" customHeight="1" thickBot="1">
      <c r="A52" s="734">
        <v>6</v>
      </c>
      <c r="B52" s="735" t="s">
        <v>285</v>
      </c>
      <c r="C52" s="1073"/>
      <c r="D52" s="330"/>
      <c r="E52" s="284">
        <f>C52+D52</f>
        <v>0</v>
      </c>
      <c r="F52" s="1079"/>
      <c r="G52" s="330"/>
      <c r="H52" s="284">
        <f>F52+G52</f>
        <v>0</v>
      </c>
      <c r="I52" s="1079"/>
      <c r="J52" s="330"/>
      <c r="K52" s="284">
        <f>I52+J52</f>
        <v>0</v>
      </c>
      <c r="L52" s="1079"/>
      <c r="M52" s="330"/>
      <c r="N52" s="284">
        <f>L52+M52</f>
        <v>0</v>
      </c>
      <c r="O52" s="1079"/>
      <c r="P52" s="330"/>
      <c r="Q52" s="284">
        <f>SUM(O52:P52)</f>
        <v>0</v>
      </c>
    </row>
    <row r="53" spans="1:17" s="180" customFormat="1" ht="17.25" customHeight="1">
      <c r="A53" s="144" t="s">
        <v>98</v>
      </c>
      <c r="B53" s="145" t="s">
        <v>382</v>
      </c>
      <c r="C53" s="1074"/>
      <c r="D53" s="147"/>
      <c r="E53" s="431">
        <f>C53+D53</f>
        <v>0</v>
      </c>
      <c r="F53" s="1074"/>
      <c r="G53" s="147"/>
      <c r="H53" s="431">
        <f>F53+G53</f>
        <v>0</v>
      </c>
      <c r="I53" s="1074"/>
      <c r="J53" s="147"/>
      <c r="K53" s="431">
        <f>I53+J53</f>
        <v>0</v>
      </c>
      <c r="L53" s="1074"/>
      <c r="M53" s="147"/>
      <c r="N53" s="431">
        <f>L53+M53</f>
        <v>0</v>
      </c>
      <c r="O53" s="1074"/>
      <c r="P53" s="147"/>
      <c r="Q53" s="431">
        <f>SUM(O53:P53)</f>
        <v>0</v>
      </c>
    </row>
    <row r="54" spans="1:17" s="180" customFormat="1" ht="17.25" customHeight="1" thickBot="1">
      <c r="A54" s="326" t="s">
        <v>99</v>
      </c>
      <c r="B54" s="149" t="s">
        <v>383</v>
      </c>
      <c r="C54" s="1071"/>
      <c r="D54" s="312"/>
      <c r="E54" s="352">
        <f>C54+D54</f>
        <v>0</v>
      </c>
      <c r="F54" s="1071"/>
      <c r="G54" s="312"/>
      <c r="H54" s="352">
        <f>F54+G54</f>
        <v>0</v>
      </c>
      <c r="I54" s="1071"/>
      <c r="J54" s="312"/>
      <c r="K54" s="352">
        <f>I54+J54</f>
        <v>0</v>
      </c>
      <c r="L54" s="1071"/>
      <c r="M54" s="312"/>
      <c r="N54" s="352">
        <f>L54+M54</f>
        <v>0</v>
      </c>
      <c r="O54" s="1071"/>
      <c r="P54" s="312"/>
      <c r="Q54" s="352">
        <f>SUM(O54:P54)</f>
        <v>0</v>
      </c>
    </row>
    <row r="55" spans="1:17" s="208" customFormat="1" ht="17.25" customHeight="1" thickBot="1">
      <c r="A55" s="304">
        <v>7</v>
      </c>
      <c r="B55" s="296" t="s">
        <v>181</v>
      </c>
      <c r="C55" s="338">
        <f>SUM(C53:C54)</f>
        <v>0</v>
      </c>
      <c r="D55" s="305">
        <f aca="true" t="shared" si="22" ref="D55:Q55">SUM(D53:D54)</f>
        <v>0</v>
      </c>
      <c r="E55" s="307">
        <f t="shared" si="22"/>
        <v>0</v>
      </c>
      <c r="F55" s="338">
        <f t="shared" si="22"/>
        <v>0</v>
      </c>
      <c r="G55" s="305">
        <f t="shared" si="22"/>
        <v>0</v>
      </c>
      <c r="H55" s="307">
        <f t="shared" si="22"/>
        <v>0</v>
      </c>
      <c r="I55" s="338">
        <f t="shared" si="22"/>
        <v>0</v>
      </c>
      <c r="J55" s="305">
        <f t="shared" si="22"/>
        <v>0</v>
      </c>
      <c r="K55" s="307">
        <f t="shared" si="22"/>
        <v>0</v>
      </c>
      <c r="L55" s="338">
        <f t="shared" si="22"/>
        <v>0</v>
      </c>
      <c r="M55" s="305">
        <f t="shared" si="22"/>
        <v>0</v>
      </c>
      <c r="N55" s="307">
        <f t="shared" si="22"/>
        <v>0</v>
      </c>
      <c r="O55" s="1081">
        <f t="shared" si="22"/>
        <v>0</v>
      </c>
      <c r="P55" s="1083">
        <f t="shared" si="22"/>
        <v>0</v>
      </c>
      <c r="Q55" s="1085">
        <f t="shared" si="22"/>
        <v>0</v>
      </c>
    </row>
    <row r="56" spans="1:18" s="180" customFormat="1" ht="17.25" customHeight="1" thickBot="1">
      <c r="A56" s="340">
        <v>8</v>
      </c>
      <c r="B56" s="341" t="s">
        <v>45</v>
      </c>
      <c r="C56" s="1075">
        <f>C34-C40-C45-C46-C47-C51-C52-C55-C57-C58-C59</f>
        <v>1626114</v>
      </c>
      <c r="D56" s="1077">
        <f>D34-D40-D45-D46-D47-D51-D52-D55-D57-D58-D59</f>
        <v>441</v>
      </c>
      <c r="E56" s="753">
        <f aca="true" t="shared" si="23" ref="E56:Q56">E34-E40-E45-E46-E47-E51-E52-E55-E57-E58-E59</f>
        <v>1626555</v>
      </c>
      <c r="F56" s="1075">
        <f t="shared" si="23"/>
        <v>588976</v>
      </c>
      <c r="G56" s="1077">
        <f t="shared" si="23"/>
        <v>159</v>
      </c>
      <c r="H56" s="753">
        <f t="shared" si="23"/>
        <v>589135</v>
      </c>
      <c r="I56" s="1075">
        <f t="shared" si="23"/>
        <v>350493</v>
      </c>
      <c r="J56" s="1077">
        <f t="shared" si="23"/>
        <v>10</v>
      </c>
      <c r="K56" s="753">
        <f t="shared" si="23"/>
        <v>350503</v>
      </c>
      <c r="L56" s="1075">
        <f t="shared" si="23"/>
        <v>409346</v>
      </c>
      <c r="M56" s="1077">
        <f t="shared" si="23"/>
        <v>0</v>
      </c>
      <c r="N56" s="753">
        <f t="shared" si="23"/>
        <v>409346</v>
      </c>
      <c r="O56" s="1082">
        <f t="shared" si="23"/>
        <v>221264</v>
      </c>
      <c r="P56" s="1084">
        <f t="shared" si="23"/>
        <v>38</v>
      </c>
      <c r="Q56" s="752">
        <f t="shared" si="23"/>
        <v>221302</v>
      </c>
      <c r="R56" s="183"/>
    </row>
    <row r="57" spans="1:21" s="208" customFormat="1" ht="17.25" customHeight="1">
      <c r="A57" s="327" t="s">
        <v>385</v>
      </c>
      <c r="B57" s="328" t="s">
        <v>184</v>
      </c>
      <c r="C57" s="1076">
        <v>962</v>
      </c>
      <c r="D57" s="318"/>
      <c r="E57" s="432">
        <f>SUM(C57:D57)</f>
        <v>962</v>
      </c>
      <c r="F57" s="1076">
        <v>949</v>
      </c>
      <c r="G57" s="318"/>
      <c r="H57" s="432">
        <f>SUM(F57:G57)</f>
        <v>949</v>
      </c>
      <c r="I57" s="1076">
        <v>3069</v>
      </c>
      <c r="J57" s="318"/>
      <c r="K57" s="432">
        <f>SUM(I57:J57)</f>
        <v>3069</v>
      </c>
      <c r="L57" s="317">
        <v>1222</v>
      </c>
      <c r="M57" s="318"/>
      <c r="N57" s="329">
        <f>SUM(L57:M57)</f>
        <v>1222</v>
      </c>
      <c r="O57" s="317">
        <v>119</v>
      </c>
      <c r="P57" s="318"/>
      <c r="Q57" s="329">
        <f>SUM(O57:P57)</f>
        <v>119</v>
      </c>
      <c r="R57" s="159"/>
      <c r="S57" s="159"/>
      <c r="T57" s="159"/>
      <c r="U57" s="159"/>
    </row>
    <row r="58" spans="1:21" s="208" customFormat="1" ht="17.25" customHeight="1">
      <c r="A58" s="327" t="s">
        <v>183</v>
      </c>
      <c r="B58" s="328" t="s">
        <v>384</v>
      </c>
      <c r="C58" s="317"/>
      <c r="D58" s="318"/>
      <c r="E58" s="331">
        <f>SUM(C58:D58)</f>
        <v>0</v>
      </c>
      <c r="F58" s="317"/>
      <c r="G58" s="318"/>
      <c r="H58" s="331">
        <f>SUM(F58:G58)</f>
        <v>0</v>
      </c>
      <c r="I58" s="317"/>
      <c r="J58" s="318"/>
      <c r="K58" s="331">
        <f>SUM(I58:J58)</f>
        <v>0</v>
      </c>
      <c r="L58" s="317"/>
      <c r="M58" s="318"/>
      <c r="N58" s="331">
        <f>SUM(L58:M58)</f>
        <v>0</v>
      </c>
      <c r="O58" s="317"/>
      <c r="P58" s="318"/>
      <c r="Q58" s="329">
        <f>SUM(O58:P58)</f>
        <v>0</v>
      </c>
      <c r="R58" s="159"/>
      <c r="S58" s="159"/>
      <c r="T58" s="159"/>
      <c r="U58" s="159"/>
    </row>
    <row r="59" spans="1:21" s="208" customFormat="1" ht="17.25" customHeight="1" thickBot="1">
      <c r="A59" s="342">
        <v>10</v>
      </c>
      <c r="B59" s="343"/>
      <c r="C59" s="344"/>
      <c r="D59" s="345"/>
      <c r="E59" s="346">
        <f>SUM(C59:D59)</f>
        <v>0</v>
      </c>
      <c r="F59" s="344"/>
      <c r="G59" s="345"/>
      <c r="H59" s="346">
        <f>SUM(F59:G59)</f>
        <v>0</v>
      </c>
      <c r="I59" s="344"/>
      <c r="J59" s="345"/>
      <c r="K59" s="346">
        <f>SUM(I59:J59)</f>
        <v>0</v>
      </c>
      <c r="L59" s="344"/>
      <c r="M59" s="345"/>
      <c r="N59" s="346">
        <f>SUM(L59:M59)</f>
        <v>0</v>
      </c>
      <c r="O59" s="347"/>
      <c r="P59" s="345"/>
      <c r="Q59" s="346">
        <f>SUM(O59:P59)</f>
        <v>0</v>
      </c>
      <c r="R59" s="159"/>
      <c r="S59" s="159"/>
      <c r="T59" s="159"/>
      <c r="U59" s="159"/>
    </row>
    <row r="60" spans="1:17" s="159" customFormat="1" ht="17.25" customHeight="1" thickBot="1" thickTop="1">
      <c r="A60" s="334" t="s">
        <v>109</v>
      </c>
      <c r="B60" s="336" t="s">
        <v>182</v>
      </c>
      <c r="C60" s="748">
        <f>C40+C45+C46+C47+C51+C52+C55+C56+C57+C58+C59</f>
        <v>1705383</v>
      </c>
      <c r="D60" s="749">
        <f aca="true" t="shared" si="24" ref="D60:Q60">D40+D45+D46+D47+D51+D52+D55+D56+D57+D58+D59</f>
        <v>1160</v>
      </c>
      <c r="E60" s="354">
        <f t="shared" si="24"/>
        <v>1706543</v>
      </c>
      <c r="F60" s="355">
        <f t="shared" si="24"/>
        <v>606930</v>
      </c>
      <c r="G60" s="335">
        <f t="shared" si="24"/>
        <v>236</v>
      </c>
      <c r="H60" s="354">
        <f t="shared" si="24"/>
        <v>607166</v>
      </c>
      <c r="I60" s="748">
        <f t="shared" si="24"/>
        <v>356062</v>
      </c>
      <c r="J60" s="749">
        <f t="shared" si="24"/>
        <v>312</v>
      </c>
      <c r="K60" s="354">
        <f t="shared" si="24"/>
        <v>356374</v>
      </c>
      <c r="L60" s="355">
        <f t="shared" si="24"/>
        <v>450473</v>
      </c>
      <c r="M60" s="335">
        <f t="shared" si="24"/>
        <v>0</v>
      </c>
      <c r="N60" s="354">
        <f t="shared" si="24"/>
        <v>450473</v>
      </c>
      <c r="O60" s="355">
        <f t="shared" si="24"/>
        <v>221384</v>
      </c>
      <c r="P60" s="335">
        <f t="shared" si="24"/>
        <v>38</v>
      </c>
      <c r="Q60" s="365">
        <f t="shared" si="24"/>
        <v>221422</v>
      </c>
    </row>
    <row r="61" spans="1:21" s="94" customFormat="1" ht="13.5" customHeight="1" thickBot="1" thickTop="1">
      <c r="A61" s="170"/>
      <c r="B61" s="171"/>
      <c r="C61" s="172"/>
      <c r="D61" s="172"/>
      <c r="E61" s="173"/>
      <c r="F61" s="172"/>
      <c r="G61" s="172"/>
      <c r="H61" s="173"/>
      <c r="I61" s="172"/>
      <c r="J61" s="172"/>
      <c r="K61" s="173"/>
      <c r="L61" s="172"/>
      <c r="M61" s="172"/>
      <c r="N61" s="173"/>
      <c r="O61" s="172"/>
      <c r="P61" s="172"/>
      <c r="Q61" s="173"/>
      <c r="R61" s="233"/>
      <c r="S61" s="233"/>
      <c r="T61" s="233"/>
      <c r="U61" s="233"/>
    </row>
    <row r="62" spans="1:17" s="180" customFormat="1" ht="17.25" customHeight="1" thickBot="1" thickTop="1">
      <c r="A62" s="174"/>
      <c r="B62" s="175" t="s">
        <v>593</v>
      </c>
      <c r="C62" s="176">
        <v>277</v>
      </c>
      <c r="D62" s="177"/>
      <c r="E62" s="178">
        <f>C62+D62</f>
        <v>277</v>
      </c>
      <c r="F62" s="176">
        <v>103.5</v>
      </c>
      <c r="G62" s="177"/>
      <c r="H62" s="178">
        <f>F62+G62</f>
        <v>103.5</v>
      </c>
      <c r="I62" s="176">
        <v>66</v>
      </c>
      <c r="J62" s="177"/>
      <c r="K62" s="178">
        <f>I62+J62</f>
        <v>66</v>
      </c>
      <c r="L62" s="176">
        <v>67</v>
      </c>
      <c r="M62" s="177"/>
      <c r="N62" s="178">
        <f>L62+M62</f>
        <v>67</v>
      </c>
      <c r="O62" s="176">
        <v>26.25</v>
      </c>
      <c r="P62" s="177"/>
      <c r="Q62" s="179">
        <f>SUM(O62:P62)</f>
        <v>26.25</v>
      </c>
    </row>
    <row r="63" spans="1:17" s="180" customFormat="1" ht="17.25" customHeight="1" thickBot="1" thickTop="1">
      <c r="A63" s="174"/>
      <c r="B63" s="175" t="s">
        <v>594</v>
      </c>
      <c r="C63" s="176">
        <v>0</v>
      </c>
      <c r="D63" s="177"/>
      <c r="E63" s="178">
        <f>C63+D63</f>
        <v>0</v>
      </c>
      <c r="F63" s="176">
        <v>0</v>
      </c>
      <c r="G63" s="177"/>
      <c r="H63" s="178">
        <f>F63+G63</f>
        <v>0</v>
      </c>
      <c r="I63" s="176">
        <v>0</v>
      </c>
      <c r="J63" s="177"/>
      <c r="K63" s="178">
        <f>I63+J63</f>
        <v>0</v>
      </c>
      <c r="L63" s="176">
        <v>0</v>
      </c>
      <c r="M63" s="177"/>
      <c r="N63" s="178">
        <f>L63+M63</f>
        <v>0</v>
      </c>
      <c r="O63" s="176">
        <v>0</v>
      </c>
      <c r="P63" s="177"/>
      <c r="Q63" s="179">
        <f>SUM(O63:P63)</f>
        <v>0</v>
      </c>
    </row>
    <row r="64" ht="16.5" thickTop="1">
      <c r="A64" s="409"/>
    </row>
  </sheetData>
  <sheetProtection/>
  <mergeCells count="5">
    <mergeCell ref="C7:E7"/>
    <mergeCell ref="O7:Q7"/>
    <mergeCell ref="I7:K7"/>
    <mergeCell ref="F7:H7"/>
    <mergeCell ref="L7:N7"/>
  </mergeCells>
  <printOptions horizontalCentered="1" verticalCentered="1"/>
  <pageMargins left="0.31496062992125984" right="0.2362204724409449" top="0.48" bottom="0.6692913385826772" header="0.34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zoomScale="75" zoomScaleNormal="75" zoomScaleSheetLayoutView="50" zoomScalePageLayoutView="0" workbookViewId="0" topLeftCell="A1">
      <pane xSplit="2" ySplit="9" topLeftCell="C34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10" customWidth="1"/>
    <col min="2" max="2" width="78.375" style="94" customWidth="1"/>
    <col min="3" max="3" width="15.875" style="94" customWidth="1"/>
    <col min="4" max="4" width="14.375" style="94" customWidth="1"/>
    <col min="5" max="8" width="15.875" style="94" customWidth="1"/>
    <col min="9" max="9" width="16.625" style="94" customWidth="1"/>
    <col min="10" max="10" width="17.125" style="94" customWidth="1"/>
    <col min="11" max="11" width="17.625" style="208" customWidth="1"/>
    <col min="12" max="12" width="15.875" style="94" customWidth="1"/>
    <col min="13" max="13" width="14.375" style="94" customWidth="1"/>
    <col min="14" max="14" width="15.875" style="94" customWidth="1"/>
    <col min="15" max="15" width="15.875" style="0" customWidth="1"/>
    <col min="16" max="16" width="14.375" style="0" customWidth="1"/>
    <col min="17" max="17" width="15.875" style="0" customWidth="1"/>
    <col min="18" max="18" width="9.625" style="0" customWidth="1"/>
    <col min="19" max="19" width="13.375" style="0" customWidth="1"/>
  </cols>
  <sheetData>
    <row r="1" spans="1:17" ht="10.5" customHeight="1">
      <c r="A1" s="294"/>
      <c r="B1" s="377"/>
      <c r="C1" s="377"/>
      <c r="D1" s="377"/>
      <c r="E1" s="377"/>
      <c r="F1" s="377"/>
      <c r="G1" s="377"/>
      <c r="H1" s="377"/>
      <c r="I1" s="377"/>
      <c r="J1" s="377"/>
      <c r="L1" s="377"/>
      <c r="M1" s="377"/>
      <c r="N1" s="377"/>
      <c r="O1" s="5"/>
      <c r="P1" s="136"/>
      <c r="Q1" s="1665" t="s">
        <v>855</v>
      </c>
    </row>
    <row r="2" spans="1:17" ht="12.75" customHeight="1">
      <c r="A2" s="294"/>
      <c r="B2" s="377"/>
      <c r="C2" s="377"/>
      <c r="D2" s="377"/>
      <c r="E2" s="377"/>
      <c r="F2" s="377"/>
      <c r="G2" s="377"/>
      <c r="H2" s="377"/>
      <c r="I2" s="377"/>
      <c r="J2" s="377"/>
      <c r="L2" s="377"/>
      <c r="M2" s="377"/>
      <c r="N2" s="377"/>
      <c r="O2" s="5"/>
      <c r="P2" s="136"/>
      <c r="Q2" s="1665" t="s">
        <v>93</v>
      </c>
    </row>
    <row r="3" spans="1:17" ht="10.5" customHeight="1">
      <c r="A3" s="294"/>
      <c r="B3" s="377"/>
      <c r="C3" s="377"/>
      <c r="D3" s="377"/>
      <c r="E3" s="377"/>
      <c r="F3" s="377"/>
      <c r="G3" s="377"/>
      <c r="H3" s="377"/>
      <c r="I3" s="377"/>
      <c r="J3" s="377"/>
      <c r="L3" s="377"/>
      <c r="M3" s="377"/>
      <c r="N3" s="377"/>
      <c r="O3" s="5"/>
      <c r="P3" s="182"/>
      <c r="Q3" s="1666" t="s">
        <v>132</v>
      </c>
    </row>
    <row r="4" spans="1:17" ht="20.25">
      <c r="A4" s="869" t="s">
        <v>578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7"/>
      <c r="P4" s="7"/>
      <c r="Q4" s="7"/>
    </row>
    <row r="5" spans="1:17" ht="18">
      <c r="A5" s="870" t="s">
        <v>584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"/>
      <c r="P5" s="8"/>
      <c r="Q5" s="8"/>
    </row>
    <row r="6" spans="1:17" ht="18.75" thickBot="1">
      <c r="A6" s="870"/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"/>
      <c r="P6" s="8"/>
      <c r="Q6" s="130" t="s">
        <v>134</v>
      </c>
    </row>
    <row r="7" spans="1:17" ht="32.25" customHeight="1">
      <c r="A7" s="229" t="s">
        <v>124</v>
      </c>
      <c r="B7" s="93" t="s">
        <v>125</v>
      </c>
      <c r="C7" s="1888" t="s">
        <v>52</v>
      </c>
      <c r="D7" s="1886"/>
      <c r="E7" s="1887"/>
      <c r="F7" s="1895" t="s">
        <v>564</v>
      </c>
      <c r="G7" s="1895"/>
      <c r="H7" s="1895"/>
      <c r="I7" s="1891" t="s">
        <v>194</v>
      </c>
      <c r="J7" s="1892"/>
      <c r="K7" s="1893"/>
      <c r="L7" s="1894" t="s">
        <v>338</v>
      </c>
      <c r="M7" s="1892"/>
      <c r="N7" s="1893"/>
      <c r="O7" s="1889" t="s">
        <v>161</v>
      </c>
      <c r="P7" s="1889"/>
      <c r="Q7" s="1890"/>
    </row>
    <row r="8" spans="1:17" s="26" customFormat="1" ht="27" customHeight="1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24" t="s">
        <v>420</v>
      </c>
      <c r="M8" s="23" t="s">
        <v>128</v>
      </c>
      <c r="N8" s="11" t="s">
        <v>661</v>
      </c>
      <c r="O8" s="24" t="s">
        <v>420</v>
      </c>
      <c r="P8" s="23" t="s">
        <v>128</v>
      </c>
      <c r="Q8" s="11" t="s">
        <v>661</v>
      </c>
    </row>
    <row r="9" spans="1:17" s="89" customFormat="1" ht="12" thickBot="1">
      <c r="A9" s="411">
        <v>1</v>
      </c>
      <c r="B9" s="86">
        <v>2</v>
      </c>
      <c r="C9" s="872">
        <v>6</v>
      </c>
      <c r="D9" s="873">
        <v>7</v>
      </c>
      <c r="E9" s="874">
        <v>8</v>
      </c>
      <c r="F9" s="1204">
        <v>9</v>
      </c>
      <c r="G9" s="873">
        <v>10</v>
      </c>
      <c r="H9" s="1204">
        <v>11</v>
      </c>
      <c r="I9" s="872">
        <v>12</v>
      </c>
      <c r="J9" s="873">
        <v>13</v>
      </c>
      <c r="K9" s="874">
        <v>14</v>
      </c>
      <c r="L9" s="872">
        <v>15</v>
      </c>
      <c r="M9" s="873">
        <v>16</v>
      </c>
      <c r="N9" s="874">
        <v>17</v>
      </c>
      <c r="O9" s="1278">
        <v>18</v>
      </c>
      <c r="P9" s="32">
        <v>19</v>
      </c>
      <c r="Q9" s="33">
        <v>20</v>
      </c>
    </row>
    <row r="10" spans="1:17" s="26" customFormat="1" ht="18.75" thickBot="1">
      <c r="A10" s="371"/>
      <c r="B10" s="416" t="s">
        <v>129</v>
      </c>
      <c r="C10" s="372"/>
      <c r="D10" s="373"/>
      <c r="E10" s="418"/>
      <c r="F10" s="1205"/>
      <c r="G10" s="373"/>
      <c r="H10" s="1205"/>
      <c r="I10" s="372"/>
      <c r="J10" s="373"/>
      <c r="K10" s="924"/>
      <c r="L10" s="372"/>
      <c r="M10" s="373"/>
      <c r="N10" s="418"/>
      <c r="O10" s="1279"/>
      <c r="P10" s="9"/>
      <c r="Q10" s="10"/>
    </row>
    <row r="11" spans="1:17" s="180" customFormat="1" ht="17.25" customHeight="1" thickBot="1">
      <c r="A11" s="304">
        <v>1</v>
      </c>
      <c r="B11" s="296" t="s">
        <v>113</v>
      </c>
      <c r="C11" s="338">
        <v>242546</v>
      </c>
      <c r="D11" s="305">
        <v>94</v>
      </c>
      <c r="E11" s="306">
        <f>C11+D11</f>
        <v>242640</v>
      </c>
      <c r="F11" s="321">
        <v>159706</v>
      </c>
      <c r="G11" s="305"/>
      <c r="H11" s="1286">
        <f>F11+G11</f>
        <v>159706</v>
      </c>
      <c r="I11" s="338">
        <f>'önállóan működő'!C11+'önállóan működő'!F11+'önállóan működő'!I11+'önállóan működő'!L11+'önállóan működő'!O11+'önállóan gazd.'!C11+'önállóan gazd.'!F11</f>
        <v>2583924</v>
      </c>
      <c r="J11" s="305">
        <f>'önállóan működő'!D11+'önállóan működő'!G11+'önállóan működő'!J11+'önállóan működő'!M11+'önállóan működő'!P11+'önállóan gazd.'!D11+'önállóan gazd.'!G11</f>
        <v>-3736</v>
      </c>
      <c r="K11" s="311">
        <f>'önállóan működő'!E11+'önállóan működő'!H11+'önállóan működő'!K11+'önállóan működő'!N11+'önállóan működő'!Q11+'önállóan gazd.'!E11+'önállóan gazd.'!H11</f>
        <v>2580188</v>
      </c>
      <c r="L11" s="310">
        <v>956912</v>
      </c>
      <c r="M11" s="305">
        <v>44</v>
      </c>
      <c r="N11" s="306">
        <f>L11+M11</f>
        <v>956956</v>
      </c>
      <c r="O11" s="424">
        <f aca="true" t="shared" si="0" ref="O11:O34">I11+L11</f>
        <v>3540836</v>
      </c>
      <c r="P11" s="285">
        <f aca="true" t="shared" si="1" ref="P11:P34">J11+M11</f>
        <v>-3692</v>
      </c>
      <c r="Q11" s="283">
        <f aca="true" t="shared" si="2" ref="Q11:Q34">K11+N11</f>
        <v>3537144</v>
      </c>
    </row>
    <row r="12" spans="1:18" s="181" customFormat="1" ht="17.25" customHeight="1" thickBot="1">
      <c r="A12" s="308">
        <v>2</v>
      </c>
      <c r="B12" s="316" t="s">
        <v>202</v>
      </c>
      <c r="C12" s="338">
        <v>48367</v>
      </c>
      <c r="D12" s="305">
        <v>15</v>
      </c>
      <c r="E12" s="306">
        <f>SUM(C12:D12)</f>
        <v>48382</v>
      </c>
      <c r="F12" s="305">
        <v>30304</v>
      </c>
      <c r="G12" s="305"/>
      <c r="H12" s="1285">
        <f>SUM(F12:G12)</f>
        <v>30304</v>
      </c>
      <c r="I12" s="338">
        <f>'önállóan működő'!C12+'önállóan működő'!F12+'önállóan működő'!I12+'önállóan működő'!L12+'önállóan működő'!O12+'önállóan gazd.'!C12+'önállóan gazd.'!F12</f>
        <v>523913</v>
      </c>
      <c r="J12" s="305">
        <f>'önállóan működő'!D12+'önállóan működő'!G12+'önállóan működő'!J12+'önállóan működő'!M12+'önállóan működő'!P12+'önállóan gazd.'!D12+'önállóan gazd.'!G12</f>
        <v>49</v>
      </c>
      <c r="K12" s="311">
        <f>'önállóan működő'!E12+'önállóan működő'!H12+'önállóan működő'!K12+'önállóan működő'!N12+'önállóan működő'!Q12+'önállóan gazd.'!E12+'önállóan gazd.'!H12</f>
        <v>523962</v>
      </c>
      <c r="L12" s="310">
        <v>215055</v>
      </c>
      <c r="M12" s="305">
        <v>7</v>
      </c>
      <c r="N12" s="306">
        <f>SUM(L12:M12)</f>
        <v>215062</v>
      </c>
      <c r="O12" s="424">
        <f t="shared" si="0"/>
        <v>738968</v>
      </c>
      <c r="P12" s="285">
        <f t="shared" si="1"/>
        <v>56</v>
      </c>
      <c r="Q12" s="283">
        <f t="shared" si="2"/>
        <v>739024</v>
      </c>
      <c r="R12" s="228"/>
    </row>
    <row r="13" spans="1:17" s="208" customFormat="1" ht="17.25" customHeight="1" thickBot="1">
      <c r="A13" s="308">
        <v>3</v>
      </c>
      <c r="B13" s="296" t="s">
        <v>116</v>
      </c>
      <c r="C13" s="338">
        <v>673807</v>
      </c>
      <c r="D13" s="305">
        <v>6135</v>
      </c>
      <c r="E13" s="306">
        <f>C13+D13</f>
        <v>679942</v>
      </c>
      <c r="F13" s="1391">
        <v>253565</v>
      </c>
      <c r="G13" s="305">
        <v>8112</v>
      </c>
      <c r="H13" s="1285">
        <f>F13+G13</f>
        <v>261677</v>
      </c>
      <c r="I13" s="338">
        <f>'önállóan működő'!C13+'önállóan működő'!F13+'önállóan működő'!I13+'önállóan működő'!L13+'önállóan működő'!O13+'önállóan gazd.'!C13+'önállóan gazd.'!F13</f>
        <v>1610685</v>
      </c>
      <c r="J13" s="305">
        <f>'önállóan működő'!D13+'önállóan működő'!G13+'önállóan működő'!J13+'önállóan működő'!M13+'önállóan működő'!P13+'önállóan gazd.'!D13+'önállóan gazd.'!G13</f>
        <v>19505</v>
      </c>
      <c r="K13" s="311">
        <f>'önállóan működő'!E13+'önállóan működő'!H13+'önállóan működő'!K13+'önállóan működő'!N13+'önállóan működő'!Q13+'önállóan gazd.'!E13+'önállóan gazd.'!H13</f>
        <v>1630190</v>
      </c>
      <c r="L13" s="310">
        <v>214354</v>
      </c>
      <c r="M13" s="305">
        <f>50000-2141-168+3845+9700</f>
        <v>61236</v>
      </c>
      <c r="N13" s="306">
        <f>L13+M13</f>
        <v>275590</v>
      </c>
      <c r="O13" s="424">
        <f t="shared" si="0"/>
        <v>1825039</v>
      </c>
      <c r="P13" s="285">
        <f t="shared" si="1"/>
        <v>80741</v>
      </c>
      <c r="Q13" s="283">
        <f t="shared" si="2"/>
        <v>1905780</v>
      </c>
    </row>
    <row r="14" spans="1:17" s="208" customFormat="1" ht="17.25" customHeight="1" thickBot="1">
      <c r="A14" s="308">
        <v>4</v>
      </c>
      <c r="B14" s="296" t="s">
        <v>172</v>
      </c>
      <c r="C14" s="307"/>
      <c r="D14" s="307"/>
      <c r="E14" s="311">
        <f>SUM(C14:D14)</f>
        <v>0</v>
      </c>
      <c r="F14" s="307"/>
      <c r="G14" s="307"/>
      <c r="H14" s="321">
        <f>SUM(F14:G14)</f>
        <v>0</v>
      </c>
      <c r="I14" s="338">
        <f>'önállóan működő'!C14+'önállóan működő'!F14+'önállóan működő'!I14+'önállóan működő'!L14+'önállóan működő'!O14+'önállóan gazd.'!C14+'önállóan gazd.'!F14</f>
        <v>0</v>
      </c>
      <c r="J14" s="305">
        <f>'önállóan működő'!D14+'önállóan működő'!G14+'önállóan működő'!J14+'önállóan működő'!M14+'önállóan működő'!P14+'önállóan gazd.'!D14+'önállóan gazd.'!G14</f>
        <v>0</v>
      </c>
      <c r="K14" s="311">
        <f>'önállóan működő'!E14+'önállóan működő'!H14+'önállóan működő'!K14+'önállóan működő'!N14+'önállóan működő'!Q14+'önállóan gazd.'!E14+'önállóan gazd.'!H14</f>
        <v>0</v>
      </c>
      <c r="L14" s="310"/>
      <c r="M14" s="307"/>
      <c r="N14" s="311">
        <f>SUM(L14:M14)</f>
        <v>0</v>
      </c>
      <c r="O14" s="424">
        <f t="shared" si="0"/>
        <v>0</v>
      </c>
      <c r="P14" s="285">
        <f t="shared" si="1"/>
        <v>0</v>
      </c>
      <c r="Q14" s="283">
        <f t="shared" si="2"/>
        <v>0</v>
      </c>
    </row>
    <row r="15" spans="1:17" s="180" customFormat="1" ht="17.25" customHeight="1">
      <c r="A15" s="163" t="s">
        <v>98</v>
      </c>
      <c r="B15" s="152" t="s">
        <v>370</v>
      </c>
      <c r="C15" s="226">
        <v>17825</v>
      </c>
      <c r="D15" s="224"/>
      <c r="E15" s="239">
        <f>C15+D15</f>
        <v>17825</v>
      </c>
      <c r="F15" s="238"/>
      <c r="G15" s="224"/>
      <c r="H15" s="1208">
        <f aca="true" t="shared" si="3" ref="H15:H22">F15+G15</f>
        <v>0</v>
      </c>
      <c r="I15" s="1070">
        <f>'önállóan működő'!C15+'önállóan működő'!F15+'önállóan működő'!I15+'önállóan működő'!L15+'önállóan működő'!O15+'önállóan gazd.'!C15+'önállóan gazd.'!F15</f>
        <v>20693</v>
      </c>
      <c r="J15" s="224">
        <f>'önállóan működő'!D15+'önállóan működő'!G15+'önállóan működő'!J15+'önállóan működő'!M15+'önállóan működő'!P15+'önállóan gazd.'!D15+'önállóan gazd.'!G15</f>
        <v>0</v>
      </c>
      <c r="K15" s="227">
        <f>'önállóan működő'!E15+'önállóan működő'!H15+'önállóan működő'!K15+'önállóan működő'!N15+'önállóan működő'!Q15+'önállóan gazd.'!E15+'önállóan gazd.'!H15</f>
        <v>20693</v>
      </c>
      <c r="L15" s="226"/>
      <c r="M15" s="224"/>
      <c r="N15" s="239">
        <f>L15+M15</f>
        <v>0</v>
      </c>
      <c r="O15" s="1280">
        <f t="shared" si="0"/>
        <v>20693</v>
      </c>
      <c r="P15" s="292">
        <f t="shared" si="1"/>
        <v>0</v>
      </c>
      <c r="Q15" s="351">
        <f t="shared" si="2"/>
        <v>20693</v>
      </c>
    </row>
    <row r="16" spans="1:17" s="180" customFormat="1" ht="17.25" customHeight="1">
      <c r="A16" s="160" t="s">
        <v>99</v>
      </c>
      <c r="B16" s="156" t="s">
        <v>554</v>
      </c>
      <c r="C16" s="150"/>
      <c r="D16" s="146"/>
      <c r="E16" s="239">
        <f>C16+D16</f>
        <v>0</v>
      </c>
      <c r="F16" s="148"/>
      <c r="G16" s="146"/>
      <c r="H16" s="1208">
        <f t="shared" si="3"/>
        <v>0</v>
      </c>
      <c r="I16" s="1070">
        <f>'önállóan működő'!C16+'önállóan működő'!F16+'önállóan működő'!I16+'önállóan működő'!L16+'önállóan működő'!O16+'önállóan gazd.'!C16+'önállóan gazd.'!F16</f>
        <v>0</v>
      </c>
      <c r="J16" s="224">
        <f>'önállóan működő'!D16+'önállóan működő'!G16+'önállóan működő'!J16+'önállóan működő'!M16+'önállóan működő'!P16+'önállóan gazd.'!D16+'önállóan gazd.'!G16</f>
        <v>0</v>
      </c>
      <c r="K16" s="227">
        <f>'önállóan működő'!E16+'önállóan működő'!H16+'önállóan működő'!K16+'önállóan működő'!N16+'önállóan működő'!Q16+'önállóan gazd.'!E16+'önállóan gazd.'!H16</f>
        <v>0</v>
      </c>
      <c r="L16" s="150"/>
      <c r="M16" s="146"/>
      <c r="N16" s="239">
        <f>L16+M16</f>
        <v>0</v>
      </c>
      <c r="O16" s="1280">
        <f t="shared" si="0"/>
        <v>0</v>
      </c>
      <c r="P16" s="292">
        <f t="shared" si="1"/>
        <v>0</v>
      </c>
      <c r="Q16" s="351">
        <f t="shared" si="2"/>
        <v>0</v>
      </c>
    </row>
    <row r="17" spans="1:17" s="180" customFormat="1" ht="17.25" customHeight="1">
      <c r="A17" s="160" t="s">
        <v>100</v>
      </c>
      <c r="B17" s="156" t="s">
        <v>555</v>
      </c>
      <c r="C17" s="150"/>
      <c r="D17" s="146"/>
      <c r="E17" s="239">
        <f aca="true" t="shared" si="4" ref="E17:E22">C17+D17</f>
        <v>0</v>
      </c>
      <c r="F17" s="148"/>
      <c r="G17" s="146"/>
      <c r="H17" s="1208">
        <f t="shared" si="3"/>
        <v>0</v>
      </c>
      <c r="I17" s="1070">
        <f>'önállóan működő'!C17+'önállóan működő'!F17+'önállóan működő'!I17+'önállóan működő'!L17+'önállóan működő'!O17+'önállóan gazd.'!C17+'önállóan gazd.'!F17</f>
        <v>0</v>
      </c>
      <c r="J17" s="224">
        <f>'önállóan működő'!D17+'önállóan működő'!G17+'önállóan működő'!J17+'önállóan működő'!M17+'önállóan működő'!P17+'önállóan gazd.'!D17+'önállóan gazd.'!G17</f>
        <v>0</v>
      </c>
      <c r="K17" s="227">
        <f>'önállóan működő'!E17+'önállóan működő'!H17+'önállóan működő'!K17+'önállóan működő'!N17+'önállóan működő'!Q17+'önállóan gazd.'!E17+'önállóan gazd.'!H17</f>
        <v>0</v>
      </c>
      <c r="L17" s="150"/>
      <c r="M17" s="146"/>
      <c r="N17" s="239">
        <f aca="true" t="shared" si="5" ref="N17:N22">L17+M17</f>
        <v>0</v>
      </c>
      <c r="O17" s="1280">
        <f t="shared" si="0"/>
        <v>0</v>
      </c>
      <c r="P17" s="292">
        <f t="shared" si="1"/>
        <v>0</v>
      </c>
      <c r="Q17" s="351">
        <f t="shared" si="2"/>
        <v>0</v>
      </c>
    </row>
    <row r="18" spans="1:17" s="180" customFormat="1" ht="17.25" customHeight="1">
      <c r="A18" s="160" t="s">
        <v>101</v>
      </c>
      <c r="B18" s="154" t="s">
        <v>371</v>
      </c>
      <c r="C18" s="150"/>
      <c r="D18" s="146"/>
      <c r="E18" s="239">
        <f t="shared" si="4"/>
        <v>0</v>
      </c>
      <c r="F18" s="148"/>
      <c r="G18" s="146"/>
      <c r="H18" s="1208">
        <f t="shared" si="3"/>
        <v>0</v>
      </c>
      <c r="I18" s="1070">
        <f>'önállóan működő'!C18+'önállóan működő'!F18+'önállóan működő'!I18+'önállóan működő'!L18+'önállóan működő'!O18+'önállóan gazd.'!C18+'önállóan gazd.'!F18</f>
        <v>0</v>
      </c>
      <c r="J18" s="224">
        <f>'önállóan működő'!D18+'önállóan működő'!G18+'önállóan működő'!J18+'önállóan működő'!M18+'önállóan működő'!P18+'önállóan gazd.'!D18+'önállóan gazd.'!G18</f>
        <v>0</v>
      </c>
      <c r="K18" s="227">
        <f>'önállóan működő'!E18+'önállóan működő'!H18+'önállóan működő'!K18+'önállóan működő'!N18+'önállóan működő'!Q18+'önállóan gazd.'!E18+'önállóan gazd.'!H18</f>
        <v>0</v>
      </c>
      <c r="L18" s="150"/>
      <c r="M18" s="146"/>
      <c r="N18" s="239">
        <f t="shared" si="5"/>
        <v>0</v>
      </c>
      <c r="O18" s="1280">
        <f t="shared" si="0"/>
        <v>0</v>
      </c>
      <c r="P18" s="292">
        <f t="shared" si="1"/>
        <v>0</v>
      </c>
      <c r="Q18" s="351">
        <f t="shared" si="2"/>
        <v>0</v>
      </c>
    </row>
    <row r="19" spans="1:17" s="180" customFormat="1" ht="17.25" customHeight="1">
      <c r="A19" s="155" t="s">
        <v>192</v>
      </c>
      <c r="B19" s="156" t="s">
        <v>556</v>
      </c>
      <c r="C19" s="148"/>
      <c r="D19" s="146"/>
      <c r="E19" s="239">
        <f>C19+D19</f>
        <v>0</v>
      </c>
      <c r="F19" s="148"/>
      <c r="G19" s="146"/>
      <c r="H19" s="1208">
        <f t="shared" si="3"/>
        <v>0</v>
      </c>
      <c r="I19" s="1070">
        <f>'önállóan működő'!C19+'önállóan működő'!F19+'önállóan működő'!I19+'önállóan működő'!L19+'önállóan működő'!O19+'önállóan gazd.'!C19+'önállóan gazd.'!F19</f>
        <v>0</v>
      </c>
      <c r="J19" s="224">
        <f>'önállóan működő'!D19+'önállóan működő'!G19+'önállóan működő'!J19+'önállóan működő'!M19+'önállóan működő'!P19+'önállóan gazd.'!D19+'önállóan gazd.'!G19</f>
        <v>0</v>
      </c>
      <c r="K19" s="227">
        <f>'önállóan működő'!E19+'önállóan működő'!H19+'önállóan működő'!K19+'önállóan működő'!N19+'önállóan működő'!Q19+'önállóan gazd.'!E19+'önállóan gazd.'!H19</f>
        <v>0</v>
      </c>
      <c r="L19" s="150"/>
      <c r="M19" s="146"/>
      <c r="N19" s="239">
        <f>L19+M19</f>
        <v>0</v>
      </c>
      <c r="O19" s="1280">
        <f t="shared" si="0"/>
        <v>0</v>
      </c>
      <c r="P19" s="292">
        <f t="shared" si="1"/>
        <v>0</v>
      </c>
      <c r="Q19" s="351">
        <f t="shared" si="2"/>
        <v>0</v>
      </c>
    </row>
    <row r="20" spans="1:17" s="180" customFormat="1" ht="17.25" customHeight="1">
      <c r="A20" s="155" t="s">
        <v>327</v>
      </c>
      <c r="B20" s="156" t="s">
        <v>557</v>
      </c>
      <c r="C20" s="148"/>
      <c r="D20" s="146"/>
      <c r="E20" s="239">
        <f t="shared" si="4"/>
        <v>0</v>
      </c>
      <c r="F20" s="148"/>
      <c r="G20" s="146"/>
      <c r="H20" s="1208">
        <f t="shared" si="3"/>
        <v>0</v>
      </c>
      <c r="I20" s="1070">
        <f>'önállóan működő'!C20+'önállóan működő'!F20+'önállóan működő'!I20+'önállóan működő'!L20+'önállóan működő'!O20+'önállóan gazd.'!C20+'önállóan gazd.'!F20</f>
        <v>0</v>
      </c>
      <c r="J20" s="224">
        <f>'önállóan működő'!D20+'önállóan működő'!G20+'önállóan működő'!J20+'önállóan működő'!M20+'önállóan működő'!P20+'önállóan gazd.'!D20+'önállóan gazd.'!G20</f>
        <v>0</v>
      </c>
      <c r="K20" s="227">
        <f>'önállóan működő'!E20+'önállóan működő'!H20+'önállóan működő'!K20+'önállóan működő'!N20+'önállóan működő'!Q20+'önállóan gazd.'!E20+'önállóan gazd.'!H20</f>
        <v>0</v>
      </c>
      <c r="L20" s="150"/>
      <c r="M20" s="146"/>
      <c r="N20" s="239">
        <f t="shared" si="5"/>
        <v>0</v>
      </c>
      <c r="O20" s="1280">
        <f t="shared" si="0"/>
        <v>0</v>
      </c>
      <c r="P20" s="292">
        <f t="shared" si="1"/>
        <v>0</v>
      </c>
      <c r="Q20" s="351">
        <f t="shared" si="2"/>
        <v>0</v>
      </c>
    </row>
    <row r="21" spans="1:17" s="180" customFormat="1" ht="17.25" customHeight="1">
      <c r="A21" s="155" t="s">
        <v>328</v>
      </c>
      <c r="B21" s="154" t="s">
        <v>372</v>
      </c>
      <c r="C21" s="860"/>
      <c r="D21" s="146"/>
      <c r="E21" s="351">
        <f t="shared" si="4"/>
        <v>0</v>
      </c>
      <c r="F21" s="860"/>
      <c r="G21" s="146"/>
      <c r="H21" s="1206">
        <f t="shared" si="3"/>
        <v>0</v>
      </c>
      <c r="I21" s="1070">
        <f>'önállóan működő'!C21+'önállóan működő'!F21+'önállóan működő'!I21+'önállóan működő'!L21+'önállóan működő'!O21+'önállóan gazd.'!C21+'önállóan gazd.'!F21</f>
        <v>0</v>
      </c>
      <c r="J21" s="224">
        <f>'önállóan működő'!D21+'önállóan működő'!G21+'önállóan működő'!J21+'önállóan működő'!M21+'önállóan működő'!P21+'önállóan gazd.'!D21+'önállóan gazd.'!G21</f>
        <v>0</v>
      </c>
      <c r="K21" s="227">
        <f>'önállóan működő'!E21+'önállóan működő'!H21+'önállóan működő'!K21+'önállóan működő'!N21+'önállóan működő'!Q21+'önállóan gazd.'!E21+'önállóan gazd.'!H21</f>
        <v>0</v>
      </c>
      <c r="L21" s="150">
        <v>43</v>
      </c>
      <c r="M21" s="146"/>
      <c r="N21" s="239">
        <f t="shared" si="5"/>
        <v>43</v>
      </c>
      <c r="O21" s="1280">
        <f t="shared" si="0"/>
        <v>43</v>
      </c>
      <c r="P21" s="292">
        <f t="shared" si="1"/>
        <v>0</v>
      </c>
      <c r="Q21" s="351">
        <f t="shared" si="2"/>
        <v>43</v>
      </c>
    </row>
    <row r="22" spans="1:17" s="180" customFormat="1" ht="15" customHeight="1" thickBot="1">
      <c r="A22" s="16" t="s">
        <v>69</v>
      </c>
      <c r="B22" s="325" t="s">
        <v>373</v>
      </c>
      <c r="C22" s="861"/>
      <c r="D22" s="158"/>
      <c r="E22" s="351">
        <f t="shared" si="4"/>
        <v>0</v>
      </c>
      <c r="F22" s="861"/>
      <c r="G22" s="158"/>
      <c r="H22" s="1206">
        <f t="shared" si="3"/>
        <v>0</v>
      </c>
      <c r="I22" s="1070">
        <f>'önállóan működő'!C22+'önállóan működő'!F22+'önállóan működő'!I22+'önállóan működő'!L22+'önállóan működő'!O22+'önállóan gazd.'!C22+'önállóan gazd.'!F22</f>
        <v>0</v>
      </c>
      <c r="J22" s="224">
        <f>'önállóan működő'!D22+'önállóan működő'!G22+'önállóan működő'!J22+'önállóan működő'!M22+'önállóan működő'!P22+'önállóan gazd.'!D22+'önállóan gazd.'!G22</f>
        <v>0</v>
      </c>
      <c r="K22" s="227">
        <f>'önállóan működő'!E22+'önállóan működő'!H22+'önállóan működő'!K22+'önállóan működő'!N22+'önállóan működő'!Q22+'önállóan gazd.'!E22+'önállóan gazd.'!H22</f>
        <v>0</v>
      </c>
      <c r="L22" s="882"/>
      <c r="M22" s="158"/>
      <c r="N22" s="351">
        <f t="shared" si="5"/>
        <v>0</v>
      </c>
      <c r="O22" s="1280">
        <f t="shared" si="0"/>
        <v>0</v>
      </c>
      <c r="P22" s="292">
        <f t="shared" si="1"/>
        <v>0</v>
      </c>
      <c r="Q22" s="351">
        <f t="shared" si="2"/>
        <v>0</v>
      </c>
    </row>
    <row r="23" spans="1:17" s="208" customFormat="1" ht="17.25" customHeight="1" thickBot="1">
      <c r="A23" s="308">
        <v>5</v>
      </c>
      <c r="B23" s="296" t="s">
        <v>171</v>
      </c>
      <c r="C23" s="321">
        <f aca="true" t="shared" si="6" ref="C23:N23">SUM(C15:C22)</f>
        <v>17825</v>
      </c>
      <c r="D23" s="305">
        <f t="shared" si="6"/>
        <v>0</v>
      </c>
      <c r="E23" s="321">
        <f t="shared" si="6"/>
        <v>17825</v>
      </c>
      <c r="F23" s="338">
        <f t="shared" si="6"/>
        <v>0</v>
      </c>
      <c r="G23" s="305">
        <f t="shared" si="6"/>
        <v>0</v>
      </c>
      <c r="H23" s="321">
        <f t="shared" si="6"/>
        <v>0</v>
      </c>
      <c r="I23" s="338">
        <f t="shared" si="6"/>
        <v>20693</v>
      </c>
      <c r="J23" s="305">
        <f t="shared" si="6"/>
        <v>0</v>
      </c>
      <c r="K23" s="311">
        <f t="shared" si="6"/>
        <v>20693</v>
      </c>
      <c r="L23" s="338">
        <f t="shared" si="6"/>
        <v>43</v>
      </c>
      <c r="M23" s="305">
        <f t="shared" si="6"/>
        <v>0</v>
      </c>
      <c r="N23" s="311">
        <f t="shared" si="6"/>
        <v>43</v>
      </c>
      <c r="O23" s="424">
        <f t="shared" si="0"/>
        <v>20736</v>
      </c>
      <c r="P23" s="285">
        <f t="shared" si="1"/>
        <v>0</v>
      </c>
      <c r="Q23" s="283">
        <f t="shared" si="2"/>
        <v>20736</v>
      </c>
    </row>
    <row r="24" spans="1:17" s="180" customFormat="1" ht="17.25" customHeight="1" thickBot="1">
      <c r="A24" s="304">
        <v>6</v>
      </c>
      <c r="B24" s="296" t="s">
        <v>174</v>
      </c>
      <c r="C24" s="309">
        <v>3986</v>
      </c>
      <c r="D24" s="305">
        <v>1110</v>
      </c>
      <c r="E24" s="283">
        <f aca="true" t="shared" si="7" ref="E24:E30">C24+D24</f>
        <v>5096</v>
      </c>
      <c r="F24" s="321">
        <v>12380</v>
      </c>
      <c r="G24" s="305">
        <v>21565</v>
      </c>
      <c r="H24" s="1286">
        <f aca="true" t="shared" si="8" ref="H24:H30">F24+G24</f>
        <v>33945</v>
      </c>
      <c r="I24" s="338">
        <f>'önállóan működő'!C24+'önállóan működő'!F24+'önállóan működő'!I24+'önállóan működő'!L24+'önállóan működő'!O24+'önállóan gazd.'!C24+'önállóan gazd.'!F24</f>
        <v>43503</v>
      </c>
      <c r="J24" s="305">
        <f>'önállóan működő'!D24+'önállóan működő'!G24+'önállóan működő'!J24+'önállóan működő'!M24+'önállóan működő'!P24+'önállóan gazd.'!D24+'önállóan gazd.'!G24</f>
        <v>22959</v>
      </c>
      <c r="K24" s="311">
        <f>'önállóan működő'!E24+'önállóan működő'!H24+'önállóan működő'!K24+'önállóan működő'!N24+'önállóan működő'!Q24+'önállóan gazd.'!E24+'önállóan gazd.'!H24</f>
        <v>66462</v>
      </c>
      <c r="L24" s="338">
        <v>14476</v>
      </c>
      <c r="M24" s="305">
        <f>2141+168+300</f>
        <v>2609</v>
      </c>
      <c r="N24" s="283">
        <f aca="true" t="shared" si="9" ref="N24:N30">L24+M24</f>
        <v>17085</v>
      </c>
      <c r="O24" s="424">
        <f t="shared" si="0"/>
        <v>57979</v>
      </c>
      <c r="P24" s="285">
        <f t="shared" si="1"/>
        <v>25568</v>
      </c>
      <c r="Q24" s="283">
        <f t="shared" si="2"/>
        <v>83547</v>
      </c>
    </row>
    <row r="25" spans="1:17" s="208" customFormat="1" ht="17.25" customHeight="1" thickBot="1">
      <c r="A25" s="304">
        <v>7</v>
      </c>
      <c r="B25" s="296" t="s">
        <v>421</v>
      </c>
      <c r="C25" s="338"/>
      <c r="D25" s="305"/>
      <c r="E25" s="283">
        <f t="shared" si="7"/>
        <v>0</v>
      </c>
      <c r="F25" s="321">
        <v>18646</v>
      </c>
      <c r="G25" s="305"/>
      <c r="H25" s="1286">
        <f t="shared" si="8"/>
        <v>18646</v>
      </c>
      <c r="I25" s="338">
        <f>'önállóan működő'!C25+'önállóan működő'!F25+'önállóan működő'!I25+'önállóan működő'!L25+'önállóan működő'!O25+'önállóan gazd.'!C25+'önállóan gazd.'!F25</f>
        <v>18646</v>
      </c>
      <c r="J25" s="305">
        <f>'önállóan működő'!D25+'önállóan működő'!G25+'önállóan működő'!J25+'önállóan működő'!M25+'önállóan működő'!P25+'önállóan gazd.'!D25+'önállóan gazd.'!G25</f>
        <v>0</v>
      </c>
      <c r="K25" s="311">
        <f>'önállóan működő'!E25+'önállóan működő'!H25+'önállóan működő'!K25+'önállóan működő'!N25+'önállóan működő'!Q25+'önállóan gazd.'!E25+'önállóan gazd.'!H25</f>
        <v>18646</v>
      </c>
      <c r="L25" s="338"/>
      <c r="M25" s="305"/>
      <c r="N25" s="283">
        <f t="shared" si="9"/>
        <v>0</v>
      </c>
      <c r="O25" s="424">
        <f t="shared" si="0"/>
        <v>18646</v>
      </c>
      <c r="P25" s="285">
        <f t="shared" si="1"/>
        <v>0</v>
      </c>
      <c r="Q25" s="283">
        <f t="shared" si="2"/>
        <v>18646</v>
      </c>
    </row>
    <row r="26" spans="1:17" s="180" customFormat="1" ht="17.25" customHeight="1">
      <c r="A26" s="163" t="s">
        <v>98</v>
      </c>
      <c r="B26" s="156" t="s">
        <v>560</v>
      </c>
      <c r="C26" s="1070"/>
      <c r="D26" s="224"/>
      <c r="E26" s="351">
        <f t="shared" si="7"/>
        <v>0</v>
      </c>
      <c r="F26" s="862"/>
      <c r="G26" s="224"/>
      <c r="H26" s="1206">
        <f t="shared" si="8"/>
        <v>0</v>
      </c>
      <c r="I26" s="1070">
        <f>'önállóan működő'!C26+'önállóan működő'!F26+'önállóan működő'!I26+'önállóan működő'!L26+'önállóan működő'!O26+'önállóan gazd.'!C26+'önállóan gazd.'!F26</f>
        <v>0</v>
      </c>
      <c r="J26" s="224">
        <f>'önállóan működő'!D26+'önállóan működő'!G26+'önállóan működő'!J26+'önállóan működő'!M26+'önállóan működő'!P26+'önállóan gazd.'!D26+'önállóan gazd.'!G26</f>
        <v>0</v>
      </c>
      <c r="K26" s="227">
        <f>'önállóan működő'!E26+'önállóan működő'!H26+'önállóan működő'!K26+'önállóan működő'!N26+'önállóan működő'!Q26+'önállóan gazd.'!E26+'önállóan gazd.'!H26</f>
        <v>0</v>
      </c>
      <c r="L26" s="1070"/>
      <c r="M26" s="224"/>
      <c r="N26" s="351">
        <f t="shared" si="9"/>
        <v>0</v>
      </c>
      <c r="O26" s="1280">
        <f t="shared" si="0"/>
        <v>0</v>
      </c>
      <c r="P26" s="292">
        <f t="shared" si="1"/>
        <v>0</v>
      </c>
      <c r="Q26" s="351">
        <f t="shared" si="2"/>
        <v>0</v>
      </c>
    </row>
    <row r="27" spans="1:17" s="180" customFormat="1" ht="17.25" customHeight="1">
      <c r="A27" s="163" t="s">
        <v>99</v>
      </c>
      <c r="B27" s="156" t="s">
        <v>558</v>
      </c>
      <c r="C27" s="1070"/>
      <c r="D27" s="224"/>
      <c r="E27" s="351">
        <f t="shared" si="7"/>
        <v>0</v>
      </c>
      <c r="F27" s="862"/>
      <c r="G27" s="224"/>
      <c r="H27" s="1206">
        <f t="shared" si="8"/>
        <v>0</v>
      </c>
      <c r="I27" s="1070">
        <f>'önállóan működő'!C27+'önállóan működő'!F27+'önállóan működő'!I27+'önállóan működő'!L27+'önállóan működő'!O27+'önállóan gazd.'!C27+'önállóan gazd.'!F27</f>
        <v>0</v>
      </c>
      <c r="J27" s="224">
        <f>'önállóan működő'!D27+'önállóan működő'!G27+'önállóan működő'!J27+'önállóan működő'!M27+'önállóan működő'!P27+'önállóan gazd.'!D27+'önállóan gazd.'!G27</f>
        <v>0</v>
      </c>
      <c r="K27" s="227">
        <f>'önállóan működő'!E27+'önállóan működő'!H27+'önállóan működő'!K27+'önállóan működő'!N27+'önállóan működő'!Q27+'önállóan gazd.'!E27+'önállóan gazd.'!H27</f>
        <v>0</v>
      </c>
      <c r="L27" s="1070"/>
      <c r="M27" s="224"/>
      <c r="N27" s="351">
        <f t="shared" si="9"/>
        <v>0</v>
      </c>
      <c r="O27" s="1280">
        <f t="shared" si="0"/>
        <v>0</v>
      </c>
      <c r="P27" s="292">
        <f t="shared" si="1"/>
        <v>0</v>
      </c>
      <c r="Q27" s="351">
        <f t="shared" si="2"/>
        <v>0</v>
      </c>
    </row>
    <row r="28" spans="1:17" s="180" customFormat="1" ht="17.25" customHeight="1">
      <c r="A28" s="163" t="s">
        <v>100</v>
      </c>
      <c r="B28" s="154" t="s">
        <v>374</v>
      </c>
      <c r="C28" s="1070"/>
      <c r="D28" s="224"/>
      <c r="E28" s="351">
        <f t="shared" si="7"/>
        <v>0</v>
      </c>
      <c r="F28" s="862"/>
      <c r="G28" s="224"/>
      <c r="H28" s="1206">
        <f t="shared" si="8"/>
        <v>0</v>
      </c>
      <c r="I28" s="1070">
        <f>'önállóan működő'!C28+'önállóan működő'!F28+'önállóan működő'!I28+'önállóan működő'!L28+'önállóan működő'!O28+'önállóan gazd.'!C28+'önállóan gazd.'!F28</f>
        <v>0</v>
      </c>
      <c r="J28" s="224">
        <f>'önállóan működő'!D28+'önállóan működő'!G28+'önállóan működő'!J28+'önállóan működő'!M28+'önállóan működő'!P28+'önállóan gazd.'!D28+'önállóan gazd.'!G28</f>
        <v>0</v>
      </c>
      <c r="K28" s="227">
        <f>'önállóan működő'!E28+'önállóan működő'!H28+'önállóan működő'!K28+'önállóan működő'!N28+'önállóan működő'!Q28+'önállóan gazd.'!E28+'önállóan gazd.'!H28</f>
        <v>0</v>
      </c>
      <c r="L28" s="1070"/>
      <c r="M28" s="224"/>
      <c r="N28" s="351">
        <f t="shared" si="9"/>
        <v>0</v>
      </c>
      <c r="O28" s="1280">
        <f t="shared" si="0"/>
        <v>0</v>
      </c>
      <c r="P28" s="292">
        <f t="shared" si="1"/>
        <v>0</v>
      </c>
      <c r="Q28" s="351">
        <f t="shared" si="2"/>
        <v>0</v>
      </c>
    </row>
    <row r="29" spans="1:17" s="180" customFormat="1" ht="17.25" customHeight="1">
      <c r="A29" s="163" t="s">
        <v>101</v>
      </c>
      <c r="B29" s="156" t="s">
        <v>559</v>
      </c>
      <c r="C29" s="1070"/>
      <c r="D29" s="224"/>
      <c r="E29" s="1206">
        <f t="shared" si="7"/>
        <v>0</v>
      </c>
      <c r="F29" s="150"/>
      <c r="G29" s="146"/>
      <c r="H29" s="425">
        <f t="shared" si="8"/>
        <v>0</v>
      </c>
      <c r="I29" s="1070">
        <f>'önállóan működő'!C29+'önállóan működő'!F29+'önállóan működő'!I29+'önállóan működő'!L29+'önállóan működő'!O29+'önállóan gazd.'!C29+'önállóan gazd.'!F29</f>
        <v>0</v>
      </c>
      <c r="J29" s="224">
        <f>'önállóan működő'!D29+'önállóan működő'!G29+'önállóan működő'!J29+'önállóan működő'!M29+'önállóan működő'!P29+'önállóan gazd.'!D29+'önállóan gazd.'!G29</f>
        <v>0</v>
      </c>
      <c r="K29" s="227">
        <f>'önállóan működő'!E29+'önállóan működő'!H29+'önállóan működő'!K29+'önállóan működő'!N29+'önállóan működő'!Q29+'önállóan gazd.'!E29+'önállóan gazd.'!H29</f>
        <v>0</v>
      </c>
      <c r="L29" s="1070"/>
      <c r="M29" s="224"/>
      <c r="N29" s="351">
        <f t="shared" si="9"/>
        <v>0</v>
      </c>
      <c r="O29" s="1280">
        <f t="shared" si="0"/>
        <v>0</v>
      </c>
      <c r="P29" s="292">
        <f t="shared" si="1"/>
        <v>0</v>
      </c>
      <c r="Q29" s="351">
        <f t="shared" si="2"/>
        <v>0</v>
      </c>
    </row>
    <row r="30" spans="1:17" s="180" customFormat="1" ht="17.25" customHeight="1" thickBot="1">
      <c r="A30" s="326" t="s">
        <v>192</v>
      </c>
      <c r="B30" s="154" t="s">
        <v>375</v>
      </c>
      <c r="C30" s="1071"/>
      <c r="D30" s="312"/>
      <c r="E30" s="1207">
        <f t="shared" si="7"/>
        <v>0</v>
      </c>
      <c r="F30" s="314"/>
      <c r="G30" s="312"/>
      <c r="H30" s="352">
        <f t="shared" si="8"/>
        <v>0</v>
      </c>
      <c r="I30" s="1070">
        <f>'önállóan működő'!C30+'önállóan működő'!F30+'önállóan működő'!I30+'önállóan működő'!L30+'önállóan működő'!O30+'önállóan gazd.'!C30+'önállóan gazd.'!F30</f>
        <v>0</v>
      </c>
      <c r="J30" s="224">
        <f>'önállóan működő'!D30+'önállóan működő'!G30+'önállóan működő'!J30+'önállóan működő'!M30+'önállóan működő'!P30+'önállóan gazd.'!D30+'önállóan gazd.'!G30</f>
        <v>0</v>
      </c>
      <c r="K30" s="227">
        <f>'önállóan működő'!E30+'önállóan működő'!H30+'önállóan működő'!K30+'önállóan működő'!N30+'önállóan működő'!Q30+'önállóan gazd.'!E30+'önállóan gazd.'!H30</f>
        <v>0</v>
      </c>
      <c r="L30" s="1071"/>
      <c r="M30" s="312"/>
      <c r="N30" s="352">
        <f t="shared" si="9"/>
        <v>0</v>
      </c>
      <c r="O30" s="1280">
        <f t="shared" si="0"/>
        <v>0</v>
      </c>
      <c r="P30" s="292">
        <f t="shared" si="1"/>
        <v>0</v>
      </c>
      <c r="Q30" s="351">
        <f t="shared" si="2"/>
        <v>0</v>
      </c>
    </row>
    <row r="31" spans="1:17" s="208" customFormat="1" ht="17.25" customHeight="1" thickBot="1">
      <c r="A31" s="304">
        <v>8</v>
      </c>
      <c r="B31" s="296" t="s">
        <v>173</v>
      </c>
      <c r="C31" s="338">
        <f aca="true" t="shared" si="10" ref="C31:N31">SUM(C26:C30)</f>
        <v>0</v>
      </c>
      <c r="D31" s="305">
        <f t="shared" si="10"/>
        <v>0</v>
      </c>
      <c r="E31" s="321">
        <f t="shared" si="10"/>
        <v>0</v>
      </c>
      <c r="F31" s="310">
        <f t="shared" si="10"/>
        <v>0</v>
      </c>
      <c r="G31" s="305">
        <f t="shared" si="10"/>
        <v>0</v>
      </c>
      <c r="H31" s="311">
        <f t="shared" si="10"/>
        <v>0</v>
      </c>
      <c r="I31" s="338">
        <f t="shared" si="10"/>
        <v>0</v>
      </c>
      <c r="J31" s="305">
        <f t="shared" si="10"/>
        <v>0</v>
      </c>
      <c r="K31" s="311">
        <f t="shared" si="10"/>
        <v>0</v>
      </c>
      <c r="L31" s="338">
        <f t="shared" si="10"/>
        <v>0</v>
      </c>
      <c r="M31" s="305">
        <f t="shared" si="10"/>
        <v>0</v>
      </c>
      <c r="N31" s="311">
        <f t="shared" si="10"/>
        <v>0</v>
      </c>
      <c r="O31" s="424">
        <f t="shared" si="0"/>
        <v>0</v>
      </c>
      <c r="P31" s="285">
        <f t="shared" si="1"/>
        <v>0</v>
      </c>
      <c r="Q31" s="283">
        <f t="shared" si="2"/>
        <v>0</v>
      </c>
    </row>
    <row r="32" spans="1:17" s="180" customFormat="1" ht="17.25" customHeight="1" thickBot="1">
      <c r="A32" s="304">
        <v>9</v>
      </c>
      <c r="B32" s="296" t="s">
        <v>179</v>
      </c>
      <c r="C32" s="338"/>
      <c r="D32" s="305"/>
      <c r="E32" s="1286">
        <f>C32+D32</f>
        <v>0</v>
      </c>
      <c r="F32" s="310"/>
      <c r="G32" s="305"/>
      <c r="H32" s="283">
        <f>F32+G32</f>
        <v>0</v>
      </c>
      <c r="I32" s="338">
        <f>'önállóan működő'!C32+'önállóan működő'!F32+'önállóan működő'!I32+'önállóan működő'!L32+'önállóan működő'!O32+'önállóan gazd.'!C32+'önállóan gazd.'!F32</f>
        <v>0</v>
      </c>
      <c r="J32" s="305">
        <f>'önállóan működő'!D32+'önállóan működő'!G32+'önállóan működő'!J32+'önállóan működő'!M32+'önállóan működő'!P32+'önállóan gazd.'!D32+'önállóan gazd.'!G32</f>
        <v>0</v>
      </c>
      <c r="K32" s="311">
        <f>'önállóan működő'!E32+'önállóan működő'!H32+'önállóan működő'!K32+'önállóan működő'!N32+'önállóan működő'!Q32+'önállóan gazd.'!E32+'önállóan gazd.'!H32</f>
        <v>0</v>
      </c>
      <c r="L32" s="338"/>
      <c r="M32" s="305"/>
      <c r="N32" s="283">
        <f>L32+M32</f>
        <v>0</v>
      </c>
      <c r="O32" s="424">
        <f t="shared" si="0"/>
        <v>0</v>
      </c>
      <c r="P32" s="285">
        <f t="shared" si="1"/>
        <v>0</v>
      </c>
      <c r="Q32" s="283">
        <f t="shared" si="2"/>
        <v>0</v>
      </c>
    </row>
    <row r="33" spans="1:17" s="159" customFormat="1" ht="17.25" customHeight="1" thickBot="1">
      <c r="A33" s="358">
        <v>10</v>
      </c>
      <c r="B33" s="359"/>
      <c r="C33" s="165"/>
      <c r="D33" s="360"/>
      <c r="E33" s="288">
        <f>SUM(C33:D33)</f>
        <v>0</v>
      </c>
      <c r="F33" s="1296"/>
      <c r="G33" s="360"/>
      <c r="H33" s="1102">
        <f>SUM(F33:G33)</f>
        <v>0</v>
      </c>
      <c r="I33" s="1086">
        <f>'önállóan működő'!C33+'önállóan működő'!F33+'önállóan működő'!I33+'önállóan működő'!L33+'önállóan működő'!O33+'önállóan gazd.'!C33+'önállóan gazd.'!F33</f>
        <v>0</v>
      </c>
      <c r="J33" s="366">
        <f>'önállóan működő'!D33+'önállóan működő'!G33+'önállóan működő'!J33+'önállóan működő'!M33+'önállóan működő'!P33+'önállóan gazd.'!D33+'önállóan gazd.'!G33</f>
        <v>0</v>
      </c>
      <c r="K33" s="367">
        <f>'önállóan működő'!E33+'önállóan működő'!H33+'önállóan működő'!K33+'önállóan működő'!N33+'önállóan működő'!Q33+'önállóan gazd.'!E33+'önállóan gazd.'!H33</f>
        <v>0</v>
      </c>
      <c r="L33" s="165"/>
      <c r="M33" s="360"/>
      <c r="N33" s="1102">
        <f>SUM(L33:M33)</f>
        <v>0</v>
      </c>
      <c r="O33" s="424">
        <f t="shared" si="0"/>
        <v>0</v>
      </c>
      <c r="P33" s="285">
        <f t="shared" si="1"/>
        <v>0</v>
      </c>
      <c r="Q33" s="283">
        <f t="shared" si="2"/>
        <v>0</v>
      </c>
    </row>
    <row r="34" spans="1:18" s="167" customFormat="1" ht="17.25" customHeight="1" thickBot="1" thickTop="1">
      <c r="A34" s="334" t="s">
        <v>108</v>
      </c>
      <c r="B34" s="357" t="s">
        <v>180</v>
      </c>
      <c r="C34" s="356">
        <f aca="true" t="shared" si="11" ref="C34:K34">C11+C12+C13+C23+C14+C31+C25+C24+C32+C33</f>
        <v>986531</v>
      </c>
      <c r="D34" s="335">
        <f t="shared" si="11"/>
        <v>7354</v>
      </c>
      <c r="E34" s="747">
        <f t="shared" si="11"/>
        <v>993885</v>
      </c>
      <c r="F34" s="355">
        <f t="shared" si="11"/>
        <v>474601</v>
      </c>
      <c r="G34" s="335">
        <f t="shared" si="11"/>
        <v>29677</v>
      </c>
      <c r="H34" s="365">
        <f t="shared" si="11"/>
        <v>504278</v>
      </c>
      <c r="I34" s="356">
        <f t="shared" si="11"/>
        <v>4801364</v>
      </c>
      <c r="J34" s="335">
        <f t="shared" si="11"/>
        <v>38777</v>
      </c>
      <c r="K34" s="365">
        <f t="shared" si="11"/>
        <v>4840141</v>
      </c>
      <c r="L34" s="356">
        <f>L11+L12+L13+L23+L14+L31+L25+L24+L32+L33</f>
        <v>1400840</v>
      </c>
      <c r="M34" s="335">
        <f>M11+M12+M13+M23+M14+M31+M25+M24+M32+M33</f>
        <v>63896</v>
      </c>
      <c r="N34" s="365">
        <f>N11+N12+N13+N23+N14+N31+N25+N24+N32+N33</f>
        <v>1464736</v>
      </c>
      <c r="O34" s="1281">
        <f t="shared" si="0"/>
        <v>6202204</v>
      </c>
      <c r="P34" s="369">
        <f t="shared" si="1"/>
        <v>102673</v>
      </c>
      <c r="Q34" s="370">
        <f t="shared" si="2"/>
        <v>6304877</v>
      </c>
      <c r="R34" s="166"/>
    </row>
    <row r="35" spans="1:18" s="94" customFormat="1" ht="19.5" customHeight="1" thickBot="1" thickTop="1">
      <c r="A35" s="151"/>
      <c r="B35" s="337" t="s">
        <v>131</v>
      </c>
      <c r="C35" s="1072"/>
      <c r="D35" s="293"/>
      <c r="E35" s="1287"/>
      <c r="F35" s="1297"/>
      <c r="G35" s="293"/>
      <c r="H35" s="1078"/>
      <c r="I35" s="1273"/>
      <c r="J35" s="1274"/>
      <c r="K35" s="1275"/>
      <c r="L35" s="1072"/>
      <c r="M35" s="293"/>
      <c r="N35" s="1078"/>
      <c r="O35" s="1282"/>
      <c r="P35" s="353"/>
      <c r="Q35" s="1094"/>
      <c r="R35" s="168"/>
    </row>
    <row r="36" spans="1:17" s="729" customFormat="1" ht="17.25" customHeight="1">
      <c r="A36" s="738" t="s">
        <v>98</v>
      </c>
      <c r="B36" s="739" t="s">
        <v>376</v>
      </c>
      <c r="C36" s="741"/>
      <c r="D36" s="740"/>
      <c r="E36" s="1288">
        <f>SUM(C36:D36)</f>
        <v>0</v>
      </c>
      <c r="F36" s="1298"/>
      <c r="G36" s="740"/>
      <c r="H36" s="742">
        <f>SUM(F36:G36)</f>
        <v>0</v>
      </c>
      <c r="I36" s="1070">
        <f>'önállóan működő'!C36+'önállóan működő'!F36+'önállóan működő'!I36+'önállóan működő'!L36+'önállóan működő'!O36+'önállóan gazd.'!C36+'önállóan gazd.'!F36</f>
        <v>0</v>
      </c>
      <c r="J36" s="224">
        <f>'önállóan működő'!D36+'önállóan működő'!G36+'önállóan működő'!J36+'önállóan működő'!M36+'önállóan működő'!P36+'önállóan gazd.'!D36+'önállóan gazd.'!G36</f>
        <v>0</v>
      </c>
      <c r="K36" s="227">
        <f>'önállóan működő'!E36+'önállóan működő'!H36+'önállóan működő'!K36+'önállóan működő'!N36+'önállóan működő'!Q36+'önállóan gazd.'!E36+'önállóan gazd.'!H36</f>
        <v>0</v>
      </c>
      <c r="L36" s="1080"/>
      <c r="M36" s="740"/>
      <c r="N36" s="742">
        <f>SUM(L36:M36)</f>
        <v>0</v>
      </c>
      <c r="O36" s="1280">
        <f aca="true" t="shared" si="12" ref="O36:O55">I36+L36</f>
        <v>0</v>
      </c>
      <c r="P36" s="292">
        <f aca="true" t="shared" si="13" ref="P36:P55">J36+M36</f>
        <v>0</v>
      </c>
      <c r="Q36" s="351">
        <f aca="true" t="shared" si="14" ref="Q36:Q55">K36+N36</f>
        <v>0</v>
      </c>
    </row>
    <row r="37" spans="1:17" s="729" customFormat="1" ht="17.25" customHeight="1">
      <c r="A37" s="160" t="s">
        <v>99</v>
      </c>
      <c r="B37" s="156" t="s">
        <v>235</v>
      </c>
      <c r="C37" s="298"/>
      <c r="D37" s="146"/>
      <c r="E37" s="1289">
        <f aca="true" t="shared" si="15" ref="E37:E44">C37+D37</f>
        <v>0</v>
      </c>
      <c r="F37" s="150"/>
      <c r="G37" s="146"/>
      <c r="H37" s="425">
        <f>F37+G37</f>
        <v>0</v>
      </c>
      <c r="I37" s="1070">
        <f>'önállóan működő'!C37+'önállóan működő'!F37+'önállóan működő'!I37+'önállóan működő'!L37+'önállóan működő'!O37+'önállóan gazd.'!C37+'önállóan gazd.'!F37</f>
        <v>0</v>
      </c>
      <c r="J37" s="224">
        <f>'önállóan működő'!D37+'önállóan működő'!G37+'önállóan működő'!J37+'önállóan működő'!M37+'önállóan működő'!P37+'önállóan gazd.'!D37+'önállóan gazd.'!G37</f>
        <v>0</v>
      </c>
      <c r="K37" s="227">
        <f>'önállóan működő'!E37+'önállóan működő'!H37+'önállóan működő'!K37+'önállóan működő'!N37+'önállóan működő'!Q37+'önállóan gazd.'!E37+'önállóan gazd.'!H37</f>
        <v>0</v>
      </c>
      <c r="L37" s="881"/>
      <c r="M37" s="146"/>
      <c r="N37" s="425">
        <f aca="true" t="shared" si="16" ref="N37:N44">L37+M37</f>
        <v>0</v>
      </c>
      <c r="O37" s="1280">
        <f t="shared" si="12"/>
        <v>0</v>
      </c>
      <c r="P37" s="292">
        <f t="shared" si="13"/>
        <v>0</v>
      </c>
      <c r="Q37" s="351">
        <f t="shared" si="14"/>
        <v>0</v>
      </c>
    </row>
    <row r="38" spans="1:17" s="729" customFormat="1" ht="17.25" customHeight="1">
      <c r="A38" s="326" t="s">
        <v>100</v>
      </c>
      <c r="B38" s="149" t="s">
        <v>377</v>
      </c>
      <c r="C38" s="320"/>
      <c r="D38" s="312"/>
      <c r="E38" s="1207">
        <f t="shared" si="15"/>
        <v>0</v>
      </c>
      <c r="F38" s="226"/>
      <c r="G38" s="312"/>
      <c r="H38" s="352">
        <f>F38+G38</f>
        <v>0</v>
      </c>
      <c r="I38" s="1070">
        <f>'önállóan működő'!C38+'önállóan működő'!F38+'önállóan működő'!I38+'önállóan működő'!L38+'önállóan működő'!O38+'önállóan gazd.'!C38+'önállóan gazd.'!F38</f>
        <v>0</v>
      </c>
      <c r="J38" s="224">
        <f>'önállóan működő'!D38+'önállóan működő'!G38+'önállóan működő'!J38+'önállóan működő'!M38+'önállóan működő'!P38+'önállóan gazd.'!D38+'önállóan gazd.'!G38</f>
        <v>0</v>
      </c>
      <c r="K38" s="227">
        <f>'önállóan működő'!E38+'önállóan működő'!H38+'önállóan működő'!K38+'önállóan működő'!N38+'önállóan működő'!Q38+'önállóan gazd.'!E38+'önállóan gazd.'!H38</f>
        <v>0</v>
      </c>
      <c r="L38" s="1071"/>
      <c r="M38" s="312"/>
      <c r="N38" s="352">
        <f t="shared" si="16"/>
        <v>0</v>
      </c>
      <c r="O38" s="1280">
        <f t="shared" si="12"/>
        <v>0</v>
      </c>
      <c r="P38" s="292">
        <f t="shared" si="13"/>
        <v>0</v>
      </c>
      <c r="Q38" s="351">
        <f t="shared" si="14"/>
        <v>0</v>
      </c>
    </row>
    <row r="39" spans="1:17" s="729" customFormat="1" ht="17.25" customHeight="1" thickBot="1">
      <c r="A39" s="161" t="s">
        <v>101</v>
      </c>
      <c r="B39" s="162" t="s">
        <v>381</v>
      </c>
      <c r="C39" s="299"/>
      <c r="D39" s="158"/>
      <c r="E39" s="1290">
        <f t="shared" si="15"/>
        <v>0</v>
      </c>
      <c r="F39" s="882"/>
      <c r="G39" s="158"/>
      <c r="H39" s="427">
        <f>F39+G39</f>
        <v>0</v>
      </c>
      <c r="I39" s="1070">
        <f>'önállóan működő'!C39+'önállóan működő'!F39+'önállóan működő'!I39+'önállóan működő'!L39+'önállóan működő'!O39+'önállóan gazd.'!C39+'önállóan gazd.'!F39</f>
        <v>0</v>
      </c>
      <c r="J39" s="224">
        <f>'önállóan működő'!D39+'önállóan működő'!G39+'önállóan működő'!J39+'önállóan működő'!M39+'önállóan működő'!P39+'önállóan gazd.'!D39+'önállóan gazd.'!G39</f>
        <v>0</v>
      </c>
      <c r="K39" s="227">
        <f>'önállóan működő'!E39+'önállóan működő'!H39+'önállóan működő'!K39+'önállóan működő'!N39+'önállóan működő'!Q39+'önállóan gazd.'!E39+'önállóan gazd.'!H39</f>
        <v>0</v>
      </c>
      <c r="L39" s="882">
        <v>1332</v>
      </c>
      <c r="M39" s="158"/>
      <c r="N39" s="427">
        <f t="shared" si="16"/>
        <v>1332</v>
      </c>
      <c r="O39" s="1280">
        <f t="shared" si="12"/>
        <v>1332</v>
      </c>
      <c r="P39" s="292">
        <f t="shared" si="13"/>
        <v>0</v>
      </c>
      <c r="Q39" s="351">
        <f t="shared" si="14"/>
        <v>1332</v>
      </c>
    </row>
    <row r="40" spans="1:17" s="208" customFormat="1" ht="17.25" customHeight="1" thickBot="1">
      <c r="A40" s="304">
        <v>1</v>
      </c>
      <c r="B40" s="296" t="s">
        <v>177</v>
      </c>
      <c r="C40" s="338">
        <f aca="true" t="shared" si="17" ref="C40:N40">SUM(C36:C39)</f>
        <v>0</v>
      </c>
      <c r="D40" s="305">
        <f t="shared" si="17"/>
        <v>0</v>
      </c>
      <c r="E40" s="321">
        <f t="shared" si="17"/>
        <v>0</v>
      </c>
      <c r="F40" s="338">
        <f>SUM(F36:F39)</f>
        <v>0</v>
      </c>
      <c r="G40" s="305">
        <f>SUM(G36:G39)</f>
        <v>0</v>
      </c>
      <c r="H40" s="311">
        <f>SUM(H36:H39)</f>
        <v>0</v>
      </c>
      <c r="I40" s="338">
        <f t="shared" si="17"/>
        <v>0</v>
      </c>
      <c r="J40" s="305">
        <f t="shared" si="17"/>
        <v>0</v>
      </c>
      <c r="K40" s="311">
        <f t="shared" si="17"/>
        <v>0</v>
      </c>
      <c r="L40" s="338">
        <f t="shared" si="17"/>
        <v>1332</v>
      </c>
      <c r="M40" s="305">
        <f t="shared" si="17"/>
        <v>0</v>
      </c>
      <c r="N40" s="311">
        <f t="shared" si="17"/>
        <v>1332</v>
      </c>
      <c r="O40" s="424">
        <f t="shared" si="12"/>
        <v>1332</v>
      </c>
      <c r="P40" s="285">
        <f t="shared" si="13"/>
        <v>0</v>
      </c>
      <c r="Q40" s="283">
        <f t="shared" si="14"/>
        <v>1332</v>
      </c>
    </row>
    <row r="41" spans="1:17" s="180" customFormat="1" ht="17.25" customHeight="1">
      <c r="A41" s="163" t="s">
        <v>98</v>
      </c>
      <c r="B41" s="152" t="s">
        <v>403</v>
      </c>
      <c r="C41" s="297"/>
      <c r="D41" s="224"/>
      <c r="E41" s="1207">
        <f t="shared" si="15"/>
        <v>0</v>
      </c>
      <c r="F41" s="1070"/>
      <c r="G41" s="224"/>
      <c r="H41" s="352">
        <f>F41+G41</f>
        <v>0</v>
      </c>
      <c r="I41" s="1070">
        <f>'önállóan működő'!C41+'önállóan működő'!F41+'önállóan működő'!I41+'önállóan működő'!L41+'önállóan működő'!O41+'önállóan gazd.'!C41+'önállóan gazd.'!F41</f>
        <v>0</v>
      </c>
      <c r="J41" s="224">
        <f>'önállóan működő'!D41+'önállóan működő'!G41+'önállóan működő'!J41+'önállóan működő'!M41+'önállóan működő'!P41+'önállóan gazd.'!D41+'önállóan gazd.'!G41</f>
        <v>0</v>
      </c>
      <c r="K41" s="227">
        <f>'önállóan működő'!E41+'önállóan működő'!H41+'önállóan működő'!K41+'önállóan működő'!N41+'önállóan működő'!Q41+'önállóan gazd.'!E41+'önállóan gazd.'!H41</f>
        <v>0</v>
      </c>
      <c r="L41" s="1070"/>
      <c r="M41" s="224"/>
      <c r="N41" s="352">
        <f t="shared" si="16"/>
        <v>0</v>
      </c>
      <c r="O41" s="1280">
        <f t="shared" si="12"/>
        <v>0</v>
      </c>
      <c r="P41" s="292">
        <f t="shared" si="13"/>
        <v>0</v>
      </c>
      <c r="Q41" s="351">
        <f t="shared" si="14"/>
        <v>0</v>
      </c>
    </row>
    <row r="42" spans="1:17" s="180" customFormat="1" ht="17.25" customHeight="1">
      <c r="A42" s="160" t="s">
        <v>99</v>
      </c>
      <c r="B42" s="156" t="s">
        <v>378</v>
      </c>
      <c r="C42" s="298"/>
      <c r="D42" s="146"/>
      <c r="E42" s="1290">
        <f t="shared" si="15"/>
        <v>0</v>
      </c>
      <c r="F42" s="881"/>
      <c r="G42" s="146"/>
      <c r="H42" s="427">
        <f>F42+G42</f>
        <v>0</v>
      </c>
      <c r="I42" s="1070">
        <f>'önállóan működő'!C42+'önállóan működő'!F42+'önállóan működő'!I42+'önállóan működő'!L42+'önállóan működő'!O42+'önállóan gazd.'!C42+'önállóan gazd.'!F42</f>
        <v>0</v>
      </c>
      <c r="J42" s="224">
        <f>'önállóan működő'!D42+'önállóan működő'!G42+'önállóan működő'!J42+'önállóan működő'!M42+'önállóan működő'!P42+'önállóan gazd.'!D42+'önállóan gazd.'!G42</f>
        <v>0</v>
      </c>
      <c r="K42" s="227">
        <f>'önállóan működő'!E42+'önállóan működő'!H42+'önállóan működő'!K42+'önállóan működő'!N42+'önállóan működő'!Q42+'önállóan gazd.'!E42+'önállóan gazd.'!H42</f>
        <v>0</v>
      </c>
      <c r="L42" s="881"/>
      <c r="M42" s="146"/>
      <c r="N42" s="427">
        <f t="shared" si="16"/>
        <v>0</v>
      </c>
      <c r="O42" s="1280">
        <f t="shared" si="12"/>
        <v>0</v>
      </c>
      <c r="P42" s="292">
        <f t="shared" si="13"/>
        <v>0</v>
      </c>
      <c r="Q42" s="351">
        <f t="shared" si="14"/>
        <v>0</v>
      </c>
    </row>
    <row r="43" spans="1:17" s="180" customFormat="1" ht="17.25" customHeight="1">
      <c r="A43" s="160" t="s">
        <v>100</v>
      </c>
      <c r="B43" s="156" t="s">
        <v>379</v>
      </c>
      <c r="C43" s="298"/>
      <c r="D43" s="146"/>
      <c r="E43" s="1290">
        <f t="shared" si="15"/>
        <v>0</v>
      </c>
      <c r="F43" s="881"/>
      <c r="G43" s="146"/>
      <c r="H43" s="427">
        <f>F43+G43</f>
        <v>0</v>
      </c>
      <c r="I43" s="1070">
        <f>'önállóan működő'!C43+'önállóan működő'!F43+'önállóan működő'!I43+'önállóan működő'!L43+'önállóan működő'!O43+'önállóan gazd.'!C43+'önállóan gazd.'!F43</f>
        <v>0</v>
      </c>
      <c r="J43" s="224">
        <f>'önállóan működő'!D43+'önállóan működő'!G43+'önállóan működő'!J43+'önállóan működő'!M43+'önállóan működő'!P43+'önállóan gazd.'!D43+'önállóan gazd.'!G43</f>
        <v>0</v>
      </c>
      <c r="K43" s="227">
        <f>'önállóan működő'!E43+'önállóan működő'!H43+'önállóan működő'!K43+'önállóan működő'!N43+'önállóan működő'!Q43+'önállóan gazd.'!E43+'önállóan gazd.'!H43</f>
        <v>0</v>
      </c>
      <c r="L43" s="881"/>
      <c r="M43" s="146"/>
      <c r="N43" s="427">
        <f t="shared" si="16"/>
        <v>0</v>
      </c>
      <c r="O43" s="1280">
        <f t="shared" si="12"/>
        <v>0</v>
      </c>
      <c r="P43" s="292">
        <f t="shared" si="13"/>
        <v>0</v>
      </c>
      <c r="Q43" s="351">
        <f t="shared" si="14"/>
        <v>0</v>
      </c>
    </row>
    <row r="44" spans="1:17" s="180" customFormat="1" ht="17.25" customHeight="1" thickBot="1">
      <c r="A44" s="161" t="s">
        <v>101</v>
      </c>
      <c r="B44" s="162" t="s">
        <v>175</v>
      </c>
      <c r="C44" s="299"/>
      <c r="D44" s="158"/>
      <c r="E44" s="1290">
        <f t="shared" si="15"/>
        <v>0</v>
      </c>
      <c r="F44" s="882"/>
      <c r="G44" s="158"/>
      <c r="H44" s="427">
        <f>F44+G44</f>
        <v>0</v>
      </c>
      <c r="I44" s="1070">
        <f>'önállóan működő'!C44+'önállóan működő'!F44+'önállóan működő'!I44+'önállóan működő'!L44+'önállóan működő'!O44+'önállóan gazd.'!C44+'önállóan gazd.'!F44</f>
        <v>0</v>
      </c>
      <c r="J44" s="224">
        <f>'önállóan működő'!D44+'önállóan működő'!G44+'önállóan működő'!J44+'önállóan működő'!M44+'önállóan működő'!P44+'önállóan gazd.'!D44+'önállóan gazd.'!G44</f>
        <v>0</v>
      </c>
      <c r="K44" s="227">
        <f>'önállóan működő'!E44+'önállóan működő'!H44+'önállóan működő'!K44+'önállóan működő'!N44+'önállóan működő'!Q44+'önállóan gazd.'!E44+'önállóan gazd.'!H44</f>
        <v>0</v>
      </c>
      <c r="L44" s="882">
        <v>14</v>
      </c>
      <c r="M44" s="158">
        <v>18</v>
      </c>
      <c r="N44" s="427">
        <f t="shared" si="16"/>
        <v>32</v>
      </c>
      <c r="O44" s="1280">
        <f t="shared" si="12"/>
        <v>14</v>
      </c>
      <c r="P44" s="292">
        <f t="shared" si="13"/>
        <v>18</v>
      </c>
      <c r="Q44" s="351">
        <f t="shared" si="14"/>
        <v>32</v>
      </c>
    </row>
    <row r="45" spans="1:17" s="208" customFormat="1" ht="17.25" customHeight="1" thickBot="1">
      <c r="A45" s="304">
        <v>2</v>
      </c>
      <c r="B45" s="296" t="s">
        <v>176</v>
      </c>
      <c r="C45" s="309">
        <f aca="true" t="shared" si="18" ref="C45:N45">SUM(C41:C44)</f>
        <v>0</v>
      </c>
      <c r="D45" s="305">
        <f t="shared" si="18"/>
        <v>0</v>
      </c>
      <c r="E45" s="321">
        <f t="shared" si="18"/>
        <v>0</v>
      </c>
      <c r="F45" s="338">
        <f t="shared" si="18"/>
        <v>0</v>
      </c>
      <c r="G45" s="305">
        <f t="shared" si="18"/>
        <v>0</v>
      </c>
      <c r="H45" s="311">
        <f t="shared" si="18"/>
        <v>0</v>
      </c>
      <c r="I45" s="338">
        <f t="shared" si="18"/>
        <v>0</v>
      </c>
      <c r="J45" s="305">
        <f t="shared" si="18"/>
        <v>0</v>
      </c>
      <c r="K45" s="311">
        <f t="shared" si="18"/>
        <v>0</v>
      </c>
      <c r="L45" s="338">
        <f t="shared" si="18"/>
        <v>14</v>
      </c>
      <c r="M45" s="305">
        <f t="shared" si="18"/>
        <v>18</v>
      </c>
      <c r="N45" s="311">
        <f t="shared" si="18"/>
        <v>32</v>
      </c>
      <c r="O45" s="424">
        <f t="shared" si="12"/>
        <v>14</v>
      </c>
      <c r="P45" s="285">
        <f t="shared" si="13"/>
        <v>18</v>
      </c>
      <c r="Q45" s="283">
        <f t="shared" si="14"/>
        <v>32</v>
      </c>
    </row>
    <row r="46" spans="1:17" s="208" customFormat="1" ht="17.25" customHeight="1" thickBot="1">
      <c r="A46" s="304">
        <v>3</v>
      </c>
      <c r="B46" s="296" t="s">
        <v>254</v>
      </c>
      <c r="C46" s="338">
        <v>267483</v>
      </c>
      <c r="D46" s="305">
        <v>7245</v>
      </c>
      <c r="E46" s="321">
        <f>SUM(C46:D46)</f>
        <v>274728</v>
      </c>
      <c r="F46" s="338">
        <v>73844</v>
      </c>
      <c r="G46" s="305"/>
      <c r="H46" s="311">
        <f>SUM(F46:G46)</f>
        <v>73844</v>
      </c>
      <c r="I46" s="338">
        <f>'önállóan működő'!C46+'önállóan működő'!F46+'önállóan működő'!I46+'önállóan működő'!L46+'önállóan működő'!O46+'önállóan gazd.'!C46+'önállóan gazd.'!F46</f>
        <v>479045</v>
      </c>
      <c r="J46" s="305">
        <f>'önállóan működő'!D46+'önállóan működő'!G46+'önállóan működő'!J46+'önállóan működő'!M46+'önállóan működő'!P46+'önállóan gazd.'!D46+'önállóan gazd.'!G46</f>
        <v>8041</v>
      </c>
      <c r="K46" s="311">
        <f>'önállóan működő'!E46+'önállóan működő'!H46+'önállóan működő'!K46+'önállóan működő'!N46+'önállóan működő'!Q46+'önállóan gazd.'!E46+'önállóan gazd.'!H46</f>
        <v>487086</v>
      </c>
      <c r="L46" s="338">
        <v>6197</v>
      </c>
      <c r="M46" s="305">
        <v>2469</v>
      </c>
      <c r="N46" s="311">
        <f>SUM(L46:M46)</f>
        <v>8666</v>
      </c>
      <c r="O46" s="424">
        <f t="shared" si="12"/>
        <v>485242</v>
      </c>
      <c r="P46" s="285">
        <f t="shared" si="13"/>
        <v>10510</v>
      </c>
      <c r="Q46" s="283">
        <f t="shared" si="14"/>
        <v>495752</v>
      </c>
    </row>
    <row r="47" spans="1:17" s="180" customFormat="1" ht="17.25" customHeight="1" thickBot="1">
      <c r="A47" s="304">
        <v>4</v>
      </c>
      <c r="B47" s="296" t="s">
        <v>275</v>
      </c>
      <c r="C47" s="338"/>
      <c r="D47" s="305"/>
      <c r="E47" s="321">
        <f>SUM(C47:D47)</f>
        <v>0</v>
      </c>
      <c r="F47" s="338"/>
      <c r="G47" s="305"/>
      <c r="H47" s="311">
        <f>SUM(F47:G47)</f>
        <v>0</v>
      </c>
      <c r="I47" s="338">
        <f>'önállóan működő'!C47+'önállóan működő'!F47+'önállóan működő'!I47+'önállóan működő'!L47+'önállóan működő'!O47+'önállóan gazd.'!C47+'önállóan gazd.'!F47</f>
        <v>0</v>
      </c>
      <c r="J47" s="305">
        <f>'önállóan működő'!D47+'önállóan működő'!G47+'önállóan működő'!J47+'önállóan működő'!M47+'önállóan működő'!P47+'önállóan gazd.'!D47+'önállóan gazd.'!G47</f>
        <v>302</v>
      </c>
      <c r="K47" s="311">
        <f>'önállóan működő'!E47+'önállóan működő'!H47+'önállóan működő'!K47+'önállóan működő'!N47+'önállóan működő'!Q47+'önállóan gazd.'!E47+'önállóan gazd.'!H47</f>
        <v>302</v>
      </c>
      <c r="L47" s="338"/>
      <c r="M47" s="305"/>
      <c r="N47" s="311">
        <f>SUM(L47:M47)</f>
        <v>0</v>
      </c>
      <c r="O47" s="424">
        <f t="shared" si="12"/>
        <v>0</v>
      </c>
      <c r="P47" s="285">
        <f t="shared" si="13"/>
        <v>302</v>
      </c>
      <c r="Q47" s="283">
        <f t="shared" si="14"/>
        <v>302</v>
      </c>
    </row>
    <row r="48" spans="1:17" s="729" customFormat="1" ht="17.25" customHeight="1">
      <c r="A48" s="163" t="s">
        <v>98</v>
      </c>
      <c r="B48" s="149" t="s">
        <v>281</v>
      </c>
      <c r="C48" s="1070"/>
      <c r="D48" s="224"/>
      <c r="E48" s="1207">
        <f>C48+D48</f>
        <v>0</v>
      </c>
      <c r="F48" s="1070"/>
      <c r="G48" s="224"/>
      <c r="H48" s="352">
        <f>F48+G48</f>
        <v>0</v>
      </c>
      <c r="I48" s="1070">
        <f>'önállóan működő'!C48+'önállóan működő'!F48+'önállóan működő'!I48+'önállóan működő'!L48+'önállóan működő'!O48+'önállóan gazd.'!C48+'önállóan gazd.'!F48</f>
        <v>0</v>
      </c>
      <c r="J48" s="224">
        <f>'önállóan működő'!D48+'önállóan működő'!G48+'önállóan működő'!J48+'önállóan működő'!M48+'önállóan működő'!P48+'önállóan gazd.'!D48+'önállóan gazd.'!G48</f>
        <v>0</v>
      </c>
      <c r="K48" s="227">
        <f>'önállóan működő'!E48+'önállóan működő'!H48+'önállóan működő'!K48+'önállóan működő'!N48+'önállóan működő'!Q48+'önállóan gazd.'!E48+'önállóan gazd.'!H48</f>
        <v>0</v>
      </c>
      <c r="L48" s="1070"/>
      <c r="M48" s="224"/>
      <c r="N48" s="352">
        <f>L48+M48</f>
        <v>0</v>
      </c>
      <c r="O48" s="1280">
        <f t="shared" si="12"/>
        <v>0</v>
      </c>
      <c r="P48" s="292">
        <f t="shared" si="13"/>
        <v>0</v>
      </c>
      <c r="Q48" s="351">
        <f t="shared" si="14"/>
        <v>0</v>
      </c>
    </row>
    <row r="49" spans="1:17" s="180" customFormat="1" ht="17.25" customHeight="1">
      <c r="A49" s="161" t="s">
        <v>99</v>
      </c>
      <c r="B49" s="325" t="s">
        <v>380</v>
      </c>
      <c r="C49" s="881"/>
      <c r="D49" s="146"/>
      <c r="E49" s="1289">
        <f>C49+D49</f>
        <v>0</v>
      </c>
      <c r="F49" s="881"/>
      <c r="G49" s="146"/>
      <c r="H49" s="425">
        <f>F49+G49</f>
        <v>0</v>
      </c>
      <c r="I49" s="1070">
        <f>'önállóan működő'!C49+'önállóan működő'!F49+'önállóan működő'!I49+'önállóan működő'!L49+'önállóan működő'!O49+'önállóan gazd.'!C49+'önállóan gazd.'!F49</f>
        <v>0</v>
      </c>
      <c r="J49" s="224">
        <f>'önállóan működő'!D49+'önállóan működő'!G49+'önállóan működő'!J49+'önállóan működő'!M49+'önállóan működő'!P49+'önállóan gazd.'!D49+'önállóan gazd.'!G49</f>
        <v>0</v>
      </c>
      <c r="K49" s="227">
        <f>'önállóan működő'!E49+'önállóan működő'!H49+'önállóan működő'!K49+'önállóan működő'!N49+'önállóan működő'!Q49+'önállóan gazd.'!E49+'önállóan gazd.'!H49</f>
        <v>0</v>
      </c>
      <c r="L49" s="881"/>
      <c r="M49" s="146"/>
      <c r="N49" s="425">
        <f>L49+M49</f>
        <v>0</v>
      </c>
      <c r="O49" s="1280">
        <f t="shared" si="12"/>
        <v>0</v>
      </c>
      <c r="P49" s="292">
        <f t="shared" si="13"/>
        <v>0</v>
      </c>
      <c r="Q49" s="351">
        <f t="shared" si="14"/>
        <v>0</v>
      </c>
    </row>
    <row r="50" spans="1:17" s="180" customFormat="1" ht="17.25" customHeight="1" thickBot="1">
      <c r="A50" s="161" t="s">
        <v>100</v>
      </c>
      <c r="B50" s="325" t="s">
        <v>413</v>
      </c>
      <c r="C50" s="881"/>
      <c r="D50" s="146"/>
      <c r="E50" s="1289">
        <f>C50+D50</f>
        <v>0</v>
      </c>
      <c r="F50" s="881"/>
      <c r="G50" s="146"/>
      <c r="H50" s="425">
        <f>F50+G50</f>
        <v>0</v>
      </c>
      <c r="I50" s="1070">
        <f>'önállóan működő'!C50+'önállóan működő'!F50+'önállóan működő'!I50+'önállóan működő'!L50+'önállóan működő'!O50+'önállóan gazd.'!C50+'önállóan gazd.'!F50</f>
        <v>0</v>
      </c>
      <c r="J50" s="224">
        <f>'önállóan működő'!D50+'önállóan működő'!G50+'önállóan működő'!J50+'önállóan működő'!M50+'önállóan működő'!P50+'önállóan gazd.'!D50+'önállóan gazd.'!G50</f>
        <v>0</v>
      </c>
      <c r="K50" s="227">
        <f>'önállóan működő'!E50+'önállóan működő'!H50+'önállóan működő'!K50+'önállóan működő'!N50+'önállóan működő'!Q50+'önállóan gazd.'!E50+'önállóan gazd.'!H50</f>
        <v>0</v>
      </c>
      <c r="L50" s="881"/>
      <c r="M50" s="146"/>
      <c r="N50" s="425">
        <f>L50+M50</f>
        <v>0</v>
      </c>
      <c r="O50" s="1280">
        <f t="shared" si="12"/>
        <v>0</v>
      </c>
      <c r="P50" s="292">
        <f t="shared" si="13"/>
        <v>0</v>
      </c>
      <c r="Q50" s="351">
        <f t="shared" si="14"/>
        <v>0</v>
      </c>
    </row>
    <row r="51" spans="1:17" s="208" customFormat="1" ht="17.25" customHeight="1" thickBot="1">
      <c r="A51" s="304">
        <v>5</v>
      </c>
      <c r="B51" s="296" t="s">
        <v>178</v>
      </c>
      <c r="C51" s="338">
        <f aca="true" t="shared" si="19" ref="C51:N51">SUM(C48:C50)</f>
        <v>0</v>
      </c>
      <c r="D51" s="305">
        <f t="shared" si="19"/>
        <v>0</v>
      </c>
      <c r="E51" s="321">
        <f t="shared" si="19"/>
        <v>0</v>
      </c>
      <c r="F51" s="338">
        <f>SUM(F48:F50)</f>
        <v>0</v>
      </c>
      <c r="G51" s="305">
        <f>SUM(G48:G50)</f>
        <v>0</v>
      </c>
      <c r="H51" s="311">
        <f>SUM(H48:H50)</f>
        <v>0</v>
      </c>
      <c r="I51" s="338">
        <f t="shared" si="19"/>
        <v>0</v>
      </c>
      <c r="J51" s="305">
        <f t="shared" si="19"/>
        <v>0</v>
      </c>
      <c r="K51" s="311">
        <f t="shared" si="19"/>
        <v>0</v>
      </c>
      <c r="L51" s="338">
        <f t="shared" si="19"/>
        <v>0</v>
      </c>
      <c r="M51" s="305">
        <f t="shared" si="19"/>
        <v>0</v>
      </c>
      <c r="N51" s="311">
        <f t="shared" si="19"/>
        <v>0</v>
      </c>
      <c r="O51" s="424">
        <f t="shared" si="12"/>
        <v>0</v>
      </c>
      <c r="P51" s="285">
        <f t="shared" si="13"/>
        <v>0</v>
      </c>
      <c r="Q51" s="283">
        <f t="shared" si="14"/>
        <v>0</v>
      </c>
    </row>
    <row r="52" spans="1:17" s="208" customFormat="1" ht="17.25" customHeight="1" thickBot="1">
      <c r="A52" s="734">
        <v>6</v>
      </c>
      <c r="B52" s="735" t="s">
        <v>285</v>
      </c>
      <c r="C52" s="1079"/>
      <c r="D52" s="330"/>
      <c r="E52" s="1291">
        <f>C52+D52</f>
        <v>0</v>
      </c>
      <c r="F52" s="1079"/>
      <c r="G52" s="330"/>
      <c r="H52" s="284">
        <f>F52+G52</f>
        <v>0</v>
      </c>
      <c r="I52" s="338">
        <f>'önállóan működő'!C52+'önállóan működő'!F52+'önállóan működő'!I52+'önállóan működő'!L52+'önállóan működő'!O52+'önállóan gazd.'!C52+'önállóan gazd.'!F52</f>
        <v>0</v>
      </c>
      <c r="J52" s="305">
        <f>'önállóan működő'!D52+'önállóan működő'!G52+'önállóan működő'!J52+'önállóan működő'!M52+'önállóan működő'!P52+'önállóan gazd.'!D52+'önállóan gazd.'!G52</f>
        <v>0</v>
      </c>
      <c r="K52" s="311">
        <f>'önállóan működő'!E52+'önállóan működő'!H52+'önállóan működő'!K52+'önállóan működő'!N52+'önállóan működő'!Q52+'önállóan gazd.'!E52+'önállóan gazd.'!H52</f>
        <v>0</v>
      </c>
      <c r="L52" s="1079"/>
      <c r="M52" s="330">
        <v>1358</v>
      </c>
      <c r="N52" s="284">
        <f>L52+M52</f>
        <v>1358</v>
      </c>
      <c r="O52" s="424">
        <f t="shared" si="12"/>
        <v>0</v>
      </c>
      <c r="P52" s="285">
        <f t="shared" si="13"/>
        <v>1358</v>
      </c>
      <c r="Q52" s="283">
        <f t="shared" si="14"/>
        <v>1358</v>
      </c>
    </row>
    <row r="53" spans="1:17" s="180" customFormat="1" ht="17.25" customHeight="1">
      <c r="A53" s="144" t="s">
        <v>98</v>
      </c>
      <c r="B53" s="145" t="s">
        <v>382</v>
      </c>
      <c r="C53" s="1074"/>
      <c r="D53" s="147"/>
      <c r="E53" s="1292">
        <f>C53+D53</f>
        <v>0</v>
      </c>
      <c r="F53" s="1074"/>
      <c r="G53" s="147"/>
      <c r="H53" s="431">
        <f>F53+G53</f>
        <v>0</v>
      </c>
      <c r="I53" s="1070">
        <f>'önállóan működő'!C53+'önállóan működő'!F53+'önállóan működő'!I53+'önállóan működő'!L53+'önállóan működő'!O53+'önállóan gazd.'!C53+'önállóan gazd.'!F53</f>
        <v>0</v>
      </c>
      <c r="J53" s="224">
        <f>'önállóan működő'!D53+'önállóan működő'!G53+'önállóan működő'!J53+'önállóan működő'!M53+'önállóan működő'!P53+'önállóan gazd.'!D53+'önállóan gazd.'!G53</f>
        <v>0</v>
      </c>
      <c r="K53" s="227">
        <f>'önállóan működő'!E53+'önállóan működő'!H53+'önállóan működő'!K53+'önállóan működő'!N53+'önállóan működő'!Q53+'önállóan gazd.'!E53+'önállóan gazd.'!H53</f>
        <v>0</v>
      </c>
      <c r="L53" s="1074"/>
      <c r="M53" s="147"/>
      <c r="N53" s="431">
        <f>L53+M53</f>
        <v>0</v>
      </c>
      <c r="O53" s="1280">
        <f t="shared" si="12"/>
        <v>0</v>
      </c>
      <c r="P53" s="292">
        <f t="shared" si="13"/>
        <v>0</v>
      </c>
      <c r="Q53" s="351">
        <f t="shared" si="14"/>
        <v>0</v>
      </c>
    </row>
    <row r="54" spans="1:17" s="180" customFormat="1" ht="17.25" customHeight="1" thickBot="1">
      <c r="A54" s="326" t="s">
        <v>99</v>
      </c>
      <c r="B54" s="149" t="s">
        <v>383</v>
      </c>
      <c r="C54" s="1071"/>
      <c r="D54" s="312"/>
      <c r="E54" s="1207">
        <f>C54+D54</f>
        <v>0</v>
      </c>
      <c r="F54" s="1071"/>
      <c r="G54" s="312"/>
      <c r="H54" s="352">
        <f>F54+G54</f>
        <v>0</v>
      </c>
      <c r="I54" s="1070">
        <f>'önállóan működő'!C54+'önállóan működő'!F54+'önállóan működő'!I54+'önállóan működő'!L54+'önállóan működő'!O54+'önállóan gazd.'!C54+'önállóan gazd.'!F54</f>
        <v>0</v>
      </c>
      <c r="J54" s="224">
        <f>'önállóan működő'!D54+'önállóan működő'!G54+'önállóan működő'!J54+'önállóan működő'!M54+'önállóan működő'!P54+'önállóan gazd.'!D54+'önállóan gazd.'!G54</f>
        <v>0</v>
      </c>
      <c r="K54" s="227">
        <f>'önállóan működő'!E54+'önállóan működő'!H54+'önállóan működő'!K54+'önállóan működő'!N54+'önállóan működő'!Q54+'önállóan gazd.'!E54+'önállóan gazd.'!H54</f>
        <v>0</v>
      </c>
      <c r="L54" s="1071"/>
      <c r="M54" s="312"/>
      <c r="N54" s="352">
        <f>L54+M54</f>
        <v>0</v>
      </c>
      <c r="O54" s="1280">
        <f t="shared" si="12"/>
        <v>0</v>
      </c>
      <c r="P54" s="292">
        <f t="shared" si="13"/>
        <v>0</v>
      </c>
      <c r="Q54" s="351">
        <f t="shared" si="14"/>
        <v>0</v>
      </c>
    </row>
    <row r="55" spans="1:17" s="208" customFormat="1" ht="17.25" customHeight="1" thickBot="1">
      <c r="A55" s="304">
        <v>7</v>
      </c>
      <c r="B55" s="296" t="s">
        <v>181</v>
      </c>
      <c r="C55" s="338">
        <f aca="true" t="shared" si="20" ref="C55:N55">SUM(C53:C54)</f>
        <v>0</v>
      </c>
      <c r="D55" s="305">
        <f t="shared" si="20"/>
        <v>0</v>
      </c>
      <c r="E55" s="321">
        <f t="shared" si="20"/>
        <v>0</v>
      </c>
      <c r="F55" s="338">
        <f>SUM(F53:F54)</f>
        <v>0</v>
      </c>
      <c r="G55" s="305">
        <f>SUM(G53:G54)</f>
        <v>0</v>
      </c>
      <c r="H55" s="311">
        <f>SUM(H53:H54)</f>
        <v>0</v>
      </c>
      <c r="I55" s="338">
        <f>SUM(I53:I54)</f>
        <v>0</v>
      </c>
      <c r="J55" s="305">
        <f t="shared" si="20"/>
        <v>0</v>
      </c>
      <c r="K55" s="311">
        <f t="shared" si="20"/>
        <v>0</v>
      </c>
      <c r="L55" s="1081">
        <f t="shared" si="20"/>
        <v>0</v>
      </c>
      <c r="M55" s="1083">
        <f t="shared" si="20"/>
        <v>0</v>
      </c>
      <c r="N55" s="1085">
        <f t="shared" si="20"/>
        <v>0</v>
      </c>
      <c r="O55" s="424">
        <f t="shared" si="12"/>
        <v>0</v>
      </c>
      <c r="P55" s="285">
        <f t="shared" si="13"/>
        <v>0</v>
      </c>
      <c r="Q55" s="283">
        <f t="shared" si="14"/>
        <v>0</v>
      </c>
    </row>
    <row r="56" spans="1:19" s="180" customFormat="1" ht="17.25" customHeight="1" thickBot="1">
      <c r="A56" s="340">
        <v>8</v>
      </c>
      <c r="B56" s="341" t="s">
        <v>45</v>
      </c>
      <c r="C56" s="1075">
        <f aca="true" t="shared" si="21" ref="C56:N56">C34-C40-C45-C46-C47-C51-C52-C55-C57-C58-C59</f>
        <v>700916</v>
      </c>
      <c r="D56" s="1077">
        <f t="shared" si="21"/>
        <v>109</v>
      </c>
      <c r="E56" s="1293">
        <f t="shared" si="21"/>
        <v>701025</v>
      </c>
      <c r="F56" s="1075">
        <f>F34-F40-F45-F46-F47-F51-F52-F55-F57-F58-F59</f>
        <v>399407</v>
      </c>
      <c r="G56" s="1077">
        <f>G34-G40-G45-G46-G47-G51-G52-G55-G57-G58-G59</f>
        <v>29677</v>
      </c>
      <c r="H56" s="1268">
        <f>H34-H40-H45-H46-H47-H51-H52-H55-H57-H58-H59</f>
        <v>429084</v>
      </c>
      <c r="I56" s="1075">
        <f t="shared" si="21"/>
        <v>4296516</v>
      </c>
      <c r="J56" s="1077">
        <f t="shared" si="21"/>
        <v>30434</v>
      </c>
      <c r="K56" s="1268">
        <f t="shared" si="21"/>
        <v>4326950</v>
      </c>
      <c r="L56" s="1082">
        <f t="shared" si="21"/>
        <v>1390051</v>
      </c>
      <c r="M56" s="1084">
        <f t="shared" si="21"/>
        <v>60051</v>
      </c>
      <c r="N56" s="752">
        <f t="shared" si="21"/>
        <v>1450102</v>
      </c>
      <c r="O56" s="1267">
        <f>O34-O40-O45-O46-O47-O51-O52-O55-O57-O58-O59</f>
        <v>5686567</v>
      </c>
      <c r="P56" s="1084">
        <f>P34-P40-P45-P46-P47-P51-P52-P55-P57-P58-P59</f>
        <v>90485</v>
      </c>
      <c r="Q56" s="752">
        <f>Q34-Q40-Q45-Q46-Q47-Q51-Q52-Q55-Q57-Q58-Q59</f>
        <v>5777052</v>
      </c>
      <c r="R56" s="183"/>
      <c r="S56" s="184">
        <f>SUM(I56:J56)</f>
        <v>4326950</v>
      </c>
    </row>
    <row r="57" spans="1:17" s="208" customFormat="1" ht="17.25" customHeight="1">
      <c r="A57" s="327" t="s">
        <v>385</v>
      </c>
      <c r="B57" s="328" t="s">
        <v>184</v>
      </c>
      <c r="C57" s="1076">
        <v>18132</v>
      </c>
      <c r="D57" s="318"/>
      <c r="E57" s="1294">
        <f>SUM(C57:D57)</f>
        <v>18132</v>
      </c>
      <c r="F57" s="1076">
        <v>1350</v>
      </c>
      <c r="G57" s="318"/>
      <c r="H57" s="432">
        <f>SUM(F57:G57)</f>
        <v>1350</v>
      </c>
      <c r="I57" s="1270">
        <f>'önállóan működő'!C57+'önállóan működő'!F57+'önállóan működő'!I57+'önállóan működő'!L57+'önállóan működő'!O57+'önállóan gazd.'!C57+'önállóan gazd.'!F57</f>
        <v>25803</v>
      </c>
      <c r="J57" s="1271">
        <f>'önállóan működő'!D57+'önállóan működő'!G57+'önállóan működő'!J57+'önállóan működő'!M57+'önállóan működő'!P57+'önállóan gazd.'!D57+'önállóan gazd.'!G57</f>
        <v>0</v>
      </c>
      <c r="K57" s="1272">
        <f>'önállóan működő'!E57+'önállóan működő'!H57+'önállóan működő'!K57+'önállóan működő'!N57+'önállóan működő'!Q57+'önállóan gazd.'!E57+'önállóan gazd.'!H57</f>
        <v>25803</v>
      </c>
      <c r="L57" s="1270">
        <v>3246</v>
      </c>
      <c r="M57" s="1271"/>
      <c r="N57" s="774">
        <f>SUM(L57:M57)</f>
        <v>3246</v>
      </c>
      <c r="O57" s="1283">
        <f aca="true" t="shared" si="22" ref="O57:Q59">I57+L57</f>
        <v>29049</v>
      </c>
      <c r="P57" s="1160">
        <f t="shared" si="22"/>
        <v>0</v>
      </c>
      <c r="Q57" s="774">
        <f t="shared" si="22"/>
        <v>29049</v>
      </c>
    </row>
    <row r="58" spans="1:17" s="208" customFormat="1" ht="17.25" customHeight="1">
      <c r="A58" s="327" t="s">
        <v>183</v>
      </c>
      <c r="B58" s="328" t="s">
        <v>384</v>
      </c>
      <c r="C58" s="1076"/>
      <c r="D58" s="318"/>
      <c r="E58" s="1291">
        <f>SUM(C58:D58)</f>
        <v>0</v>
      </c>
      <c r="F58" s="1076"/>
      <c r="G58" s="318"/>
      <c r="H58" s="284">
        <f>SUM(F58:G58)</f>
        <v>0</v>
      </c>
      <c r="I58" s="1076">
        <f>'önállóan működő'!C58+'önállóan működő'!F58+'önállóan működő'!I58+'önállóan működő'!L58+'önállóan működő'!O58+'önállóan gazd.'!C58+'önállóan gazd.'!F58</f>
        <v>0</v>
      </c>
      <c r="J58" s="318">
        <f>'önállóan működő'!D58+'önállóan működő'!G58+'önállóan működő'!J58+'önállóan működő'!M58+'önállóan működő'!P58+'önállóan gazd.'!D58+'önállóan gazd.'!G58</f>
        <v>0</v>
      </c>
      <c r="K58" s="1105">
        <f>'önállóan működő'!E58+'önállóan működő'!H58+'önállóan működő'!K58+'önállóan működő'!N58+'önállóan működő'!Q58+'önállóan gazd.'!E58+'önállóan gazd.'!H58</f>
        <v>0</v>
      </c>
      <c r="L58" s="1076"/>
      <c r="M58" s="318"/>
      <c r="N58" s="432">
        <f>SUM(L58:M58)</f>
        <v>0</v>
      </c>
      <c r="O58" s="1284">
        <f t="shared" si="22"/>
        <v>0</v>
      </c>
      <c r="P58" s="287">
        <f t="shared" si="22"/>
        <v>0</v>
      </c>
      <c r="Q58" s="432">
        <f t="shared" si="22"/>
        <v>0</v>
      </c>
    </row>
    <row r="59" spans="1:17" s="208" customFormat="1" ht="17.25" customHeight="1" thickBot="1">
      <c r="A59" s="342">
        <v>10</v>
      </c>
      <c r="B59" s="343"/>
      <c r="C59" s="344"/>
      <c r="D59" s="345"/>
      <c r="E59" s="1295">
        <f>SUM(C59:D59)</f>
        <v>0</v>
      </c>
      <c r="F59" s="344"/>
      <c r="G59" s="345"/>
      <c r="H59" s="346">
        <f>SUM(F59:G59)</f>
        <v>0</v>
      </c>
      <c r="I59" s="1141">
        <f>'önállóan működő'!C59+'önállóan működő'!F59+'önállóan működő'!I59+'önállóan működő'!L59+'önállóan működő'!O59+'önállóan gazd.'!C59+'önállóan gazd.'!F59</f>
        <v>0</v>
      </c>
      <c r="J59" s="345">
        <f>'önállóan működő'!D59+'önállóan működő'!G59+'önállóan működő'!J59+'önállóan működő'!M59+'önállóan működő'!P59+'önállóan gazd.'!D59+'önállóan gazd.'!G59</f>
        <v>0</v>
      </c>
      <c r="K59" s="1276">
        <f>'önállóan működő'!E59+'önállóan működő'!H59+'önállóan működő'!K59+'önállóan működő'!N59+'önállóan működő'!Q59+'önállóan gazd.'!E59+'önállóan gazd.'!H59</f>
        <v>0</v>
      </c>
      <c r="L59" s="344"/>
      <c r="M59" s="345"/>
      <c r="N59" s="346">
        <f>SUM(L59:M59)</f>
        <v>0</v>
      </c>
      <c r="O59" s="437">
        <f t="shared" si="22"/>
        <v>0</v>
      </c>
      <c r="P59" s="1277">
        <f t="shared" si="22"/>
        <v>0</v>
      </c>
      <c r="Q59" s="438">
        <f t="shared" si="22"/>
        <v>0</v>
      </c>
    </row>
    <row r="60" spans="1:17" s="159" customFormat="1" ht="17.25" customHeight="1" thickBot="1" thickTop="1">
      <c r="A60" s="334" t="s">
        <v>109</v>
      </c>
      <c r="B60" s="336" t="s">
        <v>182</v>
      </c>
      <c r="C60" s="355">
        <f aca="true" t="shared" si="23" ref="C60:N60">C40+C45+C46+C47+C51+C52+C55+C56+C57+C58+C59</f>
        <v>986531</v>
      </c>
      <c r="D60" s="335">
        <f t="shared" si="23"/>
        <v>7354</v>
      </c>
      <c r="E60" s="747">
        <f t="shared" si="23"/>
        <v>993885</v>
      </c>
      <c r="F60" s="355">
        <f>F40+F45+F46+F47+F51+F52+F55+F56+F57+F58+F59</f>
        <v>474601</v>
      </c>
      <c r="G60" s="335">
        <f>G40+G45+G46+G47+G51+G52+G55+G56+G57+G58+G59</f>
        <v>29677</v>
      </c>
      <c r="H60" s="365">
        <f>H40+H45+H46+H47+H51+H52+H55+H56+H57+H58+H59</f>
        <v>504278</v>
      </c>
      <c r="I60" s="1266">
        <f t="shared" si="23"/>
        <v>4801364</v>
      </c>
      <c r="J60" s="335">
        <f t="shared" si="23"/>
        <v>38777</v>
      </c>
      <c r="K60" s="365">
        <f t="shared" si="23"/>
        <v>4840141</v>
      </c>
      <c r="L60" s="355">
        <f t="shared" si="23"/>
        <v>1400840</v>
      </c>
      <c r="M60" s="335">
        <f t="shared" si="23"/>
        <v>63896</v>
      </c>
      <c r="N60" s="365">
        <f t="shared" si="23"/>
        <v>1464736</v>
      </c>
      <c r="O60" s="747">
        <f>O40+O45+O46+O47+O51+O52+O55+O56+O57+O58+O59</f>
        <v>6202204</v>
      </c>
      <c r="P60" s="749">
        <f>P40+P45+P46+P47+P51+P52+P55+P56+P57+P58+P59</f>
        <v>102673</v>
      </c>
      <c r="Q60" s="365">
        <f>Q40+Q45+Q46+Q47+Q51+Q52+Q55+Q56+Q57+Q58+Q59</f>
        <v>6304877</v>
      </c>
    </row>
    <row r="61" spans="1:17" s="94" customFormat="1" ht="13.5" customHeight="1" thickBot="1" thickTop="1">
      <c r="A61" s="170"/>
      <c r="B61" s="171"/>
      <c r="C61" s="172"/>
      <c r="D61" s="172"/>
      <c r="E61" s="173"/>
      <c r="F61" s="172"/>
      <c r="G61" s="172"/>
      <c r="H61" s="173"/>
      <c r="I61" s="172"/>
      <c r="J61" s="172"/>
      <c r="K61" s="173"/>
      <c r="L61" s="172"/>
      <c r="M61" s="172"/>
      <c r="N61" s="173"/>
      <c r="O61" s="172"/>
      <c r="P61" s="172"/>
      <c r="Q61" s="173"/>
    </row>
    <row r="62" spans="1:17" s="180" customFormat="1" ht="17.25" customHeight="1" thickBot="1" thickTop="1">
      <c r="A62" s="174"/>
      <c r="B62" s="175" t="s">
        <v>593</v>
      </c>
      <c r="C62" s="176">
        <v>63.5</v>
      </c>
      <c r="D62" s="177"/>
      <c r="E62" s="178">
        <f>C62+D62</f>
        <v>63.5</v>
      </c>
      <c r="F62" s="176">
        <v>27.75</v>
      </c>
      <c r="G62" s="177"/>
      <c r="H62" s="178">
        <f>F62+G62</f>
        <v>27.75</v>
      </c>
      <c r="I62" s="205">
        <f>'önállóan működő'!C62+'önállóan működő'!F62+'önállóan működő'!I62+'önállóan működő'!L62+'önállóan működő'!O62+'önállóan gazd.'!C62+'önállóan gazd.'!F62</f>
        <v>631</v>
      </c>
      <c r="J62" s="205">
        <f>'önállóan működő'!D62+'önállóan működő'!G62+'önállóan működő'!J62+'önállóan működő'!M62+'önállóan működő'!P62+'önállóan gazd.'!D62+'önállóan gazd.'!G62</f>
        <v>0</v>
      </c>
      <c r="K62" s="913">
        <f>'önállóan működő'!E62+'önállóan működő'!H62+'önállóan működő'!K62+'önállóan működő'!N62+'önállóan működő'!Q62+'önállóan gazd.'!E62+'önállóan gazd.'!H62</f>
        <v>631</v>
      </c>
      <c r="L62" s="1416">
        <v>174</v>
      </c>
      <c r="M62" s="177"/>
      <c r="N62" s="178">
        <f>L62+M62</f>
        <v>174</v>
      </c>
      <c r="O62" s="204">
        <f>I62+L62</f>
        <v>805</v>
      </c>
      <c r="P62" s="205">
        <f aca="true" t="shared" si="24" ref="O62:Q63">J62+M62</f>
        <v>0</v>
      </c>
      <c r="Q62" s="206">
        <f t="shared" si="24"/>
        <v>805</v>
      </c>
    </row>
    <row r="63" spans="1:17" s="180" customFormat="1" ht="17.25" customHeight="1" thickBot="1" thickTop="1">
      <c r="A63" s="174"/>
      <c r="B63" s="175" t="s">
        <v>594</v>
      </c>
      <c r="C63" s="176">
        <v>0</v>
      </c>
      <c r="D63" s="177"/>
      <c r="E63" s="178">
        <f>C63+D63</f>
        <v>0</v>
      </c>
      <c r="F63" s="176">
        <v>0</v>
      </c>
      <c r="G63" s="177"/>
      <c r="H63" s="178">
        <f>F63+G63</f>
        <v>0</v>
      </c>
      <c r="I63" s="1269">
        <f>'önállóan működő'!C63+'önállóan működő'!F63+'önállóan működő'!I63+'önállóan működő'!L63+'önállóan működő'!O63+'önállóan gazd.'!C63+'önállóan gazd.'!F63</f>
        <v>0</v>
      </c>
      <c r="J63" s="205">
        <f>'önállóan működő'!D63+'önállóan működő'!G63+'önállóan működő'!J63+'önállóan működő'!M63+'önállóan működő'!P63+'önállóan gazd.'!D63+'önállóan gazd.'!G63</f>
        <v>0</v>
      </c>
      <c r="K63" s="913">
        <f>'önállóan működő'!E63+'önállóan működő'!H63+'önállóan működő'!K63+'önállóan működő'!N63+'önállóan működő'!Q63+'önállóan gazd.'!E63+'önállóan gazd.'!H63</f>
        <v>0</v>
      </c>
      <c r="L63" s="176">
        <v>0</v>
      </c>
      <c r="M63" s="177"/>
      <c r="N63" s="178">
        <f>L63+M63</f>
        <v>0</v>
      </c>
      <c r="O63" s="204">
        <f t="shared" si="24"/>
        <v>0</v>
      </c>
      <c r="P63" s="205">
        <f t="shared" si="24"/>
        <v>0</v>
      </c>
      <c r="Q63" s="206">
        <f t="shared" si="24"/>
        <v>0</v>
      </c>
    </row>
    <row r="64" ht="16.5" thickTop="1">
      <c r="A64" s="409"/>
    </row>
  </sheetData>
  <sheetProtection/>
  <mergeCells count="5"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5" r:id="rId1"/>
  <headerFooter alignWithMargins="0">
    <oddFooter>&amp;L&amp;F&amp;C&amp;D, 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1101" customWidth="1"/>
    <col min="2" max="2" width="78.375" style="729" customWidth="1"/>
    <col min="3" max="14" width="14.875" style="729" customWidth="1"/>
    <col min="15" max="17" width="14.875" style="733" customWidth="1"/>
    <col min="18" max="16384" width="9.375" style="731" customWidth="1"/>
  </cols>
  <sheetData>
    <row r="1" spans="1:17" s="2" customFormat="1" ht="10.5" customHeight="1">
      <c r="A1" s="294"/>
      <c r="B1" s="295"/>
      <c r="C1" s="295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918"/>
      <c r="O1" s="391"/>
      <c r="P1" s="391"/>
      <c r="Q1" s="867" t="s">
        <v>862</v>
      </c>
    </row>
    <row r="2" spans="1:17" s="2" customFormat="1" ht="10.5" customHeight="1">
      <c r="A2" s="294"/>
      <c r="B2" s="295"/>
      <c r="C2" s="295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918"/>
      <c r="O2" s="391"/>
      <c r="P2" s="391"/>
      <c r="Q2" s="867" t="s">
        <v>93</v>
      </c>
    </row>
    <row r="3" spans="1:17" s="2" customFormat="1" ht="15.75">
      <c r="A3" s="294"/>
      <c r="B3" s="295"/>
      <c r="C3" s="295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918"/>
      <c r="O3" s="391"/>
      <c r="P3" s="391"/>
      <c r="Q3" s="867" t="s">
        <v>123</v>
      </c>
    </row>
    <row r="4" spans="1:17" s="3" customFormat="1" ht="20.25">
      <c r="A4" s="1899" t="s">
        <v>574</v>
      </c>
      <c r="B4" s="1899"/>
      <c r="C4" s="1899"/>
      <c r="D4" s="1899"/>
      <c r="E4" s="1899"/>
      <c r="F4" s="1899"/>
      <c r="G4" s="1899"/>
      <c r="H4" s="1899"/>
      <c r="I4" s="1899"/>
      <c r="J4" s="1899"/>
      <c r="K4" s="1899"/>
      <c r="L4" s="1899"/>
      <c r="M4" s="1899"/>
      <c r="N4" s="1899"/>
      <c r="O4" s="1899"/>
      <c r="P4" s="1899"/>
      <c r="Q4" s="1899"/>
    </row>
    <row r="5" spans="1:17" s="4" customFormat="1" ht="18.75">
      <c r="A5" s="1900" t="s">
        <v>585</v>
      </c>
      <c r="B5" s="1900"/>
      <c r="C5" s="1900"/>
      <c r="D5" s="1900"/>
      <c r="E5" s="1900"/>
      <c r="F5" s="1900"/>
      <c r="G5" s="1900"/>
      <c r="H5" s="1900"/>
      <c r="I5" s="1900"/>
      <c r="J5" s="1900"/>
      <c r="K5" s="1900"/>
      <c r="L5" s="1900"/>
      <c r="M5" s="1900"/>
      <c r="N5" s="1900"/>
      <c r="O5" s="1900"/>
      <c r="P5" s="1900"/>
      <c r="Q5" s="1900"/>
    </row>
    <row r="6" spans="1:62" s="2" customFormat="1" ht="16.5" customHeight="1" thickBot="1">
      <c r="A6" s="294"/>
      <c r="B6" s="295"/>
      <c r="C6" s="295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871"/>
      <c r="O6" s="871"/>
      <c r="P6" s="871"/>
      <c r="Q6" s="871" t="s">
        <v>134</v>
      </c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17" s="62" customFormat="1" ht="18">
      <c r="A7" s="229" t="s">
        <v>124</v>
      </c>
      <c r="B7" s="93" t="s">
        <v>125</v>
      </c>
      <c r="C7" s="1901" t="s">
        <v>341</v>
      </c>
      <c r="D7" s="1902"/>
      <c r="E7" s="1902"/>
      <c r="F7" s="1901" t="s">
        <v>51</v>
      </c>
      <c r="G7" s="1902"/>
      <c r="H7" s="1903"/>
      <c r="I7" s="1885" t="s">
        <v>135</v>
      </c>
      <c r="J7" s="1886"/>
      <c r="K7" s="1887"/>
      <c r="L7" s="1885" t="s">
        <v>136</v>
      </c>
      <c r="M7" s="1886"/>
      <c r="N7" s="1887"/>
      <c r="O7" s="1896" t="s">
        <v>59</v>
      </c>
      <c r="P7" s="1897"/>
      <c r="Q7" s="1898"/>
    </row>
    <row r="8" spans="1:17" s="62" customFormat="1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24" t="s">
        <v>420</v>
      </c>
      <c r="M8" s="23" t="s">
        <v>128</v>
      </c>
      <c r="N8" s="11" t="s">
        <v>661</v>
      </c>
      <c r="O8" s="24" t="s">
        <v>420</v>
      </c>
      <c r="P8" s="23" t="s">
        <v>128</v>
      </c>
      <c r="Q8" s="11" t="s">
        <v>661</v>
      </c>
    </row>
    <row r="9" spans="1:17" s="63" customFormat="1" ht="13.5" thickBot="1">
      <c r="A9" s="411">
        <v>1</v>
      </c>
      <c r="B9" s="411">
        <v>2</v>
      </c>
      <c r="C9" s="412">
        <v>3</v>
      </c>
      <c r="D9" s="413">
        <v>4</v>
      </c>
      <c r="E9" s="415">
        <v>5</v>
      </c>
      <c r="F9" s="413">
        <v>6</v>
      </c>
      <c r="G9" s="413">
        <v>7</v>
      </c>
      <c r="H9" s="413">
        <v>8</v>
      </c>
      <c r="I9" s="412">
        <v>9</v>
      </c>
      <c r="J9" s="413">
        <v>10</v>
      </c>
      <c r="K9" s="415">
        <v>11</v>
      </c>
      <c r="L9" s="413">
        <v>12</v>
      </c>
      <c r="M9" s="413">
        <v>13</v>
      </c>
      <c r="N9" s="415">
        <v>14</v>
      </c>
      <c r="O9" s="413">
        <v>15</v>
      </c>
      <c r="P9" s="413">
        <v>16</v>
      </c>
      <c r="Q9" s="415">
        <v>17</v>
      </c>
    </row>
    <row r="10" spans="1:17" s="64" customFormat="1" ht="16.5" thickBot="1">
      <c r="A10" s="371"/>
      <c r="B10" s="337" t="s">
        <v>129</v>
      </c>
      <c r="C10" s="1095"/>
      <c r="D10" s="1096"/>
      <c r="E10" s="1097"/>
      <c r="F10" s="1098"/>
      <c r="G10" s="1099"/>
      <c r="H10" s="1097"/>
      <c r="I10" s="1098"/>
      <c r="J10" s="1099"/>
      <c r="K10" s="1097"/>
      <c r="L10" s="1100"/>
      <c r="M10" s="1109"/>
      <c r="N10" s="1108"/>
      <c r="O10" s="1100"/>
      <c r="P10" s="1109"/>
      <c r="Q10" s="1110"/>
    </row>
    <row r="11" spans="1:17" s="64" customFormat="1" ht="15" customHeight="1" thickBot="1">
      <c r="A11" s="304">
        <v>1</v>
      </c>
      <c r="B11" s="296" t="s">
        <v>113</v>
      </c>
      <c r="C11" s="305">
        <v>94158</v>
      </c>
      <c r="D11" s="305"/>
      <c r="E11" s="349">
        <f>SUM(C11:D11)</f>
        <v>94158</v>
      </c>
      <c r="F11" s="305">
        <v>100416</v>
      </c>
      <c r="G11" s="305"/>
      <c r="H11" s="349">
        <f>SUM(F11:G11)</f>
        <v>100416</v>
      </c>
      <c r="I11" s="305">
        <v>7889</v>
      </c>
      <c r="J11" s="305">
        <v>-119</v>
      </c>
      <c r="K11" s="349">
        <f aca="true" t="shared" si="0" ref="K11:K16">SUM(I11:J11)</f>
        <v>7770</v>
      </c>
      <c r="L11" s="305">
        <v>17681</v>
      </c>
      <c r="M11" s="305">
        <v>2085</v>
      </c>
      <c r="N11" s="309">
        <f aca="true" t="shared" si="1" ref="N11:N16">SUM(L11:M11)</f>
        <v>19766</v>
      </c>
      <c r="O11" s="1124">
        <v>249</v>
      </c>
      <c r="P11" s="378">
        <v>1457</v>
      </c>
      <c r="Q11" s="1112">
        <f aca="true" t="shared" si="2" ref="Q11:Q16">SUM(O11:P11)</f>
        <v>1706</v>
      </c>
    </row>
    <row r="12" spans="1:17" s="64" customFormat="1" ht="16.5" thickBot="1">
      <c r="A12" s="308">
        <v>2</v>
      </c>
      <c r="B12" s="296" t="s">
        <v>202</v>
      </c>
      <c r="C12" s="307">
        <v>16458</v>
      </c>
      <c r="D12" s="305"/>
      <c r="E12" s="349">
        <f>SUM(C12:D12)</f>
        <v>16458</v>
      </c>
      <c r="F12" s="307">
        <v>18433</v>
      </c>
      <c r="G12" s="305"/>
      <c r="H12" s="349">
        <f>SUM(F12:G12)</f>
        <v>18433</v>
      </c>
      <c r="I12" s="307">
        <v>1974</v>
      </c>
      <c r="J12" s="305">
        <v>-200</v>
      </c>
      <c r="K12" s="349">
        <f t="shared" si="0"/>
        <v>1774</v>
      </c>
      <c r="L12" s="307">
        <v>9190</v>
      </c>
      <c r="M12" s="305">
        <v>154</v>
      </c>
      <c r="N12" s="349">
        <f t="shared" si="1"/>
        <v>9344</v>
      </c>
      <c r="O12" s="1124">
        <v>566</v>
      </c>
      <c r="P12" s="378">
        <v>147</v>
      </c>
      <c r="Q12" s="1112">
        <f t="shared" si="2"/>
        <v>713</v>
      </c>
    </row>
    <row r="13" spans="1:17" s="68" customFormat="1" ht="16.5" thickBot="1">
      <c r="A13" s="308">
        <v>3</v>
      </c>
      <c r="B13" s="296" t="s">
        <v>116</v>
      </c>
      <c r="C13" s="307">
        <v>536225</v>
      </c>
      <c r="D13" s="305">
        <v>22657</v>
      </c>
      <c r="E13" s="349">
        <f>SUM(C13:D13)</f>
        <v>558882</v>
      </c>
      <c r="F13" s="305">
        <v>2550</v>
      </c>
      <c r="G13" s="305"/>
      <c r="H13" s="349">
        <f>SUM(F13:G13)</f>
        <v>2550</v>
      </c>
      <c r="I13" s="305">
        <v>13734</v>
      </c>
      <c r="J13" s="305">
        <v>3845</v>
      </c>
      <c r="K13" s="349">
        <f t="shared" si="0"/>
        <v>17579</v>
      </c>
      <c r="L13" s="305">
        <v>61938</v>
      </c>
      <c r="M13" s="305">
        <v>-2085</v>
      </c>
      <c r="N13" s="309">
        <f t="shared" si="1"/>
        <v>59853</v>
      </c>
      <c r="O13" s="1124">
        <v>43959</v>
      </c>
      <c r="P13" s="378">
        <v>-4604</v>
      </c>
      <c r="Q13" s="1112">
        <f t="shared" si="2"/>
        <v>39355</v>
      </c>
    </row>
    <row r="14" spans="1:17" s="68" customFormat="1" ht="16.5" thickBot="1">
      <c r="A14" s="308">
        <v>4</v>
      </c>
      <c r="B14" s="296" t="s">
        <v>172</v>
      </c>
      <c r="C14" s="307"/>
      <c r="D14" s="307"/>
      <c r="E14" s="311">
        <f>SUM(C14:D14)</f>
        <v>0</v>
      </c>
      <c r="F14" s="307"/>
      <c r="G14" s="307"/>
      <c r="H14" s="311">
        <f>SUM(F14:G14)</f>
        <v>0</v>
      </c>
      <c r="I14" s="307"/>
      <c r="J14" s="307"/>
      <c r="K14" s="311">
        <f t="shared" si="0"/>
        <v>0</v>
      </c>
      <c r="L14" s="307"/>
      <c r="M14" s="307"/>
      <c r="N14" s="311">
        <f t="shared" si="1"/>
        <v>0</v>
      </c>
      <c r="O14" s="338"/>
      <c r="P14" s="305"/>
      <c r="Q14" s="311">
        <f t="shared" si="2"/>
        <v>0</v>
      </c>
    </row>
    <row r="15" spans="1:17" s="64" customFormat="1" ht="15.75">
      <c r="A15" s="163" t="s">
        <v>98</v>
      </c>
      <c r="B15" s="152" t="s">
        <v>370</v>
      </c>
      <c r="C15" s="224">
        <v>141742</v>
      </c>
      <c r="D15" s="224"/>
      <c r="E15" s="380">
        <f>C15+D15</f>
        <v>141742</v>
      </c>
      <c r="F15" s="224"/>
      <c r="G15" s="224"/>
      <c r="H15" s="380">
        <f>F15+G15</f>
        <v>0</v>
      </c>
      <c r="I15" s="224"/>
      <c r="J15" s="224"/>
      <c r="K15" s="380">
        <f t="shared" si="0"/>
        <v>0</v>
      </c>
      <c r="L15" s="224"/>
      <c r="M15" s="224"/>
      <c r="N15" s="297">
        <f t="shared" si="1"/>
        <v>0</v>
      </c>
      <c r="O15" s="1122"/>
      <c r="P15" s="381"/>
      <c r="Q15" s="1111">
        <f t="shared" si="2"/>
        <v>0</v>
      </c>
    </row>
    <row r="16" spans="1:17" s="64" customFormat="1" ht="15.75">
      <c r="A16" s="160" t="s">
        <v>99</v>
      </c>
      <c r="B16" s="156" t="s">
        <v>554</v>
      </c>
      <c r="C16" s="298"/>
      <c r="D16" s="146"/>
      <c r="E16" s="227">
        <f>C16+D16</f>
        <v>0</v>
      </c>
      <c r="F16" s="146"/>
      <c r="G16" s="146"/>
      <c r="H16" s="380">
        <f>F16+G16</f>
        <v>0</v>
      </c>
      <c r="I16" s="146"/>
      <c r="J16" s="146"/>
      <c r="K16" s="380">
        <f t="shared" si="0"/>
        <v>0</v>
      </c>
      <c r="L16" s="146"/>
      <c r="M16" s="146"/>
      <c r="N16" s="297">
        <f t="shared" si="1"/>
        <v>0</v>
      </c>
      <c r="O16" s="1121"/>
      <c r="P16" s="383"/>
      <c r="Q16" s="1111">
        <f t="shared" si="2"/>
        <v>0</v>
      </c>
    </row>
    <row r="17" spans="1:17" s="64" customFormat="1" ht="15.75">
      <c r="A17" s="160" t="s">
        <v>100</v>
      </c>
      <c r="B17" s="156" t="s">
        <v>555</v>
      </c>
      <c r="C17" s="298"/>
      <c r="D17" s="146"/>
      <c r="E17" s="227">
        <f aca="true" t="shared" si="3" ref="E17:E22">C17+D17</f>
        <v>0</v>
      </c>
      <c r="F17" s="146"/>
      <c r="G17" s="146"/>
      <c r="H17" s="380">
        <f aca="true" t="shared" si="4" ref="H17:H22">F17+G17</f>
        <v>0</v>
      </c>
      <c r="I17" s="146"/>
      <c r="J17" s="146"/>
      <c r="K17" s="380">
        <f aca="true" t="shared" si="5" ref="K17:K22">SUM(I17:J17)</f>
        <v>0</v>
      </c>
      <c r="L17" s="146"/>
      <c r="M17" s="146"/>
      <c r="N17" s="297">
        <f aca="true" t="shared" si="6" ref="N17:N22">SUM(L17:M17)</f>
        <v>0</v>
      </c>
      <c r="O17" s="1121"/>
      <c r="P17" s="383"/>
      <c r="Q17" s="1111">
        <f aca="true" t="shared" si="7" ref="Q17:Q22">SUM(O17:P17)</f>
        <v>0</v>
      </c>
    </row>
    <row r="18" spans="1:87" s="2" customFormat="1" ht="15.75">
      <c r="A18" s="160" t="s">
        <v>101</v>
      </c>
      <c r="B18" s="156" t="s">
        <v>371</v>
      </c>
      <c r="C18" s="881">
        <v>241</v>
      </c>
      <c r="D18" s="146">
        <v>4727</v>
      </c>
      <c r="E18" s="227">
        <f t="shared" si="3"/>
        <v>4968</v>
      </c>
      <c r="F18" s="298"/>
      <c r="G18" s="146"/>
      <c r="H18" s="227">
        <f t="shared" si="4"/>
        <v>0</v>
      </c>
      <c r="I18" s="146">
        <v>12253</v>
      </c>
      <c r="J18" s="146"/>
      <c r="K18" s="380">
        <f t="shared" si="5"/>
        <v>12253</v>
      </c>
      <c r="L18" s="146"/>
      <c r="M18" s="146"/>
      <c r="N18" s="297">
        <f t="shared" si="6"/>
        <v>0</v>
      </c>
      <c r="O18" s="1121"/>
      <c r="P18" s="383"/>
      <c r="Q18" s="1111">
        <f t="shared" si="7"/>
        <v>0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</row>
    <row r="19" spans="1:17" s="64" customFormat="1" ht="15.75" customHeight="1">
      <c r="A19" s="155" t="s">
        <v>192</v>
      </c>
      <c r="B19" s="156" t="s">
        <v>556</v>
      </c>
      <c r="C19" s="860"/>
      <c r="D19" s="146"/>
      <c r="E19" s="227">
        <f>C19+D19</f>
        <v>0</v>
      </c>
      <c r="F19" s="298"/>
      <c r="G19" s="146"/>
      <c r="H19" s="227">
        <f>F19+G19</f>
        <v>0</v>
      </c>
      <c r="I19" s="298">
        <v>10000</v>
      </c>
      <c r="J19" s="146"/>
      <c r="K19" s="227">
        <f>SUM(I19:J19)</f>
        <v>10000</v>
      </c>
      <c r="L19" s="146"/>
      <c r="M19" s="146"/>
      <c r="N19" s="297">
        <f>SUM(L19:M19)</f>
        <v>0</v>
      </c>
      <c r="O19" s="1121"/>
      <c r="P19" s="383"/>
      <c r="Q19" s="1111">
        <f>SUM(O19:P19)</f>
        <v>0</v>
      </c>
    </row>
    <row r="20" spans="1:17" s="64" customFormat="1" ht="15.75">
      <c r="A20" s="155" t="s">
        <v>327</v>
      </c>
      <c r="B20" s="156" t="s">
        <v>557</v>
      </c>
      <c r="C20" s="860"/>
      <c r="D20" s="146"/>
      <c r="E20" s="227">
        <f t="shared" si="3"/>
        <v>0</v>
      </c>
      <c r="F20" s="298"/>
      <c r="G20" s="146"/>
      <c r="H20" s="227">
        <f t="shared" si="4"/>
        <v>0</v>
      </c>
      <c r="I20" s="298"/>
      <c r="J20" s="1506"/>
      <c r="K20" s="227">
        <f t="shared" si="5"/>
        <v>0</v>
      </c>
      <c r="L20" s="298"/>
      <c r="M20" s="146"/>
      <c r="N20" s="862">
        <f t="shared" si="6"/>
        <v>0</v>
      </c>
      <c r="O20" s="1121"/>
      <c r="P20" s="383"/>
      <c r="Q20" s="1111">
        <f t="shared" si="7"/>
        <v>0</v>
      </c>
    </row>
    <row r="21" spans="1:17" s="64" customFormat="1" ht="15.75">
      <c r="A21" s="153" t="s">
        <v>328</v>
      </c>
      <c r="B21" s="156" t="s">
        <v>372</v>
      </c>
      <c r="C21" s="862"/>
      <c r="D21" s="224"/>
      <c r="E21" s="227">
        <f>C21+D21</f>
        <v>0</v>
      </c>
      <c r="F21" s="297"/>
      <c r="G21" s="224"/>
      <c r="H21" s="227">
        <f t="shared" si="4"/>
        <v>0</v>
      </c>
      <c r="I21" s="297">
        <v>69312</v>
      </c>
      <c r="J21" s="224">
        <v>-1034</v>
      </c>
      <c r="K21" s="227">
        <f t="shared" si="5"/>
        <v>68278</v>
      </c>
      <c r="L21" s="297">
        <v>33230</v>
      </c>
      <c r="M21" s="224">
        <v>9385</v>
      </c>
      <c r="N21" s="862">
        <f t="shared" si="6"/>
        <v>42615</v>
      </c>
      <c r="O21" s="1122"/>
      <c r="P21" s="381"/>
      <c r="Q21" s="1111">
        <f t="shared" si="7"/>
        <v>0</v>
      </c>
    </row>
    <row r="22" spans="1:17" s="64" customFormat="1" ht="15" customHeight="1" thickBot="1">
      <c r="A22" s="16" t="s">
        <v>69</v>
      </c>
      <c r="B22" s="325" t="s">
        <v>373</v>
      </c>
      <c r="C22" s="861"/>
      <c r="D22" s="158"/>
      <c r="E22" s="227">
        <f t="shared" si="3"/>
        <v>0</v>
      </c>
      <c r="F22" s="299"/>
      <c r="G22" s="158"/>
      <c r="H22" s="227">
        <f t="shared" si="4"/>
        <v>0</v>
      </c>
      <c r="I22" s="1138"/>
      <c r="J22" s="384"/>
      <c r="K22" s="1111">
        <f t="shared" si="5"/>
        <v>0</v>
      </c>
      <c r="L22" s="299"/>
      <c r="M22" s="158"/>
      <c r="N22" s="862">
        <f t="shared" si="6"/>
        <v>0</v>
      </c>
      <c r="O22" s="1123"/>
      <c r="P22" s="384"/>
      <c r="Q22" s="1111">
        <f t="shared" si="7"/>
        <v>0</v>
      </c>
    </row>
    <row r="23" spans="1:17" s="68" customFormat="1" ht="16.5" thickBot="1">
      <c r="A23" s="308">
        <v>5</v>
      </c>
      <c r="B23" s="296" t="s">
        <v>171</v>
      </c>
      <c r="C23" s="338">
        <f aca="true" t="shared" si="8" ref="C23:Q23">SUM(C15:C22)</f>
        <v>141983</v>
      </c>
      <c r="D23" s="305">
        <f t="shared" si="8"/>
        <v>4727</v>
      </c>
      <c r="E23" s="311">
        <f t="shared" si="8"/>
        <v>146710</v>
      </c>
      <c r="F23" s="321">
        <f t="shared" si="8"/>
        <v>0</v>
      </c>
      <c r="G23" s="305">
        <f t="shared" si="8"/>
        <v>0</v>
      </c>
      <c r="H23" s="321">
        <f t="shared" si="8"/>
        <v>0</v>
      </c>
      <c r="I23" s="338">
        <f t="shared" si="8"/>
        <v>91565</v>
      </c>
      <c r="J23" s="305">
        <f t="shared" si="8"/>
        <v>-1034</v>
      </c>
      <c r="K23" s="311">
        <f t="shared" si="8"/>
        <v>90531</v>
      </c>
      <c r="L23" s="338">
        <f t="shared" si="8"/>
        <v>33230</v>
      </c>
      <c r="M23" s="305">
        <f t="shared" si="8"/>
        <v>9385</v>
      </c>
      <c r="N23" s="311">
        <f t="shared" si="8"/>
        <v>42615</v>
      </c>
      <c r="O23" s="338">
        <f t="shared" si="8"/>
        <v>0</v>
      </c>
      <c r="P23" s="305">
        <f t="shared" si="8"/>
        <v>0</v>
      </c>
      <c r="Q23" s="311">
        <f t="shared" si="8"/>
        <v>0</v>
      </c>
    </row>
    <row r="24" spans="1:44" s="2" customFormat="1" ht="16.5" thickBot="1">
      <c r="A24" s="304">
        <v>6</v>
      </c>
      <c r="B24" s="296" t="s">
        <v>174</v>
      </c>
      <c r="C24" s="309">
        <v>2500</v>
      </c>
      <c r="D24" s="305"/>
      <c r="E24" s="311">
        <f aca="true" t="shared" si="9" ref="E24:E30">SUM(C24:D24)</f>
        <v>2500</v>
      </c>
      <c r="F24" s="309"/>
      <c r="G24" s="305"/>
      <c r="H24" s="311">
        <f aca="true" t="shared" si="10" ref="H24:H30">SUM(F24:G24)</f>
        <v>0</v>
      </c>
      <c r="I24" s="309">
        <v>30729</v>
      </c>
      <c r="J24" s="305">
        <v>-23800</v>
      </c>
      <c r="K24" s="311">
        <f aca="true" t="shared" si="11" ref="K24:K30">SUM(I24:J24)</f>
        <v>6929</v>
      </c>
      <c r="L24" s="309">
        <v>100</v>
      </c>
      <c r="M24" s="305">
        <v>2500</v>
      </c>
      <c r="N24" s="321">
        <f aca="true" t="shared" si="12" ref="N24:N30">SUM(L24:M24)</f>
        <v>2600</v>
      </c>
      <c r="O24" s="1124"/>
      <c r="P24" s="378"/>
      <c r="Q24" s="1112">
        <f aca="true" t="shared" si="13" ref="Q24:Q30">SUM(O24:P24)</f>
        <v>0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44" s="138" customFormat="1" ht="16.5" thickBot="1">
      <c r="A25" s="304">
        <v>7</v>
      </c>
      <c r="B25" s="296" t="s">
        <v>421</v>
      </c>
      <c r="C25" s="309"/>
      <c r="D25" s="305">
        <v>1000</v>
      </c>
      <c r="E25" s="311">
        <f t="shared" si="9"/>
        <v>1000</v>
      </c>
      <c r="F25" s="309"/>
      <c r="G25" s="305"/>
      <c r="H25" s="321">
        <f t="shared" si="10"/>
        <v>0</v>
      </c>
      <c r="I25" s="338">
        <v>4000</v>
      </c>
      <c r="J25" s="305">
        <v>33981</v>
      </c>
      <c r="K25" s="311">
        <f t="shared" si="11"/>
        <v>37981</v>
      </c>
      <c r="L25" s="321"/>
      <c r="M25" s="305"/>
      <c r="N25" s="321">
        <f t="shared" si="12"/>
        <v>0</v>
      </c>
      <c r="O25" s="1124"/>
      <c r="P25" s="378"/>
      <c r="Q25" s="1112">
        <f t="shared" si="13"/>
        <v>0</v>
      </c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</row>
    <row r="26" spans="1:44" s="2" customFormat="1" ht="15.75">
      <c r="A26" s="163" t="s">
        <v>98</v>
      </c>
      <c r="B26" s="156" t="s">
        <v>560</v>
      </c>
      <c r="C26" s="297"/>
      <c r="D26" s="224"/>
      <c r="E26" s="227">
        <f t="shared" si="9"/>
        <v>0</v>
      </c>
      <c r="F26" s="297"/>
      <c r="G26" s="224"/>
      <c r="H26" s="227">
        <f t="shared" si="10"/>
        <v>0</v>
      </c>
      <c r="I26" s="297"/>
      <c r="J26" s="224"/>
      <c r="K26" s="227">
        <f t="shared" si="11"/>
        <v>0</v>
      </c>
      <c r="L26" s="297"/>
      <c r="M26" s="224"/>
      <c r="N26" s="862">
        <f t="shared" si="12"/>
        <v>0</v>
      </c>
      <c r="O26" s="1122"/>
      <c r="P26" s="381"/>
      <c r="Q26" s="1111">
        <f t="shared" si="13"/>
        <v>0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</row>
    <row r="27" spans="1:44" s="2" customFormat="1" ht="15.75">
      <c r="A27" s="163" t="s">
        <v>99</v>
      </c>
      <c r="B27" s="156" t="s">
        <v>558</v>
      </c>
      <c r="C27" s="297"/>
      <c r="D27" s="224"/>
      <c r="E27" s="227">
        <f t="shared" si="9"/>
        <v>0</v>
      </c>
      <c r="F27" s="297"/>
      <c r="G27" s="224"/>
      <c r="H27" s="227">
        <f t="shared" si="10"/>
        <v>0</v>
      </c>
      <c r="I27" s="297"/>
      <c r="J27" s="224"/>
      <c r="K27" s="227">
        <f t="shared" si="11"/>
        <v>0</v>
      </c>
      <c r="L27" s="297"/>
      <c r="M27" s="224"/>
      <c r="N27" s="862">
        <f t="shared" si="12"/>
        <v>0</v>
      </c>
      <c r="O27" s="1122"/>
      <c r="P27" s="381"/>
      <c r="Q27" s="1111">
        <f t="shared" si="13"/>
        <v>0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</row>
    <row r="28" spans="1:44" s="2" customFormat="1" ht="15.75">
      <c r="A28" s="163" t="s">
        <v>100</v>
      </c>
      <c r="B28" s="156" t="s">
        <v>374</v>
      </c>
      <c r="C28" s="297"/>
      <c r="D28" s="224"/>
      <c r="E28" s="227">
        <f t="shared" si="9"/>
        <v>0</v>
      </c>
      <c r="F28" s="297"/>
      <c r="G28" s="224"/>
      <c r="H28" s="227">
        <f t="shared" si="10"/>
        <v>0</v>
      </c>
      <c r="I28" s="297"/>
      <c r="J28" s="224">
        <v>1165</v>
      </c>
      <c r="K28" s="227">
        <f t="shared" si="11"/>
        <v>1165</v>
      </c>
      <c r="L28" s="297"/>
      <c r="M28" s="146"/>
      <c r="N28" s="862">
        <f t="shared" si="12"/>
        <v>0</v>
      </c>
      <c r="O28" s="1122"/>
      <c r="P28" s="381"/>
      <c r="Q28" s="1111">
        <f t="shared" si="13"/>
        <v>0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</row>
    <row r="29" spans="1:44" s="2" customFormat="1" ht="15.75">
      <c r="A29" s="163" t="s">
        <v>101</v>
      </c>
      <c r="B29" s="156" t="s">
        <v>559</v>
      </c>
      <c r="C29" s="297">
        <v>11637</v>
      </c>
      <c r="D29" s="224">
        <v>1222</v>
      </c>
      <c r="E29" s="227">
        <f t="shared" si="9"/>
        <v>12859</v>
      </c>
      <c r="F29" s="297"/>
      <c r="G29" s="224"/>
      <c r="H29" s="227">
        <f t="shared" si="10"/>
        <v>0</v>
      </c>
      <c r="I29" s="297"/>
      <c r="J29" s="224"/>
      <c r="K29" s="227">
        <f t="shared" si="11"/>
        <v>0</v>
      </c>
      <c r="L29" s="297"/>
      <c r="M29" s="224"/>
      <c r="N29" s="862">
        <f t="shared" si="12"/>
        <v>0</v>
      </c>
      <c r="O29" s="1122"/>
      <c r="P29" s="381"/>
      <c r="Q29" s="1111">
        <f t="shared" si="13"/>
        <v>0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</row>
    <row r="30" spans="1:44" s="2" customFormat="1" ht="16.5" thickBot="1">
      <c r="A30" s="326" t="s">
        <v>192</v>
      </c>
      <c r="B30" s="156" t="s">
        <v>375</v>
      </c>
      <c r="C30" s="320"/>
      <c r="D30" s="312"/>
      <c r="E30" s="315">
        <f t="shared" si="9"/>
        <v>0</v>
      </c>
      <c r="F30" s="320"/>
      <c r="G30" s="312"/>
      <c r="H30" s="315">
        <f t="shared" si="10"/>
        <v>0</v>
      </c>
      <c r="I30" s="320">
        <v>47043</v>
      </c>
      <c r="J30" s="312">
        <v>-2646</v>
      </c>
      <c r="K30" s="315">
        <f t="shared" si="11"/>
        <v>44397</v>
      </c>
      <c r="L30" s="320"/>
      <c r="M30" s="312">
        <v>461</v>
      </c>
      <c r="N30" s="164">
        <f t="shared" si="12"/>
        <v>461</v>
      </c>
      <c r="O30" s="1125"/>
      <c r="P30" s="387"/>
      <c r="Q30" s="1113">
        <f t="shared" si="13"/>
        <v>0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</row>
    <row r="31" spans="1:44" s="138" customFormat="1" ht="16.5" thickBot="1">
      <c r="A31" s="304">
        <v>8</v>
      </c>
      <c r="B31" s="296" t="s">
        <v>173</v>
      </c>
      <c r="C31" s="338">
        <f aca="true" t="shared" si="14" ref="C31:Q31">SUM(C26:C30)</f>
        <v>11637</v>
      </c>
      <c r="D31" s="305">
        <f t="shared" si="14"/>
        <v>1222</v>
      </c>
      <c r="E31" s="311">
        <f t="shared" si="14"/>
        <v>12859</v>
      </c>
      <c r="F31" s="321">
        <f t="shared" si="14"/>
        <v>0</v>
      </c>
      <c r="G31" s="305">
        <f t="shared" si="14"/>
        <v>0</v>
      </c>
      <c r="H31" s="321">
        <f t="shared" si="14"/>
        <v>0</v>
      </c>
      <c r="I31" s="338">
        <f t="shared" si="14"/>
        <v>47043</v>
      </c>
      <c r="J31" s="305">
        <f t="shared" si="14"/>
        <v>-1481</v>
      </c>
      <c r="K31" s="311">
        <f t="shared" si="14"/>
        <v>45562</v>
      </c>
      <c r="L31" s="338">
        <f t="shared" si="14"/>
        <v>0</v>
      </c>
      <c r="M31" s="305">
        <f t="shared" si="14"/>
        <v>461</v>
      </c>
      <c r="N31" s="321">
        <f t="shared" si="14"/>
        <v>461</v>
      </c>
      <c r="O31" s="338">
        <f t="shared" si="14"/>
        <v>0</v>
      </c>
      <c r="P31" s="305">
        <f t="shared" si="14"/>
        <v>0</v>
      </c>
      <c r="Q31" s="311">
        <f t="shared" si="14"/>
        <v>0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</row>
    <row r="32" spans="1:17" s="2" customFormat="1" ht="16.5" thickBot="1">
      <c r="A32" s="304">
        <v>9</v>
      </c>
      <c r="B32" s="296" t="s">
        <v>179</v>
      </c>
      <c r="C32" s="309">
        <v>72111</v>
      </c>
      <c r="D32" s="305"/>
      <c r="E32" s="311">
        <f>SUM(C32:D32)</f>
        <v>72111</v>
      </c>
      <c r="F32" s="309"/>
      <c r="G32" s="305"/>
      <c r="H32" s="311">
        <f>SUM(F32:G32)</f>
        <v>0</v>
      </c>
      <c r="I32" s="309"/>
      <c r="J32" s="305"/>
      <c r="K32" s="311">
        <f>SUM(I32:J32)</f>
        <v>0</v>
      </c>
      <c r="L32" s="309"/>
      <c r="M32" s="305"/>
      <c r="N32" s="321">
        <f>SUM(L32:M32)</f>
        <v>0</v>
      </c>
      <c r="O32" s="1124"/>
      <c r="P32" s="378"/>
      <c r="Q32" s="1112">
        <f>SUM(O32:P32)</f>
        <v>0</v>
      </c>
    </row>
    <row r="33" spans="1:17" s="37" customFormat="1" ht="16.5" thickBot="1">
      <c r="A33" s="358">
        <v>10</v>
      </c>
      <c r="B33" s="359"/>
      <c r="C33" s="909"/>
      <c r="D33" s="360"/>
      <c r="E33" s="1102">
        <f>SUM(C33:D33)</f>
        <v>0</v>
      </c>
      <c r="F33" s="165"/>
      <c r="G33" s="360"/>
      <c r="H33" s="1102">
        <f>SUM(F33:G33)</f>
        <v>0</v>
      </c>
      <c r="I33" s="165"/>
      <c r="J33" s="360"/>
      <c r="K33" s="1102">
        <f>SUM(I33:J33)</f>
        <v>0</v>
      </c>
      <c r="L33" s="165"/>
      <c r="M33" s="360"/>
      <c r="N33" s="288">
        <f>SUM(L33:M33)</f>
        <v>0</v>
      </c>
      <c r="O33" s="165"/>
      <c r="P33" s="360"/>
      <c r="Q33" s="1102">
        <f>SUM(O33:P33)</f>
        <v>0</v>
      </c>
    </row>
    <row r="34" spans="1:17" s="37" customFormat="1" ht="17.25" thickBot="1" thickTop="1">
      <c r="A34" s="334" t="s">
        <v>108</v>
      </c>
      <c r="B34" s="357" t="s">
        <v>180</v>
      </c>
      <c r="C34" s="356">
        <f aca="true" t="shared" si="15" ref="C34:Q34">C11+C12+C13+C23+C14+C31+C25+C24+C32+C33</f>
        <v>875072</v>
      </c>
      <c r="D34" s="335">
        <f t="shared" si="15"/>
        <v>29606</v>
      </c>
      <c r="E34" s="747">
        <f t="shared" si="15"/>
        <v>904678</v>
      </c>
      <c r="F34" s="356">
        <f t="shared" si="15"/>
        <v>121399</v>
      </c>
      <c r="G34" s="335">
        <f t="shared" si="15"/>
        <v>0</v>
      </c>
      <c r="H34" s="747">
        <f t="shared" si="15"/>
        <v>121399</v>
      </c>
      <c r="I34" s="356">
        <f t="shared" si="15"/>
        <v>196934</v>
      </c>
      <c r="J34" s="335">
        <f t="shared" si="15"/>
        <v>11192</v>
      </c>
      <c r="K34" s="747">
        <f t="shared" si="15"/>
        <v>208126</v>
      </c>
      <c r="L34" s="356">
        <f t="shared" si="15"/>
        <v>122139</v>
      </c>
      <c r="M34" s="335">
        <f t="shared" si="15"/>
        <v>12500</v>
      </c>
      <c r="N34" s="747">
        <f t="shared" si="15"/>
        <v>134639</v>
      </c>
      <c r="O34" s="356">
        <f t="shared" si="15"/>
        <v>44774</v>
      </c>
      <c r="P34" s="335">
        <f t="shared" si="15"/>
        <v>-3000</v>
      </c>
      <c r="Q34" s="365">
        <f t="shared" si="15"/>
        <v>41774</v>
      </c>
    </row>
    <row r="35" spans="1:21" s="2" customFormat="1" ht="17.25" thickBot="1" thickTop="1">
      <c r="A35" s="151"/>
      <c r="B35" s="337" t="s">
        <v>131</v>
      </c>
      <c r="C35" s="1072"/>
      <c r="D35" s="293"/>
      <c r="E35" s="1103"/>
      <c r="F35" s="863"/>
      <c r="G35" s="293"/>
      <c r="H35" s="1103"/>
      <c r="I35" s="910"/>
      <c r="J35" s="293"/>
      <c r="K35" s="1103"/>
      <c r="L35" s="910"/>
      <c r="M35" s="293"/>
      <c r="N35" s="863"/>
      <c r="O35" s="1072"/>
      <c r="P35" s="293"/>
      <c r="Q35" s="1103"/>
      <c r="R35" s="207"/>
      <c r="S35" s="207"/>
      <c r="T35" s="207"/>
      <c r="U35" s="207"/>
    </row>
    <row r="36" spans="1:17" s="2" customFormat="1" ht="15.75">
      <c r="A36" s="738" t="s">
        <v>98</v>
      </c>
      <c r="B36" s="739" t="s">
        <v>376</v>
      </c>
      <c r="C36" s="1080"/>
      <c r="D36" s="740"/>
      <c r="E36" s="745">
        <f aca="true" t="shared" si="16" ref="E36:E44">SUM(C36:D36)</f>
        <v>0</v>
      </c>
      <c r="F36" s="744"/>
      <c r="G36" s="740"/>
      <c r="H36" s="745">
        <f>SUM(F36:G36)</f>
        <v>0</v>
      </c>
      <c r="I36" s="1080"/>
      <c r="J36" s="740"/>
      <c r="K36" s="745">
        <f>SUM(I36:J36)</f>
        <v>0</v>
      </c>
      <c r="L36" s="1080"/>
      <c r="M36" s="740"/>
      <c r="N36" s="744">
        <f>SUM(L36:M36)</f>
        <v>0</v>
      </c>
      <c r="O36" s="1126"/>
      <c r="P36" s="743"/>
      <c r="Q36" s="1114">
        <f>SUM(O36:P36)</f>
        <v>0</v>
      </c>
    </row>
    <row r="37" spans="1:17" s="2" customFormat="1" ht="15.75">
      <c r="A37" s="160" t="s">
        <v>99</v>
      </c>
      <c r="B37" s="156" t="s">
        <v>235</v>
      </c>
      <c r="C37" s="881">
        <v>20693</v>
      </c>
      <c r="D37" s="146"/>
      <c r="E37" s="169">
        <f>SUM(C37:D37)</f>
        <v>20693</v>
      </c>
      <c r="F37" s="860"/>
      <c r="G37" s="146"/>
      <c r="H37" s="169">
        <f>SUM(F37:G37)</f>
        <v>0</v>
      </c>
      <c r="I37" s="881"/>
      <c r="J37" s="146"/>
      <c r="K37" s="169">
        <f>SUM(I37:J37)</f>
        <v>0</v>
      </c>
      <c r="L37" s="881"/>
      <c r="M37" s="146"/>
      <c r="N37" s="860">
        <f>SUM(L37:M37)</f>
        <v>0</v>
      </c>
      <c r="O37" s="1121"/>
      <c r="P37" s="383"/>
      <c r="Q37" s="1115">
        <f>SUM(O37:P37)</f>
        <v>0</v>
      </c>
    </row>
    <row r="38" spans="1:17" s="2" customFormat="1" ht="15.75">
      <c r="A38" s="326" t="s">
        <v>100</v>
      </c>
      <c r="B38" s="149" t="s">
        <v>377</v>
      </c>
      <c r="C38" s="1071"/>
      <c r="D38" s="312"/>
      <c r="E38" s="315">
        <f t="shared" si="16"/>
        <v>0</v>
      </c>
      <c r="F38" s="164"/>
      <c r="G38" s="312"/>
      <c r="H38" s="315">
        <f>SUM(F38:G38)</f>
        <v>0</v>
      </c>
      <c r="I38" s="1071"/>
      <c r="J38" s="312"/>
      <c r="K38" s="315">
        <f>SUM(I38:J38)</f>
        <v>0</v>
      </c>
      <c r="L38" s="1071"/>
      <c r="M38" s="312"/>
      <c r="N38" s="164">
        <f>SUM(L38:M38)</f>
        <v>0</v>
      </c>
      <c r="O38" s="1125"/>
      <c r="P38" s="387"/>
      <c r="Q38" s="1113">
        <f>SUM(O38:P38)</f>
        <v>0</v>
      </c>
    </row>
    <row r="39" spans="1:17" s="2" customFormat="1" ht="16.5" thickBot="1">
      <c r="A39" s="161" t="s">
        <v>101</v>
      </c>
      <c r="B39" s="162" t="s">
        <v>381</v>
      </c>
      <c r="C39" s="882"/>
      <c r="D39" s="158"/>
      <c r="E39" s="237">
        <f>SUM(C39:D39)</f>
        <v>0</v>
      </c>
      <c r="F39" s="861"/>
      <c r="G39" s="158"/>
      <c r="H39" s="237">
        <f>SUM(F39:G39)</f>
        <v>0</v>
      </c>
      <c r="I39" s="882"/>
      <c r="J39" s="158"/>
      <c r="K39" s="237">
        <f>SUM(I39:J39)</f>
        <v>0</v>
      </c>
      <c r="L39" s="882"/>
      <c r="M39" s="158"/>
      <c r="N39" s="861">
        <f>SUM(L39:M39)</f>
        <v>0</v>
      </c>
      <c r="O39" s="1123"/>
      <c r="P39" s="384"/>
      <c r="Q39" s="1116">
        <f>SUM(O39:P39)</f>
        <v>0</v>
      </c>
    </row>
    <row r="40" spans="1:17" s="138" customFormat="1" ht="16.5" thickBot="1">
      <c r="A40" s="304">
        <v>1</v>
      </c>
      <c r="B40" s="296" t="s">
        <v>177</v>
      </c>
      <c r="C40" s="338">
        <f aca="true" t="shared" si="17" ref="C40:Q40">SUM(C36:C39)</f>
        <v>20693</v>
      </c>
      <c r="D40" s="305">
        <f t="shared" si="17"/>
        <v>0</v>
      </c>
      <c r="E40" s="311">
        <f t="shared" si="17"/>
        <v>20693</v>
      </c>
      <c r="F40" s="338">
        <f t="shared" si="17"/>
        <v>0</v>
      </c>
      <c r="G40" s="305">
        <f t="shared" si="17"/>
        <v>0</v>
      </c>
      <c r="H40" s="311">
        <f t="shared" si="17"/>
        <v>0</v>
      </c>
      <c r="I40" s="338">
        <f t="shared" si="17"/>
        <v>0</v>
      </c>
      <c r="J40" s="305">
        <f t="shared" si="17"/>
        <v>0</v>
      </c>
      <c r="K40" s="311">
        <f t="shared" si="17"/>
        <v>0</v>
      </c>
      <c r="L40" s="338">
        <f t="shared" si="17"/>
        <v>0</v>
      </c>
      <c r="M40" s="305">
        <f t="shared" si="17"/>
        <v>0</v>
      </c>
      <c r="N40" s="311">
        <f t="shared" si="17"/>
        <v>0</v>
      </c>
      <c r="O40" s="338">
        <f t="shared" si="17"/>
        <v>0</v>
      </c>
      <c r="P40" s="305">
        <f t="shared" si="17"/>
        <v>0</v>
      </c>
      <c r="Q40" s="311">
        <f t="shared" si="17"/>
        <v>0</v>
      </c>
    </row>
    <row r="41" spans="1:17" s="2" customFormat="1" ht="15.75">
      <c r="A41" s="163" t="s">
        <v>98</v>
      </c>
      <c r="B41" s="152" t="s">
        <v>403</v>
      </c>
      <c r="C41" s="1070"/>
      <c r="D41" s="224"/>
      <c r="E41" s="227">
        <f t="shared" si="16"/>
        <v>0</v>
      </c>
      <c r="F41" s="862"/>
      <c r="G41" s="224"/>
      <c r="H41" s="227">
        <f>SUM(F41:G41)</f>
        <v>0</v>
      </c>
      <c r="I41" s="1070"/>
      <c r="J41" s="224"/>
      <c r="K41" s="227">
        <f>SUM(I41:J41)</f>
        <v>0</v>
      </c>
      <c r="L41" s="1070"/>
      <c r="M41" s="224"/>
      <c r="N41" s="862">
        <f>SUM(L41:M41)</f>
        <v>0</v>
      </c>
      <c r="O41" s="1122"/>
      <c r="P41" s="381"/>
      <c r="Q41" s="1111">
        <f>SUM(O41:P41)</f>
        <v>0</v>
      </c>
    </row>
    <row r="42" spans="1:17" s="2" customFormat="1" ht="15.75">
      <c r="A42" s="160" t="s">
        <v>99</v>
      </c>
      <c r="B42" s="156" t="s">
        <v>378</v>
      </c>
      <c r="C42" s="881"/>
      <c r="D42" s="146"/>
      <c r="E42" s="169">
        <f>SUM(C42:D42)</f>
        <v>0</v>
      </c>
      <c r="F42" s="860"/>
      <c r="G42" s="146"/>
      <c r="H42" s="169">
        <f>SUM(F42:G42)</f>
        <v>0</v>
      </c>
      <c r="I42" s="881"/>
      <c r="J42" s="146"/>
      <c r="K42" s="169">
        <f>SUM(I42:J42)</f>
        <v>0</v>
      </c>
      <c r="L42" s="881"/>
      <c r="M42" s="146"/>
      <c r="N42" s="860">
        <f>SUM(L42:M42)</f>
        <v>0</v>
      </c>
      <c r="O42" s="1121"/>
      <c r="P42" s="383"/>
      <c r="Q42" s="1115">
        <f>SUM(O42:P42)</f>
        <v>0</v>
      </c>
    </row>
    <row r="43" spans="1:17" s="2" customFormat="1" ht="15.75">
      <c r="A43" s="160" t="s">
        <v>100</v>
      </c>
      <c r="B43" s="156" t="s">
        <v>379</v>
      </c>
      <c r="C43" s="881"/>
      <c r="D43" s="146"/>
      <c r="E43" s="169">
        <f>SUM(C43:D43)</f>
        <v>0</v>
      </c>
      <c r="F43" s="860"/>
      <c r="G43" s="146"/>
      <c r="H43" s="169">
        <f>SUM(F43:G43)</f>
        <v>0</v>
      </c>
      <c r="I43" s="881"/>
      <c r="J43" s="146"/>
      <c r="K43" s="169">
        <f>SUM(I43:J43)</f>
        <v>0</v>
      </c>
      <c r="L43" s="881"/>
      <c r="M43" s="146"/>
      <c r="N43" s="860">
        <f>SUM(L43:M43)</f>
        <v>0</v>
      </c>
      <c r="O43" s="1121"/>
      <c r="P43" s="383"/>
      <c r="Q43" s="1115">
        <f>SUM(O43:P43)</f>
        <v>0</v>
      </c>
    </row>
    <row r="44" spans="1:17" s="2" customFormat="1" ht="16.5" thickBot="1">
      <c r="A44" s="161" t="s">
        <v>101</v>
      </c>
      <c r="B44" s="162" t="s">
        <v>175</v>
      </c>
      <c r="C44" s="882">
        <v>7336</v>
      </c>
      <c r="D44" s="158">
        <v>1607</v>
      </c>
      <c r="E44" s="237">
        <f t="shared" si="16"/>
        <v>8943</v>
      </c>
      <c r="F44" s="861"/>
      <c r="G44" s="158"/>
      <c r="H44" s="237">
        <f>SUM(F44:G44)</f>
        <v>0</v>
      </c>
      <c r="I44" s="882"/>
      <c r="J44" s="158"/>
      <c r="K44" s="237">
        <f>SUM(I44:J44)</f>
        <v>0</v>
      </c>
      <c r="L44" s="882"/>
      <c r="M44" s="158"/>
      <c r="N44" s="861">
        <f>SUM(L44:M44)</f>
        <v>0</v>
      </c>
      <c r="O44" s="1123"/>
      <c r="P44" s="384"/>
      <c r="Q44" s="1116">
        <f>SUM(O44:P44)</f>
        <v>0</v>
      </c>
    </row>
    <row r="45" spans="1:17" s="138" customFormat="1" ht="16.5" thickBot="1">
      <c r="A45" s="304">
        <v>2</v>
      </c>
      <c r="B45" s="296" t="s">
        <v>176</v>
      </c>
      <c r="C45" s="338">
        <f>SUM(C41:C44)</f>
        <v>7336</v>
      </c>
      <c r="D45" s="305">
        <f aca="true" t="shared" si="18" ref="D45:Q45">SUM(D41:D44)</f>
        <v>1607</v>
      </c>
      <c r="E45" s="307">
        <f t="shared" si="18"/>
        <v>8943</v>
      </c>
      <c r="F45" s="338">
        <f t="shared" si="18"/>
        <v>0</v>
      </c>
      <c r="G45" s="305">
        <f t="shared" si="18"/>
        <v>0</v>
      </c>
      <c r="H45" s="307">
        <f t="shared" si="18"/>
        <v>0</v>
      </c>
      <c r="I45" s="338">
        <f t="shared" si="18"/>
        <v>0</v>
      </c>
      <c r="J45" s="305">
        <f t="shared" si="18"/>
        <v>0</v>
      </c>
      <c r="K45" s="307">
        <f t="shared" si="18"/>
        <v>0</v>
      </c>
      <c r="L45" s="338">
        <f t="shared" si="18"/>
        <v>0</v>
      </c>
      <c r="M45" s="305">
        <f t="shared" si="18"/>
        <v>0</v>
      </c>
      <c r="N45" s="321">
        <f t="shared" si="18"/>
        <v>0</v>
      </c>
      <c r="O45" s="338">
        <f t="shared" si="18"/>
        <v>0</v>
      </c>
      <c r="P45" s="305">
        <f t="shared" si="18"/>
        <v>0</v>
      </c>
      <c r="Q45" s="311">
        <f t="shared" si="18"/>
        <v>0</v>
      </c>
    </row>
    <row r="46" spans="1:17" s="138" customFormat="1" ht="16.5" thickBot="1">
      <c r="A46" s="304">
        <v>3</v>
      </c>
      <c r="B46" s="296" t="s">
        <v>254</v>
      </c>
      <c r="C46" s="338">
        <v>26476</v>
      </c>
      <c r="D46" s="305">
        <v>30402</v>
      </c>
      <c r="E46" s="307">
        <f>SUM(C46:D46)</f>
        <v>56878</v>
      </c>
      <c r="F46" s="338"/>
      <c r="G46" s="305"/>
      <c r="H46" s="307">
        <f>SUM(F46:G46)</f>
        <v>0</v>
      </c>
      <c r="I46" s="338"/>
      <c r="J46" s="305"/>
      <c r="K46" s="307">
        <f>SUM(I46:J46)</f>
        <v>0</v>
      </c>
      <c r="L46" s="338">
        <v>48</v>
      </c>
      <c r="M46" s="305">
        <v>53</v>
      </c>
      <c r="N46" s="321">
        <f>SUM(L46:M46)</f>
        <v>101</v>
      </c>
      <c r="O46" s="338"/>
      <c r="P46" s="305"/>
      <c r="Q46" s="311">
        <f>SUM(O46:P46)</f>
        <v>0</v>
      </c>
    </row>
    <row r="47" spans="1:17" s="2" customFormat="1" ht="16.5" thickBot="1">
      <c r="A47" s="304">
        <v>4</v>
      </c>
      <c r="B47" s="296" t="s">
        <v>275</v>
      </c>
      <c r="C47" s="338"/>
      <c r="D47" s="305"/>
      <c r="E47" s="307">
        <f>SUM(C47:D47)</f>
        <v>0</v>
      </c>
      <c r="F47" s="338"/>
      <c r="G47" s="305"/>
      <c r="H47" s="307">
        <f>SUM(F47:G47)</f>
        <v>0</v>
      </c>
      <c r="I47" s="338">
        <v>10000</v>
      </c>
      <c r="J47" s="305"/>
      <c r="K47" s="307">
        <f>SUM(I47:J47)</f>
        <v>10000</v>
      </c>
      <c r="L47" s="338">
        <v>85</v>
      </c>
      <c r="M47" s="305"/>
      <c r="N47" s="321">
        <f>SUM(L47:M47)</f>
        <v>85</v>
      </c>
      <c r="O47" s="338"/>
      <c r="P47" s="305"/>
      <c r="Q47" s="311">
        <f>SUM(O47:P47)</f>
        <v>0</v>
      </c>
    </row>
    <row r="48" spans="1:17" s="2" customFormat="1" ht="15.75">
      <c r="A48" s="163" t="s">
        <v>98</v>
      </c>
      <c r="B48" s="149" t="s">
        <v>281</v>
      </c>
      <c r="C48" s="1070"/>
      <c r="D48" s="224"/>
      <c r="E48" s="227">
        <f>SUM(C48:D48)</f>
        <v>0</v>
      </c>
      <c r="F48" s="862"/>
      <c r="G48" s="224"/>
      <c r="H48" s="227">
        <f>SUM(F48:G48)</f>
        <v>0</v>
      </c>
      <c r="I48" s="1070"/>
      <c r="J48" s="224"/>
      <c r="K48" s="227">
        <f>SUM(I48:J48)</f>
        <v>0</v>
      </c>
      <c r="L48" s="1070"/>
      <c r="M48" s="224"/>
      <c r="N48" s="862">
        <f>SUM(L48:M48)</f>
        <v>0</v>
      </c>
      <c r="O48" s="1122"/>
      <c r="P48" s="381"/>
      <c r="Q48" s="1111">
        <f>SUM(O48:P48)</f>
        <v>0</v>
      </c>
    </row>
    <row r="49" spans="1:17" s="2" customFormat="1" ht="15.75">
      <c r="A49" s="161" t="s">
        <v>99</v>
      </c>
      <c r="B49" s="325" t="s">
        <v>380</v>
      </c>
      <c r="C49" s="881"/>
      <c r="D49" s="146"/>
      <c r="E49" s="169">
        <f>SUM(C49:D49)</f>
        <v>0</v>
      </c>
      <c r="F49" s="860"/>
      <c r="G49" s="146"/>
      <c r="H49" s="169">
        <f>SUM(F49:G49)</f>
        <v>0</v>
      </c>
      <c r="I49" s="881"/>
      <c r="J49" s="146"/>
      <c r="K49" s="169">
        <f>SUM(I49:J49)</f>
        <v>0</v>
      </c>
      <c r="L49" s="881"/>
      <c r="M49" s="146"/>
      <c r="N49" s="860">
        <f>SUM(L49:M49)</f>
        <v>0</v>
      </c>
      <c r="O49" s="1121"/>
      <c r="P49" s="383"/>
      <c r="Q49" s="1115">
        <f>SUM(O49:P49)</f>
        <v>0</v>
      </c>
    </row>
    <row r="50" spans="1:17" s="2" customFormat="1" ht="16.5" thickBot="1">
      <c r="A50" s="161" t="s">
        <v>100</v>
      </c>
      <c r="B50" s="325" t="s">
        <v>413</v>
      </c>
      <c r="C50" s="881"/>
      <c r="D50" s="146"/>
      <c r="E50" s="169">
        <f>SUM(C50:D50)</f>
        <v>0</v>
      </c>
      <c r="F50" s="860"/>
      <c r="G50" s="146"/>
      <c r="H50" s="169">
        <f>SUM(F50:G50)</f>
        <v>0</v>
      </c>
      <c r="I50" s="881"/>
      <c r="J50" s="146"/>
      <c r="K50" s="169">
        <f>SUM(I50:J50)</f>
        <v>0</v>
      </c>
      <c r="L50" s="881"/>
      <c r="M50" s="146"/>
      <c r="N50" s="860">
        <f>SUM(L50:M50)</f>
        <v>0</v>
      </c>
      <c r="O50" s="1121"/>
      <c r="P50" s="383"/>
      <c r="Q50" s="1115">
        <f>SUM(O50:P50)</f>
        <v>0</v>
      </c>
    </row>
    <row r="51" spans="1:17" s="138" customFormat="1" ht="16.5" thickBot="1">
      <c r="A51" s="304">
        <v>5</v>
      </c>
      <c r="B51" s="296" t="s">
        <v>178</v>
      </c>
      <c r="C51" s="338">
        <f>SUM(C48:C50)</f>
        <v>0</v>
      </c>
      <c r="D51" s="305">
        <f>SUM(D48:D50)</f>
        <v>0</v>
      </c>
      <c r="E51" s="307">
        <f aca="true" t="shared" si="19" ref="E51:Q51">SUM(E48:E50)</f>
        <v>0</v>
      </c>
      <c r="F51" s="338">
        <f t="shared" si="19"/>
        <v>0</v>
      </c>
      <c r="G51" s="305">
        <f t="shared" si="19"/>
        <v>0</v>
      </c>
      <c r="H51" s="307">
        <f t="shared" si="19"/>
        <v>0</v>
      </c>
      <c r="I51" s="338">
        <f t="shared" si="19"/>
        <v>0</v>
      </c>
      <c r="J51" s="305">
        <f t="shared" si="19"/>
        <v>0</v>
      </c>
      <c r="K51" s="307">
        <f t="shared" si="19"/>
        <v>0</v>
      </c>
      <c r="L51" s="338">
        <f t="shared" si="19"/>
        <v>0</v>
      </c>
      <c r="M51" s="305">
        <f t="shared" si="19"/>
        <v>0</v>
      </c>
      <c r="N51" s="307">
        <f t="shared" si="19"/>
        <v>0</v>
      </c>
      <c r="O51" s="338">
        <f t="shared" si="19"/>
        <v>0</v>
      </c>
      <c r="P51" s="305">
        <f t="shared" si="19"/>
        <v>0</v>
      </c>
      <c r="Q51" s="311">
        <f t="shared" si="19"/>
        <v>0</v>
      </c>
    </row>
    <row r="52" spans="1:17" s="138" customFormat="1" ht="16.5" thickBot="1">
      <c r="A52" s="734">
        <v>6</v>
      </c>
      <c r="B52" s="735" t="s">
        <v>285</v>
      </c>
      <c r="C52" s="1073">
        <v>4</v>
      </c>
      <c r="D52" s="330"/>
      <c r="E52" s="323">
        <f>SUM(C52:D52)</f>
        <v>4</v>
      </c>
      <c r="F52" s="324"/>
      <c r="G52" s="330"/>
      <c r="H52" s="323">
        <f>SUM(F52:G52)</f>
        <v>0</v>
      </c>
      <c r="I52" s="1079"/>
      <c r="J52" s="330"/>
      <c r="K52" s="323">
        <f>SUM(I52:J52)</f>
        <v>0</v>
      </c>
      <c r="L52" s="1079"/>
      <c r="M52" s="330"/>
      <c r="N52" s="324">
        <f>SUM(L52:M52)</f>
        <v>0</v>
      </c>
      <c r="O52" s="1127"/>
      <c r="P52" s="728"/>
      <c r="Q52" s="1117">
        <f>SUM(O52:P52)</f>
        <v>0</v>
      </c>
    </row>
    <row r="53" spans="1:17" s="2" customFormat="1" ht="15.75">
      <c r="A53" s="144" t="s">
        <v>98</v>
      </c>
      <c r="B53" s="145" t="s">
        <v>382</v>
      </c>
      <c r="C53" s="1074">
        <v>877</v>
      </c>
      <c r="D53" s="147">
        <v>1222</v>
      </c>
      <c r="E53" s="203">
        <f>SUM(C53:D53)</f>
        <v>2099</v>
      </c>
      <c r="F53" s="864"/>
      <c r="G53" s="147"/>
      <c r="H53" s="203">
        <f>SUM(F53:G53)</f>
        <v>0</v>
      </c>
      <c r="I53" s="1074"/>
      <c r="J53" s="147"/>
      <c r="K53" s="203">
        <f>SUM(I53:J53)</f>
        <v>0</v>
      </c>
      <c r="L53" s="1074"/>
      <c r="M53" s="147"/>
      <c r="N53" s="864">
        <f>SUM(L53:M53)</f>
        <v>0</v>
      </c>
      <c r="O53" s="1128"/>
      <c r="P53" s="392"/>
      <c r="Q53" s="1118">
        <f>SUM(O53:P53)</f>
        <v>0</v>
      </c>
    </row>
    <row r="54" spans="1:17" s="2" customFormat="1" ht="16.5" thickBot="1">
      <c r="A54" s="326" t="s">
        <v>99</v>
      </c>
      <c r="B54" s="149" t="s">
        <v>383</v>
      </c>
      <c r="C54" s="1071"/>
      <c r="D54" s="312"/>
      <c r="E54" s="315">
        <f>SUM(C54:D54)</f>
        <v>0</v>
      </c>
      <c r="F54" s="164"/>
      <c r="G54" s="312"/>
      <c r="H54" s="315">
        <f>SUM(F54:G54)</f>
        <v>0</v>
      </c>
      <c r="I54" s="1071"/>
      <c r="J54" s="312"/>
      <c r="K54" s="315">
        <f>SUM(I54:J54)</f>
        <v>0</v>
      </c>
      <c r="L54" s="1071"/>
      <c r="M54" s="312"/>
      <c r="N54" s="164">
        <f>SUM(L54:M54)</f>
        <v>0</v>
      </c>
      <c r="O54" s="1125"/>
      <c r="P54" s="387"/>
      <c r="Q54" s="1113">
        <f>SUM(O54:P54)</f>
        <v>0</v>
      </c>
    </row>
    <row r="55" spans="1:17" s="138" customFormat="1" ht="17.25" customHeight="1" thickBot="1">
      <c r="A55" s="304">
        <v>7</v>
      </c>
      <c r="B55" s="296" t="s">
        <v>181</v>
      </c>
      <c r="C55" s="338">
        <f>SUM(C53:C54)</f>
        <v>877</v>
      </c>
      <c r="D55" s="305">
        <f aca="true" t="shared" si="20" ref="D55:Q55">SUM(D53:D54)</f>
        <v>1222</v>
      </c>
      <c r="E55" s="307">
        <f t="shared" si="20"/>
        <v>2099</v>
      </c>
      <c r="F55" s="338">
        <f t="shared" si="20"/>
        <v>0</v>
      </c>
      <c r="G55" s="305">
        <f t="shared" si="20"/>
        <v>0</v>
      </c>
      <c r="H55" s="307">
        <f t="shared" si="20"/>
        <v>0</v>
      </c>
      <c r="I55" s="338">
        <f t="shared" si="20"/>
        <v>0</v>
      </c>
      <c r="J55" s="305">
        <f t="shared" si="20"/>
        <v>0</v>
      </c>
      <c r="K55" s="307">
        <f t="shared" si="20"/>
        <v>0</v>
      </c>
      <c r="L55" s="338">
        <f t="shared" si="20"/>
        <v>0</v>
      </c>
      <c r="M55" s="305">
        <f t="shared" si="20"/>
        <v>0</v>
      </c>
      <c r="N55" s="307">
        <f t="shared" si="20"/>
        <v>0</v>
      </c>
      <c r="O55" s="1081">
        <f t="shared" si="20"/>
        <v>0</v>
      </c>
      <c r="P55" s="1083">
        <f t="shared" si="20"/>
        <v>0</v>
      </c>
      <c r="Q55" s="1085">
        <f t="shared" si="20"/>
        <v>0</v>
      </c>
    </row>
    <row r="56" spans="1:17" s="2" customFormat="1" ht="19.5" customHeight="1" thickBot="1">
      <c r="A56" s="691">
        <v>8</v>
      </c>
      <c r="B56" s="692" t="s">
        <v>46</v>
      </c>
      <c r="C56" s="1106">
        <f>C34-C40-C45-C46-C47-C51-C52-C55-C57-C58-C59</f>
        <v>-4779955</v>
      </c>
      <c r="D56" s="1107">
        <f>D34-D40-D45-D46-D47-D51-D52-D55-D57-D58-D59</f>
        <v>-3625</v>
      </c>
      <c r="E56" s="1104">
        <f aca="true" t="shared" si="21" ref="E56:Q56">E34-E40-E45-E46-E47-E51-E52-E55-E57-E58-E59</f>
        <v>-4783580</v>
      </c>
      <c r="F56" s="1106">
        <f t="shared" si="21"/>
        <v>121399</v>
      </c>
      <c r="G56" s="1107">
        <f t="shared" si="21"/>
        <v>0</v>
      </c>
      <c r="H56" s="1104">
        <f t="shared" si="21"/>
        <v>121399</v>
      </c>
      <c r="I56" s="1106">
        <f t="shared" si="21"/>
        <v>186934</v>
      </c>
      <c r="J56" s="1107">
        <f t="shared" si="21"/>
        <v>11192</v>
      </c>
      <c r="K56" s="1104">
        <f t="shared" si="21"/>
        <v>198126</v>
      </c>
      <c r="L56" s="1106">
        <f t="shared" si="21"/>
        <v>122006</v>
      </c>
      <c r="M56" s="1107">
        <f t="shared" si="21"/>
        <v>12447</v>
      </c>
      <c r="N56" s="1104">
        <f t="shared" si="21"/>
        <v>134453</v>
      </c>
      <c r="O56" s="1129">
        <f t="shared" si="21"/>
        <v>44774</v>
      </c>
      <c r="P56" s="1131">
        <f t="shared" si="21"/>
        <v>-3000</v>
      </c>
      <c r="Q56" s="1119">
        <f t="shared" si="21"/>
        <v>41774</v>
      </c>
    </row>
    <row r="57" spans="1:17" s="138" customFormat="1" ht="15.75">
      <c r="A57" s="327" t="s">
        <v>385</v>
      </c>
      <c r="B57" s="328" t="s">
        <v>184</v>
      </c>
      <c r="C57" s="1076">
        <v>4934641</v>
      </c>
      <c r="D57" s="318"/>
      <c r="E57" s="1105">
        <f>SUM(C57:D57)</f>
        <v>4934641</v>
      </c>
      <c r="F57" s="865"/>
      <c r="G57" s="318"/>
      <c r="H57" s="1105">
        <f>SUM(F57:G57)</f>
        <v>0</v>
      </c>
      <c r="I57" s="1076"/>
      <c r="J57" s="318"/>
      <c r="K57" s="1105">
        <f>SUM(I57:J57)</f>
        <v>0</v>
      </c>
      <c r="L57" s="1076"/>
      <c r="M57" s="318"/>
      <c r="N57" s="865">
        <f>SUM(L57:M57)</f>
        <v>0</v>
      </c>
      <c r="O57" s="1130"/>
      <c r="P57" s="395"/>
      <c r="Q57" s="1120">
        <f>SUM(O57:P57)</f>
        <v>0</v>
      </c>
    </row>
    <row r="58" spans="1:17" s="138" customFormat="1" ht="15.75">
      <c r="A58" s="327" t="s">
        <v>183</v>
      </c>
      <c r="B58" s="328" t="s">
        <v>384</v>
      </c>
      <c r="C58" s="317">
        <v>665000</v>
      </c>
      <c r="D58" s="318"/>
      <c r="E58" s="393">
        <f>SUM(C58:D58)</f>
        <v>665000</v>
      </c>
      <c r="F58" s="322"/>
      <c r="G58" s="318"/>
      <c r="H58" s="393">
        <f>SUM(F58:G58)</f>
        <v>0</v>
      </c>
      <c r="I58" s="1076"/>
      <c r="J58" s="318"/>
      <c r="K58" s="1105">
        <f>SUM(I58:J58)</f>
        <v>0</v>
      </c>
      <c r="L58" s="1076"/>
      <c r="M58" s="318"/>
      <c r="N58" s="865">
        <f>SUM(L58:M58)</f>
        <v>0</v>
      </c>
      <c r="O58" s="1130"/>
      <c r="P58" s="395"/>
      <c r="Q58" s="1120">
        <f>SUM(O58:P58)</f>
        <v>0</v>
      </c>
    </row>
    <row r="59" spans="1:17" s="138" customFormat="1" ht="16.5" thickBot="1">
      <c r="A59" s="342">
        <v>10</v>
      </c>
      <c r="B59" s="343"/>
      <c r="C59" s="344"/>
      <c r="D59" s="345"/>
      <c r="E59" s="397">
        <f>SUM(C59:D59)</f>
        <v>0</v>
      </c>
      <c r="F59" s="347"/>
      <c r="G59" s="345"/>
      <c r="H59" s="398">
        <f>SUM(F59:G59)</f>
        <v>0</v>
      </c>
      <c r="I59" s="344"/>
      <c r="J59" s="345"/>
      <c r="K59" s="398">
        <f>SUM(I59:J59)</f>
        <v>0</v>
      </c>
      <c r="L59" s="344"/>
      <c r="M59" s="345"/>
      <c r="N59" s="920">
        <f>SUM(L59:M59)</f>
        <v>0</v>
      </c>
      <c r="O59" s="399"/>
      <c r="P59" s="400"/>
      <c r="Q59" s="401">
        <f>SUM(O59:P59)</f>
        <v>0</v>
      </c>
    </row>
    <row r="60" spans="1:17" s="37" customFormat="1" ht="17.25" thickBot="1" thickTop="1">
      <c r="A60" s="334" t="s">
        <v>109</v>
      </c>
      <c r="B60" s="336" t="s">
        <v>182</v>
      </c>
      <c r="C60" s="748">
        <f>C40+C45+C46+C47+C51+C52+C55+C56+C57+C58+C59</f>
        <v>875072</v>
      </c>
      <c r="D60" s="749">
        <f aca="true" t="shared" si="22" ref="D60:Q60">D40+D45+D46+D47+D51+D52+D55+D56+D57+D58+D59</f>
        <v>29606</v>
      </c>
      <c r="E60" s="354">
        <f t="shared" si="22"/>
        <v>904678</v>
      </c>
      <c r="F60" s="355">
        <f t="shared" si="22"/>
        <v>121399</v>
      </c>
      <c r="G60" s="335">
        <f t="shared" si="22"/>
        <v>0</v>
      </c>
      <c r="H60" s="354">
        <f t="shared" si="22"/>
        <v>121399</v>
      </c>
      <c r="I60" s="748">
        <f t="shared" si="22"/>
        <v>196934</v>
      </c>
      <c r="J60" s="749">
        <f t="shared" si="22"/>
        <v>11192</v>
      </c>
      <c r="K60" s="354">
        <f t="shared" si="22"/>
        <v>208126</v>
      </c>
      <c r="L60" s="355">
        <f t="shared" si="22"/>
        <v>122139</v>
      </c>
      <c r="M60" s="335">
        <f t="shared" si="22"/>
        <v>12500</v>
      </c>
      <c r="N60" s="354">
        <f t="shared" si="22"/>
        <v>134639</v>
      </c>
      <c r="O60" s="355">
        <f t="shared" si="22"/>
        <v>44774</v>
      </c>
      <c r="P60" s="335">
        <f t="shared" si="22"/>
        <v>-3000</v>
      </c>
      <c r="Q60" s="365">
        <f t="shared" si="22"/>
        <v>41774</v>
      </c>
    </row>
    <row r="61" spans="1:17" s="2" customFormat="1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402"/>
      <c r="P61" s="402"/>
      <c r="Q61" s="402"/>
    </row>
    <row r="62" spans="1:17" s="2" customFormat="1" ht="17.25" thickBot="1" thickTop="1">
      <c r="A62" s="174"/>
      <c r="B62" s="175" t="s">
        <v>593</v>
      </c>
      <c r="C62" s="921">
        <v>4</v>
      </c>
      <c r="D62" s="405"/>
      <c r="E62" s="404">
        <f>SUM(C62:D62)</f>
        <v>4</v>
      </c>
      <c r="F62" s="204">
        <v>36</v>
      </c>
      <c r="G62" s="403"/>
      <c r="H62" s="404">
        <f>SUM(F62:G62)</f>
        <v>36</v>
      </c>
      <c r="I62" s="204"/>
      <c r="J62" s="403"/>
      <c r="K62" s="404">
        <f>SUM(I62:J62)</f>
        <v>0</v>
      </c>
      <c r="L62" s="204"/>
      <c r="M62" s="403"/>
      <c r="N62" s="404">
        <f>SUM(L62:M62)</f>
        <v>0</v>
      </c>
      <c r="O62" s="406"/>
      <c r="P62" s="914"/>
      <c r="Q62" s="408">
        <f>SUM(O62:P62)</f>
        <v>0</v>
      </c>
    </row>
    <row r="63" spans="1:17" s="2" customFormat="1" ht="17.25" thickBot="1" thickTop="1">
      <c r="A63" s="174"/>
      <c r="B63" s="175" t="s">
        <v>594</v>
      </c>
      <c r="C63" s="921"/>
      <c r="D63" s="405"/>
      <c r="E63" s="404">
        <f>SUM(C63:D63)</f>
        <v>0</v>
      </c>
      <c r="F63" s="204"/>
      <c r="G63" s="403"/>
      <c r="H63" s="404">
        <f>SUM(F63:G63)</f>
        <v>0</v>
      </c>
      <c r="I63" s="204"/>
      <c r="J63" s="403"/>
      <c r="K63" s="404">
        <f>SUM(I63:J63)</f>
        <v>0</v>
      </c>
      <c r="L63" s="204"/>
      <c r="M63" s="403"/>
      <c r="N63" s="404">
        <f>SUM(L63:M63)</f>
        <v>0</v>
      </c>
      <c r="O63" s="406"/>
      <c r="P63" s="914"/>
      <c r="Q63" s="408">
        <f>SUM(O63:P63)</f>
        <v>0</v>
      </c>
    </row>
    <row r="64" spans="1:17" s="2" customFormat="1" ht="16.5" thickTop="1">
      <c r="A64" s="409"/>
      <c r="B64" s="918"/>
      <c r="C64" s="918"/>
      <c r="D64" s="918"/>
      <c r="E64" s="918"/>
      <c r="F64" s="918"/>
      <c r="G64" s="918"/>
      <c r="H64" s="918"/>
      <c r="I64" s="918"/>
      <c r="J64" s="918"/>
      <c r="K64" s="918"/>
      <c r="L64" s="922"/>
      <c r="M64" s="918"/>
      <c r="N64" s="918"/>
      <c r="O64" s="923"/>
      <c r="P64" s="923"/>
      <c r="Q64" s="923"/>
    </row>
    <row r="65" spans="1:17" s="2" customFormat="1" ht="15.75">
      <c r="A65" s="409"/>
      <c r="B65" s="918"/>
      <c r="C65" s="918"/>
      <c r="D65" s="918"/>
      <c r="E65" s="918"/>
      <c r="F65" s="918"/>
      <c r="G65" s="918"/>
      <c r="H65" s="918"/>
      <c r="I65" s="918"/>
      <c r="J65" s="918"/>
      <c r="K65" s="918"/>
      <c r="L65" s="918"/>
      <c r="M65" s="918"/>
      <c r="N65" s="918"/>
      <c r="O65" s="923"/>
      <c r="P65" s="923"/>
      <c r="Q65" s="923"/>
    </row>
  </sheetData>
  <sheetProtection/>
  <mergeCells count="7">
    <mergeCell ref="O7:Q7"/>
    <mergeCell ref="A4:Q4"/>
    <mergeCell ref="A5:Q5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21.75" customHeight="1"/>
  <cols>
    <col min="1" max="1" width="5.375" style="410" customWidth="1"/>
    <col min="2" max="2" width="78.375" style="94" customWidth="1"/>
    <col min="3" max="17" width="14.875" style="94" customWidth="1"/>
  </cols>
  <sheetData>
    <row r="1" spans="1:17" ht="12" customHeight="1">
      <c r="A1" s="294"/>
      <c r="B1" s="295"/>
      <c r="C1" s="295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868"/>
      <c r="O1" s="868"/>
      <c r="P1" s="868"/>
      <c r="Q1" s="867" t="s">
        <v>856</v>
      </c>
    </row>
    <row r="2" spans="1:17" ht="12" customHeight="1">
      <c r="A2" s="294"/>
      <c r="B2" s="295"/>
      <c r="C2" s="295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868"/>
      <c r="O2" s="868"/>
      <c r="P2" s="868"/>
      <c r="Q2" s="867" t="s">
        <v>93</v>
      </c>
    </row>
    <row r="3" spans="1:17" ht="12" customHeight="1">
      <c r="A3" s="294"/>
      <c r="B3" s="295"/>
      <c r="C3" s="295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868"/>
      <c r="O3" s="868"/>
      <c r="P3" s="868"/>
      <c r="Q3" s="868" t="s">
        <v>132</v>
      </c>
    </row>
    <row r="4" spans="1:17" ht="21.75" customHeight="1">
      <c r="A4" s="1899" t="s">
        <v>574</v>
      </c>
      <c r="B4" s="1899"/>
      <c r="C4" s="1899"/>
      <c r="D4" s="1899"/>
      <c r="E4" s="1899"/>
      <c r="F4" s="1899"/>
      <c r="G4" s="1899"/>
      <c r="H4" s="1899"/>
      <c r="I4" s="1899"/>
      <c r="J4" s="1899"/>
      <c r="K4" s="1899"/>
      <c r="L4" s="1899"/>
      <c r="M4" s="1899"/>
      <c r="N4" s="1899"/>
      <c r="O4" s="1899"/>
      <c r="P4" s="1899"/>
      <c r="Q4" s="1899"/>
    </row>
    <row r="5" spans="1:17" ht="21.75" customHeight="1">
      <c r="A5" s="1900" t="s">
        <v>585</v>
      </c>
      <c r="B5" s="1900"/>
      <c r="C5" s="1900"/>
      <c r="D5" s="1900"/>
      <c r="E5" s="1900"/>
      <c r="F5" s="1900"/>
      <c r="G5" s="1900"/>
      <c r="H5" s="1900"/>
      <c r="I5" s="1900"/>
      <c r="J5" s="1900"/>
      <c r="K5" s="1900"/>
      <c r="L5" s="1900"/>
      <c r="M5" s="1900"/>
      <c r="N5" s="1900"/>
      <c r="O5" s="1900"/>
      <c r="P5" s="1900"/>
      <c r="Q5" s="1900"/>
    </row>
    <row r="6" spans="1:17" ht="21.75" customHeight="1" thickBot="1">
      <c r="A6" s="294"/>
      <c r="B6" s="295"/>
      <c r="C6" s="295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880"/>
      <c r="O6" s="906"/>
      <c r="P6" s="377"/>
      <c r="Q6" s="13" t="s">
        <v>134</v>
      </c>
    </row>
    <row r="7" spans="1:17" s="94" customFormat="1" ht="33.75" customHeight="1">
      <c r="A7" s="229" t="s">
        <v>124</v>
      </c>
      <c r="B7" s="93" t="s">
        <v>125</v>
      </c>
      <c r="C7" s="1896" t="s">
        <v>137</v>
      </c>
      <c r="D7" s="1897"/>
      <c r="E7" s="1898"/>
      <c r="F7" s="1907" t="s">
        <v>138</v>
      </c>
      <c r="G7" s="1908"/>
      <c r="H7" s="1909"/>
      <c r="I7" s="1907" t="s">
        <v>140</v>
      </c>
      <c r="J7" s="1908"/>
      <c r="K7" s="1909"/>
      <c r="L7" s="1896" t="s">
        <v>141</v>
      </c>
      <c r="M7" s="1897"/>
      <c r="N7" s="1898"/>
      <c r="O7" s="1904" t="s">
        <v>412</v>
      </c>
      <c r="P7" s="1905"/>
      <c r="Q7" s="1906"/>
    </row>
    <row r="8" spans="1:17" s="31" customFormat="1" ht="30.75" customHeight="1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24" t="s">
        <v>420</v>
      </c>
      <c r="M8" s="23" t="s">
        <v>128</v>
      </c>
      <c r="N8" s="11" t="s">
        <v>661</v>
      </c>
      <c r="O8" s="24" t="s">
        <v>420</v>
      </c>
      <c r="P8" s="23" t="s">
        <v>128</v>
      </c>
      <c r="Q8" s="11" t="s">
        <v>661</v>
      </c>
    </row>
    <row r="9" spans="1:17" s="44" customFormat="1" ht="15.75" customHeight="1" thickBot="1">
      <c r="A9" s="411">
        <v>1</v>
      </c>
      <c r="B9" s="411">
        <v>2</v>
      </c>
      <c r="C9" s="412">
        <v>3</v>
      </c>
      <c r="D9" s="413">
        <v>4</v>
      </c>
      <c r="E9" s="415">
        <v>5</v>
      </c>
      <c r="F9" s="413">
        <v>6</v>
      </c>
      <c r="G9" s="413">
        <v>7</v>
      </c>
      <c r="H9" s="413">
        <v>8</v>
      </c>
      <c r="I9" s="412">
        <v>9</v>
      </c>
      <c r="J9" s="413">
        <v>10</v>
      </c>
      <c r="K9" s="415">
        <v>11</v>
      </c>
      <c r="L9" s="413">
        <v>12</v>
      </c>
      <c r="M9" s="413">
        <v>13</v>
      </c>
      <c r="N9" s="415">
        <v>14</v>
      </c>
      <c r="O9" s="413">
        <v>15</v>
      </c>
      <c r="P9" s="413">
        <v>16</v>
      </c>
      <c r="Q9" s="415">
        <v>17</v>
      </c>
    </row>
    <row r="10" spans="1:17" s="31" customFormat="1" ht="15.75" customHeight="1" thickBot="1">
      <c r="A10" s="371"/>
      <c r="B10" s="337" t="s">
        <v>129</v>
      </c>
      <c r="C10" s="372"/>
      <c r="D10" s="373"/>
      <c r="E10" s="374"/>
      <c r="F10" s="375"/>
      <c r="G10" s="376"/>
      <c r="H10" s="374"/>
      <c r="I10" s="375"/>
      <c r="J10" s="376"/>
      <c r="K10" s="374"/>
      <c r="L10" s="919"/>
      <c r="M10" s="1134"/>
      <c r="N10" s="890"/>
      <c r="O10" s="919"/>
      <c r="P10" s="376"/>
      <c r="Q10" s="890"/>
    </row>
    <row r="11" spans="1:17" s="31" customFormat="1" ht="15.75" customHeight="1" thickBot="1">
      <c r="A11" s="304">
        <v>1</v>
      </c>
      <c r="B11" s="296" t="s">
        <v>113</v>
      </c>
      <c r="C11" s="305"/>
      <c r="D11" s="305"/>
      <c r="E11" s="349">
        <f>SUM(C11:D11)</f>
        <v>0</v>
      </c>
      <c r="F11" s="305"/>
      <c r="G11" s="305"/>
      <c r="H11" s="349">
        <f>SUM(F11:G11)</f>
        <v>0</v>
      </c>
      <c r="I11" s="305">
        <v>6909</v>
      </c>
      <c r="J11" s="305">
        <v>-170</v>
      </c>
      <c r="K11" s="349">
        <f aca="true" t="shared" si="0" ref="K11:K16">SUM(I11:J11)</f>
        <v>6739</v>
      </c>
      <c r="L11" s="305">
        <v>1259</v>
      </c>
      <c r="M11" s="305">
        <v>-232</v>
      </c>
      <c r="N11" s="349">
        <f aca="true" t="shared" si="1" ref="N11:N16">SUM(L11:M11)</f>
        <v>1027</v>
      </c>
      <c r="O11" s="309">
        <v>739</v>
      </c>
      <c r="P11" s="305"/>
      <c r="Q11" s="311">
        <f aca="true" t="shared" si="2" ref="Q11:Q16">SUM(O11:P11)</f>
        <v>739</v>
      </c>
    </row>
    <row r="12" spans="1:17" ht="15.75" customHeight="1" thickBot="1">
      <c r="A12" s="308">
        <v>2</v>
      </c>
      <c r="B12" s="296" t="s">
        <v>202</v>
      </c>
      <c r="C12" s="307"/>
      <c r="D12" s="305"/>
      <c r="E12" s="349">
        <f>SUM(C12:D12)</f>
        <v>0</v>
      </c>
      <c r="F12" s="307"/>
      <c r="G12" s="305"/>
      <c r="H12" s="349">
        <f>SUM(F12:G12)</f>
        <v>0</v>
      </c>
      <c r="I12" s="307">
        <v>1223</v>
      </c>
      <c r="J12" s="305"/>
      <c r="K12" s="349">
        <f t="shared" si="0"/>
        <v>1223</v>
      </c>
      <c r="L12" s="307"/>
      <c r="M12" s="305"/>
      <c r="N12" s="349">
        <f t="shared" si="1"/>
        <v>0</v>
      </c>
      <c r="O12" s="309">
        <v>300</v>
      </c>
      <c r="P12" s="305"/>
      <c r="Q12" s="311">
        <f t="shared" si="2"/>
        <v>300</v>
      </c>
    </row>
    <row r="13" spans="1:17" s="15" customFormat="1" ht="15.75" customHeight="1" thickBot="1">
      <c r="A13" s="308">
        <v>3</v>
      </c>
      <c r="B13" s="296" t="s">
        <v>116</v>
      </c>
      <c r="C13" s="321">
        <v>135303</v>
      </c>
      <c r="D13" s="305"/>
      <c r="E13" s="311">
        <f>SUM(C13:D13)</f>
        <v>135303</v>
      </c>
      <c r="F13" s="309">
        <v>67627</v>
      </c>
      <c r="G13" s="305"/>
      <c r="H13" s="311">
        <f>SUM(F13:G13)</f>
        <v>67627</v>
      </c>
      <c r="I13" s="305"/>
      <c r="J13" s="305"/>
      <c r="K13" s="349">
        <f t="shared" si="0"/>
        <v>0</v>
      </c>
      <c r="L13" s="305">
        <v>406</v>
      </c>
      <c r="M13" s="305">
        <v>4512</v>
      </c>
      <c r="N13" s="349">
        <f t="shared" si="1"/>
        <v>4918</v>
      </c>
      <c r="O13" s="309">
        <v>67278</v>
      </c>
      <c r="P13" s="305">
        <v>-4084</v>
      </c>
      <c r="Q13" s="311">
        <f t="shared" si="2"/>
        <v>63194</v>
      </c>
    </row>
    <row r="14" spans="1:17" s="15" customFormat="1" ht="15.75" customHeight="1" thickBot="1">
      <c r="A14" s="308">
        <v>4</v>
      </c>
      <c r="B14" s="296" t="s">
        <v>172</v>
      </c>
      <c r="C14" s="321"/>
      <c r="D14" s="305"/>
      <c r="E14" s="311">
        <f>SUM(C14:D14)</f>
        <v>0</v>
      </c>
      <c r="F14" s="321"/>
      <c r="G14" s="305"/>
      <c r="H14" s="311">
        <f>SUM(F14:G14)</f>
        <v>0</v>
      </c>
      <c r="I14" s="307"/>
      <c r="J14" s="307"/>
      <c r="K14" s="311">
        <f t="shared" si="0"/>
        <v>0</v>
      </c>
      <c r="L14" s="307"/>
      <c r="M14" s="307"/>
      <c r="N14" s="311">
        <f t="shared" si="1"/>
        <v>0</v>
      </c>
      <c r="O14" s="321"/>
      <c r="P14" s="305"/>
      <c r="Q14" s="311">
        <f t="shared" si="2"/>
        <v>0</v>
      </c>
    </row>
    <row r="15" spans="1:17" ht="15.75" customHeight="1">
      <c r="A15" s="163" t="s">
        <v>98</v>
      </c>
      <c r="B15" s="152" t="s">
        <v>370</v>
      </c>
      <c r="C15" s="297"/>
      <c r="D15" s="224"/>
      <c r="E15" s="227">
        <f>C15+D15</f>
        <v>0</v>
      </c>
      <c r="F15" s="297"/>
      <c r="G15" s="224"/>
      <c r="H15" s="227">
        <f>F15+G15</f>
        <v>0</v>
      </c>
      <c r="I15" s="224"/>
      <c r="J15" s="224"/>
      <c r="K15" s="380">
        <f t="shared" si="0"/>
        <v>0</v>
      </c>
      <c r="L15" s="224"/>
      <c r="M15" s="224"/>
      <c r="N15" s="380">
        <f t="shared" si="1"/>
        <v>0</v>
      </c>
      <c r="O15" s="297"/>
      <c r="P15" s="224"/>
      <c r="Q15" s="227">
        <f t="shared" si="2"/>
        <v>0</v>
      </c>
    </row>
    <row r="16" spans="1:17" ht="15.75" customHeight="1">
      <c r="A16" s="160" t="s">
        <v>99</v>
      </c>
      <c r="B16" s="156" t="s">
        <v>554</v>
      </c>
      <c r="C16" s="298"/>
      <c r="D16" s="146"/>
      <c r="E16" s="227">
        <f>C16+D16</f>
        <v>0</v>
      </c>
      <c r="F16" s="298"/>
      <c r="G16" s="146"/>
      <c r="H16" s="227">
        <f>F16+G16</f>
        <v>0</v>
      </c>
      <c r="I16" s="146"/>
      <c r="J16" s="146"/>
      <c r="K16" s="380">
        <f t="shared" si="0"/>
        <v>0</v>
      </c>
      <c r="L16" s="146"/>
      <c r="M16" s="146"/>
      <c r="N16" s="380">
        <f t="shared" si="1"/>
        <v>0</v>
      </c>
      <c r="O16" s="298"/>
      <c r="P16" s="146"/>
      <c r="Q16" s="227">
        <f t="shared" si="2"/>
        <v>0</v>
      </c>
    </row>
    <row r="17" spans="1:17" ht="15.75" customHeight="1">
      <c r="A17" s="160" t="s">
        <v>100</v>
      </c>
      <c r="B17" s="156" t="s">
        <v>555</v>
      </c>
      <c r="C17" s="298"/>
      <c r="D17" s="146"/>
      <c r="E17" s="227">
        <f aca="true" t="shared" si="3" ref="E17:E22">C17+D17</f>
        <v>0</v>
      </c>
      <c r="F17" s="298"/>
      <c r="G17" s="146"/>
      <c r="H17" s="227">
        <f aca="true" t="shared" si="4" ref="H17:H22">F17+G17</f>
        <v>0</v>
      </c>
      <c r="I17" s="146"/>
      <c r="J17" s="146"/>
      <c r="K17" s="380">
        <f aca="true" t="shared" si="5" ref="K17:K22">SUM(I17:J17)</f>
        <v>0</v>
      </c>
      <c r="L17" s="146"/>
      <c r="M17" s="146"/>
      <c r="N17" s="380">
        <f aca="true" t="shared" si="6" ref="N17:N22">SUM(L17:M17)</f>
        <v>0</v>
      </c>
      <c r="O17" s="298"/>
      <c r="P17" s="146"/>
      <c r="Q17" s="227">
        <f aca="true" t="shared" si="7" ref="Q17:Q22">SUM(O17:P17)</f>
        <v>0</v>
      </c>
    </row>
    <row r="18" spans="1:17" ht="15.75" customHeight="1">
      <c r="A18" s="160" t="s">
        <v>101</v>
      </c>
      <c r="B18" s="156" t="s">
        <v>371</v>
      </c>
      <c r="C18" s="881"/>
      <c r="D18" s="146"/>
      <c r="E18" s="227">
        <f t="shared" si="3"/>
        <v>0</v>
      </c>
      <c r="F18" s="298"/>
      <c r="G18" s="146"/>
      <c r="H18" s="227">
        <f t="shared" si="4"/>
        <v>0</v>
      </c>
      <c r="I18" s="298"/>
      <c r="J18" s="146"/>
      <c r="K18" s="227">
        <f t="shared" si="5"/>
        <v>0</v>
      </c>
      <c r="L18" s="146"/>
      <c r="M18" s="146"/>
      <c r="N18" s="380">
        <f t="shared" si="6"/>
        <v>0</v>
      </c>
      <c r="O18" s="298"/>
      <c r="P18" s="146"/>
      <c r="Q18" s="227">
        <f t="shared" si="7"/>
        <v>0</v>
      </c>
    </row>
    <row r="19" spans="1:17" ht="15.75" customHeight="1">
      <c r="A19" s="155" t="s">
        <v>192</v>
      </c>
      <c r="B19" s="156" t="s">
        <v>556</v>
      </c>
      <c r="C19" s="860"/>
      <c r="D19" s="146"/>
      <c r="E19" s="227">
        <f>C19+D19</f>
        <v>0</v>
      </c>
      <c r="F19" s="298"/>
      <c r="G19" s="146"/>
      <c r="H19" s="227">
        <f>F19+G19</f>
        <v>0</v>
      </c>
      <c r="I19" s="298"/>
      <c r="J19" s="146"/>
      <c r="K19" s="227">
        <f>SUM(I19:J19)</f>
        <v>0</v>
      </c>
      <c r="L19" s="146"/>
      <c r="M19" s="146"/>
      <c r="N19" s="380">
        <f>SUM(L19:M19)</f>
        <v>0</v>
      </c>
      <c r="O19" s="298"/>
      <c r="P19" s="146"/>
      <c r="Q19" s="227">
        <f>SUM(O19:P19)</f>
        <v>0</v>
      </c>
    </row>
    <row r="20" spans="1:17" ht="15.75" customHeight="1">
      <c r="A20" s="155" t="s">
        <v>327</v>
      </c>
      <c r="B20" s="156" t="s">
        <v>557</v>
      </c>
      <c r="C20" s="860"/>
      <c r="D20" s="146"/>
      <c r="E20" s="227">
        <f t="shared" si="3"/>
        <v>0</v>
      </c>
      <c r="F20" s="298"/>
      <c r="G20" s="146"/>
      <c r="H20" s="227">
        <f t="shared" si="4"/>
        <v>0</v>
      </c>
      <c r="I20" s="298"/>
      <c r="J20" s="146"/>
      <c r="K20" s="227">
        <f t="shared" si="5"/>
        <v>0</v>
      </c>
      <c r="L20" s="298"/>
      <c r="M20" s="146"/>
      <c r="N20" s="227">
        <f t="shared" si="6"/>
        <v>0</v>
      </c>
      <c r="O20" s="298"/>
      <c r="P20" s="146"/>
      <c r="Q20" s="227">
        <f t="shared" si="7"/>
        <v>0</v>
      </c>
    </row>
    <row r="21" spans="1:17" ht="15.75" customHeight="1">
      <c r="A21" s="153" t="s">
        <v>328</v>
      </c>
      <c r="B21" s="156" t="s">
        <v>372</v>
      </c>
      <c r="C21" s="862"/>
      <c r="D21" s="224"/>
      <c r="E21" s="227">
        <f>C21+D21</f>
        <v>0</v>
      </c>
      <c r="F21" s="297">
        <v>560</v>
      </c>
      <c r="G21" s="224"/>
      <c r="H21" s="227">
        <f t="shared" si="4"/>
        <v>560</v>
      </c>
      <c r="I21" s="297"/>
      <c r="J21" s="224">
        <v>170</v>
      </c>
      <c r="K21" s="227">
        <f t="shared" si="5"/>
        <v>170</v>
      </c>
      <c r="L21" s="297">
        <v>6500</v>
      </c>
      <c r="M21" s="224">
        <v>-1200</v>
      </c>
      <c r="N21" s="227">
        <f t="shared" si="6"/>
        <v>5300</v>
      </c>
      <c r="O21" s="297"/>
      <c r="P21" s="224">
        <v>4934</v>
      </c>
      <c r="Q21" s="227">
        <f t="shared" si="7"/>
        <v>4934</v>
      </c>
    </row>
    <row r="22" spans="1:17" ht="15.75" customHeight="1" thickBot="1">
      <c r="A22" s="16" t="s">
        <v>69</v>
      </c>
      <c r="B22" s="325" t="s">
        <v>373</v>
      </c>
      <c r="C22" s="861"/>
      <c r="D22" s="158"/>
      <c r="E22" s="227">
        <f t="shared" si="3"/>
        <v>0</v>
      </c>
      <c r="F22" s="299"/>
      <c r="G22" s="158"/>
      <c r="H22" s="227">
        <f t="shared" si="4"/>
        <v>0</v>
      </c>
      <c r="I22" s="299"/>
      <c r="J22" s="158"/>
      <c r="K22" s="227">
        <f t="shared" si="5"/>
        <v>0</v>
      </c>
      <c r="L22" s="299"/>
      <c r="M22" s="158"/>
      <c r="N22" s="227">
        <f t="shared" si="6"/>
        <v>0</v>
      </c>
      <c r="O22" s="299"/>
      <c r="P22" s="158"/>
      <c r="Q22" s="227">
        <f t="shared" si="7"/>
        <v>0</v>
      </c>
    </row>
    <row r="23" spans="1:17" s="15" customFormat="1" ht="15.75" customHeight="1" thickBot="1">
      <c r="A23" s="308">
        <v>5</v>
      </c>
      <c r="B23" s="296" t="s">
        <v>171</v>
      </c>
      <c r="C23" s="338">
        <f aca="true" t="shared" si="8" ref="C23:Q23">SUM(C15:C22)</f>
        <v>0</v>
      </c>
      <c r="D23" s="305">
        <f t="shared" si="8"/>
        <v>0</v>
      </c>
      <c r="E23" s="311">
        <f t="shared" si="8"/>
        <v>0</v>
      </c>
      <c r="F23" s="321">
        <f t="shared" si="8"/>
        <v>560</v>
      </c>
      <c r="G23" s="305">
        <f t="shared" si="8"/>
        <v>0</v>
      </c>
      <c r="H23" s="321">
        <f t="shared" si="8"/>
        <v>560</v>
      </c>
      <c r="I23" s="338">
        <f t="shared" si="8"/>
        <v>0</v>
      </c>
      <c r="J23" s="305">
        <f t="shared" si="8"/>
        <v>170</v>
      </c>
      <c r="K23" s="311">
        <f t="shared" si="8"/>
        <v>170</v>
      </c>
      <c r="L23" s="338">
        <f t="shared" si="8"/>
        <v>6500</v>
      </c>
      <c r="M23" s="305">
        <f t="shared" si="8"/>
        <v>-1200</v>
      </c>
      <c r="N23" s="311">
        <f t="shared" si="8"/>
        <v>5300</v>
      </c>
      <c r="O23" s="338">
        <f t="shared" si="8"/>
        <v>0</v>
      </c>
      <c r="P23" s="305">
        <f t="shared" si="8"/>
        <v>4934</v>
      </c>
      <c r="Q23" s="311">
        <f t="shared" si="8"/>
        <v>4934</v>
      </c>
    </row>
    <row r="24" spans="1:17" ht="15.75" customHeight="1" thickBot="1">
      <c r="A24" s="304">
        <v>6</v>
      </c>
      <c r="B24" s="296" t="s">
        <v>174</v>
      </c>
      <c r="C24" s="309"/>
      <c r="D24" s="305"/>
      <c r="E24" s="311">
        <f aca="true" t="shared" si="9" ref="E24:E30">SUM(C24:D24)</f>
        <v>0</v>
      </c>
      <c r="F24" s="309"/>
      <c r="G24" s="305"/>
      <c r="H24" s="311">
        <f aca="true" t="shared" si="10" ref="H24:H30">SUM(F24:G24)</f>
        <v>0</v>
      </c>
      <c r="I24" s="309"/>
      <c r="J24" s="305"/>
      <c r="K24" s="311">
        <f aca="true" t="shared" si="11" ref="K24:K30">SUM(I24:J24)</f>
        <v>0</v>
      </c>
      <c r="L24" s="309"/>
      <c r="M24" s="305"/>
      <c r="N24" s="311">
        <f aca="true" t="shared" si="12" ref="N24:N30">SUM(L24:M24)</f>
        <v>0</v>
      </c>
      <c r="O24" s="338">
        <v>1256</v>
      </c>
      <c r="P24" s="305">
        <v>184</v>
      </c>
      <c r="Q24" s="311">
        <f aca="true" t="shared" si="13" ref="Q24:Q30">SUM(O24:P24)</f>
        <v>1440</v>
      </c>
    </row>
    <row r="25" spans="1:17" s="15" customFormat="1" ht="15.75" customHeight="1" thickBot="1">
      <c r="A25" s="304">
        <v>7</v>
      </c>
      <c r="B25" s="296" t="s">
        <v>421</v>
      </c>
      <c r="C25" s="309"/>
      <c r="D25" s="305"/>
      <c r="E25" s="311">
        <f t="shared" si="9"/>
        <v>0</v>
      </c>
      <c r="F25" s="309"/>
      <c r="G25" s="305"/>
      <c r="H25" s="321">
        <f t="shared" si="10"/>
        <v>0</v>
      </c>
      <c r="I25" s="338"/>
      <c r="J25" s="305"/>
      <c r="K25" s="311">
        <f t="shared" si="11"/>
        <v>0</v>
      </c>
      <c r="L25" s="321"/>
      <c r="M25" s="305"/>
      <c r="N25" s="311">
        <f t="shared" si="12"/>
        <v>0</v>
      </c>
      <c r="O25" s="309"/>
      <c r="P25" s="305"/>
      <c r="Q25" s="311">
        <f t="shared" si="13"/>
        <v>0</v>
      </c>
    </row>
    <row r="26" spans="1:17" ht="15.75" customHeight="1">
      <c r="A26" s="163" t="s">
        <v>98</v>
      </c>
      <c r="B26" s="156" t="s">
        <v>560</v>
      </c>
      <c r="C26" s="297"/>
      <c r="D26" s="224"/>
      <c r="E26" s="227">
        <f t="shared" si="9"/>
        <v>0</v>
      </c>
      <c r="F26" s="297"/>
      <c r="G26" s="224"/>
      <c r="H26" s="227">
        <f t="shared" si="10"/>
        <v>0</v>
      </c>
      <c r="I26" s="297"/>
      <c r="J26" s="224"/>
      <c r="K26" s="227">
        <f t="shared" si="11"/>
        <v>0</v>
      </c>
      <c r="L26" s="297"/>
      <c r="M26" s="224"/>
      <c r="N26" s="227">
        <f t="shared" si="12"/>
        <v>0</v>
      </c>
      <c r="O26" s="297"/>
      <c r="P26" s="224"/>
      <c r="Q26" s="227">
        <f t="shared" si="13"/>
        <v>0</v>
      </c>
    </row>
    <row r="27" spans="1:17" ht="15.75" customHeight="1">
      <c r="A27" s="163" t="s">
        <v>99</v>
      </c>
      <c r="B27" s="156" t="s">
        <v>558</v>
      </c>
      <c r="C27" s="297"/>
      <c r="D27" s="224"/>
      <c r="E27" s="227">
        <f t="shared" si="9"/>
        <v>0</v>
      </c>
      <c r="F27" s="297"/>
      <c r="G27" s="224"/>
      <c r="H27" s="227">
        <f t="shared" si="10"/>
        <v>0</v>
      </c>
      <c r="I27" s="297"/>
      <c r="J27" s="224"/>
      <c r="K27" s="227">
        <f t="shared" si="11"/>
        <v>0</v>
      </c>
      <c r="L27" s="297"/>
      <c r="M27" s="224"/>
      <c r="N27" s="227">
        <f t="shared" si="12"/>
        <v>0</v>
      </c>
      <c r="O27" s="297"/>
      <c r="P27" s="224"/>
      <c r="Q27" s="227">
        <f t="shared" si="13"/>
        <v>0</v>
      </c>
    </row>
    <row r="28" spans="1:17" ht="15.75" customHeight="1">
      <c r="A28" s="163" t="s">
        <v>100</v>
      </c>
      <c r="B28" s="156" t="s">
        <v>374</v>
      </c>
      <c r="C28" s="297"/>
      <c r="D28" s="224"/>
      <c r="E28" s="227">
        <f t="shared" si="9"/>
        <v>0</v>
      </c>
      <c r="F28" s="297"/>
      <c r="G28" s="224"/>
      <c r="H28" s="227">
        <f t="shared" si="10"/>
        <v>0</v>
      </c>
      <c r="I28" s="297"/>
      <c r="J28" s="224"/>
      <c r="K28" s="227">
        <f t="shared" si="11"/>
        <v>0</v>
      </c>
      <c r="L28" s="297"/>
      <c r="M28" s="224"/>
      <c r="N28" s="227">
        <f t="shared" si="12"/>
        <v>0</v>
      </c>
      <c r="O28" s="297"/>
      <c r="P28" s="224"/>
      <c r="Q28" s="227">
        <f t="shared" si="13"/>
        <v>0</v>
      </c>
    </row>
    <row r="29" spans="1:17" ht="15.75" customHeight="1">
      <c r="A29" s="163" t="s">
        <v>101</v>
      </c>
      <c r="B29" s="156" t="s">
        <v>559</v>
      </c>
      <c r="C29" s="297"/>
      <c r="D29" s="224"/>
      <c r="E29" s="227">
        <f t="shared" si="9"/>
        <v>0</v>
      </c>
      <c r="F29" s="297"/>
      <c r="G29" s="224"/>
      <c r="H29" s="227">
        <f t="shared" si="10"/>
        <v>0</v>
      </c>
      <c r="I29" s="297"/>
      <c r="J29" s="224"/>
      <c r="K29" s="227">
        <f t="shared" si="11"/>
        <v>0</v>
      </c>
      <c r="L29" s="297"/>
      <c r="M29" s="224"/>
      <c r="N29" s="227">
        <f t="shared" si="12"/>
        <v>0</v>
      </c>
      <c r="O29" s="297"/>
      <c r="P29" s="224"/>
      <c r="Q29" s="227">
        <f t="shared" si="13"/>
        <v>0</v>
      </c>
    </row>
    <row r="30" spans="1:17" ht="15.75" customHeight="1" thickBot="1">
      <c r="A30" s="326" t="s">
        <v>192</v>
      </c>
      <c r="B30" s="156" t="s">
        <v>375</v>
      </c>
      <c r="C30" s="320"/>
      <c r="D30" s="312"/>
      <c r="E30" s="315">
        <f t="shared" si="9"/>
        <v>0</v>
      </c>
      <c r="F30" s="320">
        <v>175</v>
      </c>
      <c r="G30" s="312"/>
      <c r="H30" s="315">
        <f t="shared" si="10"/>
        <v>175</v>
      </c>
      <c r="I30" s="320"/>
      <c r="J30" s="312"/>
      <c r="K30" s="315">
        <f t="shared" si="11"/>
        <v>0</v>
      </c>
      <c r="L30" s="320">
        <v>279</v>
      </c>
      <c r="M30" s="312"/>
      <c r="N30" s="315">
        <f t="shared" si="12"/>
        <v>279</v>
      </c>
      <c r="O30" s="320">
        <v>15200</v>
      </c>
      <c r="P30" s="312"/>
      <c r="Q30" s="315">
        <f t="shared" si="13"/>
        <v>15200</v>
      </c>
    </row>
    <row r="31" spans="1:17" s="15" customFormat="1" ht="15.75" customHeight="1" thickBot="1">
      <c r="A31" s="304">
        <v>8</v>
      </c>
      <c r="B31" s="296" t="s">
        <v>173</v>
      </c>
      <c r="C31" s="338">
        <f aca="true" t="shared" si="14" ref="C31:Q31">SUM(C26:C30)</f>
        <v>0</v>
      </c>
      <c r="D31" s="305">
        <f t="shared" si="14"/>
        <v>0</v>
      </c>
      <c r="E31" s="311">
        <f t="shared" si="14"/>
        <v>0</v>
      </c>
      <c r="F31" s="321">
        <f t="shared" si="14"/>
        <v>175</v>
      </c>
      <c r="G31" s="305">
        <f t="shared" si="14"/>
        <v>0</v>
      </c>
      <c r="H31" s="321">
        <f t="shared" si="14"/>
        <v>175</v>
      </c>
      <c r="I31" s="338">
        <f t="shared" si="14"/>
        <v>0</v>
      </c>
      <c r="J31" s="305">
        <f t="shared" si="14"/>
        <v>0</v>
      </c>
      <c r="K31" s="311">
        <f t="shared" si="14"/>
        <v>0</v>
      </c>
      <c r="L31" s="338">
        <f t="shared" si="14"/>
        <v>279</v>
      </c>
      <c r="M31" s="305">
        <f t="shared" si="14"/>
        <v>0</v>
      </c>
      <c r="N31" s="321">
        <f t="shared" si="14"/>
        <v>279</v>
      </c>
      <c r="O31" s="338">
        <f t="shared" si="14"/>
        <v>15200</v>
      </c>
      <c r="P31" s="305">
        <f t="shared" si="14"/>
        <v>0</v>
      </c>
      <c r="Q31" s="311">
        <f t="shared" si="14"/>
        <v>15200</v>
      </c>
    </row>
    <row r="32" spans="1:17" ht="15.75" customHeight="1" thickBot="1">
      <c r="A32" s="304">
        <v>9</v>
      </c>
      <c r="B32" s="296" t="s">
        <v>179</v>
      </c>
      <c r="C32" s="309"/>
      <c r="D32" s="305"/>
      <c r="E32" s="311">
        <f>SUM(C32:D32)</f>
        <v>0</v>
      </c>
      <c r="F32" s="309"/>
      <c r="G32" s="305"/>
      <c r="H32" s="311">
        <f>SUM(F32:G32)</f>
        <v>0</v>
      </c>
      <c r="I32" s="309"/>
      <c r="J32" s="305"/>
      <c r="K32" s="311">
        <f>SUM(I32:J32)</f>
        <v>0</v>
      </c>
      <c r="L32" s="309"/>
      <c r="M32" s="305"/>
      <c r="N32" s="311">
        <f>SUM(L32:M32)</f>
        <v>0</v>
      </c>
      <c r="O32" s="338"/>
      <c r="P32" s="305"/>
      <c r="Q32" s="311">
        <f>SUM(O32:P32)</f>
        <v>0</v>
      </c>
    </row>
    <row r="33" spans="1:17" s="34" customFormat="1" ht="15.75" customHeight="1" thickBot="1">
      <c r="A33" s="358">
        <v>10</v>
      </c>
      <c r="B33" s="359"/>
      <c r="C33" s="165"/>
      <c r="D33" s="360"/>
      <c r="E33" s="1102">
        <f>SUM(C33:D33)</f>
        <v>0</v>
      </c>
      <c r="F33" s="165"/>
      <c r="G33" s="360"/>
      <c r="H33" s="1102">
        <f>SUM(F33:G33)</f>
        <v>0</v>
      </c>
      <c r="I33" s="165"/>
      <c r="J33" s="360"/>
      <c r="K33" s="1102">
        <f>SUM(I33:J33)</f>
        <v>0</v>
      </c>
      <c r="L33" s="165"/>
      <c r="M33" s="360"/>
      <c r="N33" s="1102">
        <f>SUM(L33:M33)</f>
        <v>0</v>
      </c>
      <c r="O33" s="165"/>
      <c r="P33" s="360"/>
      <c r="Q33" s="1102">
        <f>SUM(O33:P33)</f>
        <v>0</v>
      </c>
    </row>
    <row r="34" spans="1:113" s="37" customFormat="1" ht="15.75" customHeight="1" thickBot="1" thickTop="1">
      <c r="A34" s="334" t="s">
        <v>108</v>
      </c>
      <c r="B34" s="357" t="s">
        <v>180</v>
      </c>
      <c r="C34" s="356">
        <f aca="true" t="shared" si="15" ref="C34:Q34">C11+C12+C13+C23+C14+C31+C25+C24+C32+C33</f>
        <v>135303</v>
      </c>
      <c r="D34" s="335">
        <f t="shared" si="15"/>
        <v>0</v>
      </c>
      <c r="E34" s="747">
        <f t="shared" si="15"/>
        <v>135303</v>
      </c>
      <c r="F34" s="356">
        <f t="shared" si="15"/>
        <v>68362</v>
      </c>
      <c r="G34" s="335">
        <f t="shared" si="15"/>
        <v>0</v>
      </c>
      <c r="H34" s="747">
        <f t="shared" si="15"/>
        <v>68362</v>
      </c>
      <c r="I34" s="356">
        <f t="shared" si="15"/>
        <v>8132</v>
      </c>
      <c r="J34" s="335">
        <f t="shared" si="15"/>
        <v>0</v>
      </c>
      <c r="K34" s="747">
        <f t="shared" si="15"/>
        <v>8132</v>
      </c>
      <c r="L34" s="356">
        <f t="shared" si="15"/>
        <v>8444</v>
      </c>
      <c r="M34" s="335">
        <f t="shared" si="15"/>
        <v>3080</v>
      </c>
      <c r="N34" s="747">
        <f t="shared" si="15"/>
        <v>11524</v>
      </c>
      <c r="O34" s="356">
        <f t="shared" si="15"/>
        <v>84773</v>
      </c>
      <c r="P34" s="335">
        <f t="shared" si="15"/>
        <v>1034</v>
      </c>
      <c r="Q34" s="365">
        <f t="shared" si="15"/>
        <v>85807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</row>
    <row r="35" spans="1:113" ht="15.75" customHeight="1" thickBot="1" thickTop="1">
      <c r="A35" s="151"/>
      <c r="B35" s="337" t="s">
        <v>131</v>
      </c>
      <c r="C35" s="1072"/>
      <c r="D35" s="293"/>
      <c r="E35" s="1103"/>
      <c r="F35" s="863"/>
      <c r="G35" s="293"/>
      <c r="H35" s="1103"/>
      <c r="I35" s="910"/>
      <c r="J35" s="293"/>
      <c r="K35" s="1103"/>
      <c r="L35" s="910"/>
      <c r="M35" s="293"/>
      <c r="N35" s="1103"/>
      <c r="O35" s="1072"/>
      <c r="P35" s="293"/>
      <c r="Q35" s="1103"/>
      <c r="R35" s="26"/>
      <c r="S35" s="26"/>
      <c r="T35" s="26"/>
      <c r="U35" s="26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</row>
    <row r="36" spans="1:17" s="731" customFormat="1" ht="15.75" customHeight="1">
      <c r="A36" s="738" t="s">
        <v>98</v>
      </c>
      <c r="B36" s="739" t="s">
        <v>376</v>
      </c>
      <c r="C36" s="1080"/>
      <c r="D36" s="740"/>
      <c r="E36" s="745">
        <f>SUM(C36:D36)</f>
        <v>0</v>
      </c>
      <c r="F36" s="744"/>
      <c r="G36" s="740"/>
      <c r="H36" s="745">
        <f>SUM(F36:G36)</f>
        <v>0</v>
      </c>
      <c r="I36" s="1080"/>
      <c r="J36" s="740"/>
      <c r="K36" s="745">
        <f>SUM(I36:J36)</f>
        <v>0</v>
      </c>
      <c r="L36" s="1080"/>
      <c r="M36" s="740"/>
      <c r="N36" s="745">
        <f>SUM(L36:M36)</f>
        <v>0</v>
      </c>
      <c r="O36" s="1080"/>
      <c r="P36" s="740"/>
      <c r="Q36" s="745">
        <f>SUM(O36:P36)</f>
        <v>0</v>
      </c>
    </row>
    <row r="37" spans="1:17" s="731" customFormat="1" ht="15.75" customHeight="1">
      <c r="A37" s="160" t="s">
        <v>99</v>
      </c>
      <c r="B37" s="156" t="s">
        <v>235</v>
      </c>
      <c r="C37" s="881"/>
      <c r="D37" s="146"/>
      <c r="E37" s="169">
        <f>SUM(C37:D37)</f>
        <v>0</v>
      </c>
      <c r="F37" s="860"/>
      <c r="G37" s="146"/>
      <c r="H37" s="169">
        <f>SUM(F37:G37)</f>
        <v>0</v>
      </c>
      <c r="I37" s="881"/>
      <c r="J37" s="146"/>
      <c r="K37" s="169">
        <f>SUM(I37:J37)</f>
        <v>0</v>
      </c>
      <c r="L37" s="881"/>
      <c r="M37" s="146"/>
      <c r="N37" s="169">
        <f>SUM(L37:M37)</f>
        <v>0</v>
      </c>
      <c r="O37" s="881"/>
      <c r="P37" s="146"/>
      <c r="Q37" s="169">
        <f>SUM(O37:P37)</f>
        <v>0</v>
      </c>
    </row>
    <row r="38" spans="1:17" s="731" customFormat="1" ht="15.75" customHeight="1">
      <c r="A38" s="326" t="s">
        <v>100</v>
      </c>
      <c r="B38" s="149" t="s">
        <v>377</v>
      </c>
      <c r="C38" s="1071"/>
      <c r="D38" s="312"/>
      <c r="E38" s="315">
        <f>SUM(C38:D38)</f>
        <v>0</v>
      </c>
      <c r="F38" s="164"/>
      <c r="G38" s="312"/>
      <c r="H38" s="315">
        <f>SUM(F38:G38)</f>
        <v>0</v>
      </c>
      <c r="I38" s="1071"/>
      <c r="J38" s="312"/>
      <c r="K38" s="315">
        <f>SUM(I38:J38)</f>
        <v>0</v>
      </c>
      <c r="L38" s="1071"/>
      <c r="M38" s="312"/>
      <c r="N38" s="315">
        <f>SUM(L38:M38)</f>
        <v>0</v>
      </c>
      <c r="O38" s="1071"/>
      <c r="P38" s="312"/>
      <c r="Q38" s="315">
        <f>SUM(O38:P38)</f>
        <v>0</v>
      </c>
    </row>
    <row r="39" spans="1:17" s="731" customFormat="1" ht="15.75" customHeight="1" thickBot="1">
      <c r="A39" s="161" t="s">
        <v>101</v>
      </c>
      <c r="B39" s="162" t="s">
        <v>381</v>
      </c>
      <c r="C39" s="882"/>
      <c r="D39" s="158"/>
      <c r="E39" s="237">
        <f>SUM(C39:D39)</f>
        <v>0</v>
      </c>
      <c r="F39" s="861"/>
      <c r="G39" s="158"/>
      <c r="H39" s="237">
        <f>SUM(F39:G39)</f>
        <v>0</v>
      </c>
      <c r="I39" s="882"/>
      <c r="J39" s="158"/>
      <c r="K39" s="237">
        <f>SUM(I39:J39)</f>
        <v>0</v>
      </c>
      <c r="L39" s="882">
        <v>61</v>
      </c>
      <c r="M39" s="158"/>
      <c r="N39" s="237">
        <f>SUM(L39:M39)</f>
        <v>61</v>
      </c>
      <c r="O39" s="882"/>
      <c r="P39" s="158"/>
      <c r="Q39" s="237">
        <f>SUM(O39:P39)</f>
        <v>0</v>
      </c>
    </row>
    <row r="40" spans="1:17" s="15" customFormat="1" ht="15.75" customHeight="1" thickBot="1">
      <c r="A40" s="304">
        <v>1</v>
      </c>
      <c r="B40" s="296" t="s">
        <v>177</v>
      </c>
      <c r="C40" s="338">
        <f aca="true" t="shared" si="16" ref="C40:Q40">SUM(C36:C39)</f>
        <v>0</v>
      </c>
      <c r="D40" s="305">
        <f t="shared" si="16"/>
        <v>0</v>
      </c>
      <c r="E40" s="311">
        <f t="shared" si="16"/>
        <v>0</v>
      </c>
      <c r="F40" s="338">
        <f t="shared" si="16"/>
        <v>0</v>
      </c>
      <c r="G40" s="305">
        <f t="shared" si="16"/>
        <v>0</v>
      </c>
      <c r="H40" s="311">
        <f t="shared" si="16"/>
        <v>0</v>
      </c>
      <c r="I40" s="338">
        <f t="shared" si="16"/>
        <v>0</v>
      </c>
      <c r="J40" s="305">
        <f t="shared" si="16"/>
        <v>0</v>
      </c>
      <c r="K40" s="311">
        <f t="shared" si="16"/>
        <v>0</v>
      </c>
      <c r="L40" s="338">
        <f t="shared" si="16"/>
        <v>61</v>
      </c>
      <c r="M40" s="305">
        <f t="shared" si="16"/>
        <v>0</v>
      </c>
      <c r="N40" s="311">
        <f t="shared" si="16"/>
        <v>61</v>
      </c>
      <c r="O40" s="338">
        <f t="shared" si="16"/>
        <v>0</v>
      </c>
      <c r="P40" s="305">
        <f t="shared" si="16"/>
        <v>0</v>
      </c>
      <c r="Q40" s="311">
        <f t="shared" si="16"/>
        <v>0</v>
      </c>
    </row>
    <row r="41" spans="1:17" ht="15.75" customHeight="1">
      <c r="A41" s="163" t="s">
        <v>98</v>
      </c>
      <c r="B41" s="152" t="s">
        <v>403</v>
      </c>
      <c r="C41" s="1070"/>
      <c r="D41" s="224"/>
      <c r="E41" s="227">
        <f>SUM(C41:D41)</f>
        <v>0</v>
      </c>
      <c r="F41" s="862"/>
      <c r="G41" s="224"/>
      <c r="H41" s="227">
        <f>SUM(F41:G41)</f>
        <v>0</v>
      </c>
      <c r="I41" s="1070"/>
      <c r="J41" s="224"/>
      <c r="K41" s="227">
        <f>SUM(I41:J41)</f>
        <v>0</v>
      </c>
      <c r="L41" s="1070"/>
      <c r="M41" s="224"/>
      <c r="N41" s="227">
        <f>SUM(L41:M41)</f>
        <v>0</v>
      </c>
      <c r="O41" s="1070"/>
      <c r="P41" s="224"/>
      <c r="Q41" s="227">
        <f>SUM(O41:P41)</f>
        <v>0</v>
      </c>
    </row>
    <row r="42" spans="1:17" ht="15.75" customHeight="1">
      <c r="A42" s="160" t="s">
        <v>99</v>
      </c>
      <c r="B42" s="156" t="s">
        <v>378</v>
      </c>
      <c r="C42" s="881"/>
      <c r="D42" s="146"/>
      <c r="E42" s="169">
        <f>SUM(C42:D42)</f>
        <v>0</v>
      </c>
      <c r="F42" s="860"/>
      <c r="G42" s="146"/>
      <c r="H42" s="169">
        <f>SUM(F42:G42)</f>
        <v>0</v>
      </c>
      <c r="I42" s="881"/>
      <c r="J42" s="146"/>
      <c r="K42" s="169">
        <f>SUM(I42:J42)</f>
        <v>0</v>
      </c>
      <c r="L42" s="881"/>
      <c r="M42" s="146"/>
      <c r="N42" s="169">
        <f>SUM(L42:M42)</f>
        <v>0</v>
      </c>
      <c r="O42" s="881"/>
      <c r="P42" s="146"/>
      <c r="Q42" s="169">
        <f>SUM(O42:P42)</f>
        <v>0</v>
      </c>
    </row>
    <row r="43" spans="1:17" ht="15.75" customHeight="1">
      <c r="A43" s="160" t="s">
        <v>100</v>
      </c>
      <c r="B43" s="156" t="s">
        <v>379</v>
      </c>
      <c r="C43" s="881"/>
      <c r="D43" s="146"/>
      <c r="E43" s="169">
        <f>SUM(C43:D43)</f>
        <v>0</v>
      </c>
      <c r="F43" s="860"/>
      <c r="G43" s="146"/>
      <c r="H43" s="169">
        <f>SUM(F43:G43)</f>
        <v>0</v>
      </c>
      <c r="I43" s="881"/>
      <c r="J43" s="146"/>
      <c r="K43" s="169">
        <f>SUM(I43:J43)</f>
        <v>0</v>
      </c>
      <c r="L43" s="881"/>
      <c r="M43" s="146"/>
      <c r="N43" s="169">
        <f>SUM(L43:M43)</f>
        <v>0</v>
      </c>
      <c r="O43" s="881"/>
      <c r="P43" s="146"/>
      <c r="Q43" s="169">
        <f>SUM(O43:P43)</f>
        <v>0</v>
      </c>
    </row>
    <row r="44" spans="1:17" ht="15.75" customHeight="1" thickBot="1">
      <c r="A44" s="161" t="s">
        <v>101</v>
      </c>
      <c r="B44" s="162" t="s">
        <v>175</v>
      </c>
      <c r="C44" s="882"/>
      <c r="D44" s="158"/>
      <c r="E44" s="237">
        <f>SUM(C44:D44)</f>
        <v>0</v>
      </c>
      <c r="F44" s="861"/>
      <c r="G44" s="158"/>
      <c r="H44" s="237">
        <f>SUM(F44:G44)</f>
        <v>0</v>
      </c>
      <c r="I44" s="882"/>
      <c r="J44" s="158"/>
      <c r="K44" s="237">
        <f>SUM(I44:J44)</f>
        <v>0</v>
      </c>
      <c r="L44" s="882"/>
      <c r="M44" s="158"/>
      <c r="N44" s="237">
        <f>SUM(L44:M44)</f>
        <v>0</v>
      </c>
      <c r="O44" s="882"/>
      <c r="P44" s="158"/>
      <c r="Q44" s="237">
        <f>SUM(O44:P44)</f>
        <v>0</v>
      </c>
    </row>
    <row r="45" spans="1:17" s="15" customFormat="1" ht="15.75" customHeight="1" thickBot="1">
      <c r="A45" s="304">
        <v>2</v>
      </c>
      <c r="B45" s="296" t="s">
        <v>176</v>
      </c>
      <c r="C45" s="338">
        <f>SUM(C41:C44)</f>
        <v>0</v>
      </c>
      <c r="D45" s="305">
        <f aca="true" t="shared" si="17" ref="D45:Q45">SUM(D41:D44)</f>
        <v>0</v>
      </c>
      <c r="E45" s="307">
        <f t="shared" si="17"/>
        <v>0</v>
      </c>
      <c r="F45" s="338">
        <f t="shared" si="17"/>
        <v>0</v>
      </c>
      <c r="G45" s="305">
        <f t="shared" si="17"/>
        <v>0</v>
      </c>
      <c r="H45" s="307">
        <f t="shared" si="17"/>
        <v>0</v>
      </c>
      <c r="I45" s="338">
        <f t="shared" si="17"/>
        <v>0</v>
      </c>
      <c r="J45" s="305">
        <f t="shared" si="17"/>
        <v>0</v>
      </c>
      <c r="K45" s="307">
        <f t="shared" si="17"/>
        <v>0</v>
      </c>
      <c r="L45" s="338">
        <f t="shared" si="17"/>
        <v>0</v>
      </c>
      <c r="M45" s="305">
        <f t="shared" si="17"/>
        <v>0</v>
      </c>
      <c r="N45" s="321">
        <f t="shared" si="17"/>
        <v>0</v>
      </c>
      <c r="O45" s="338">
        <f t="shared" si="17"/>
        <v>0</v>
      </c>
      <c r="P45" s="305">
        <f t="shared" si="17"/>
        <v>0</v>
      </c>
      <c r="Q45" s="311">
        <f t="shared" si="17"/>
        <v>0</v>
      </c>
    </row>
    <row r="46" spans="1:17" s="15" customFormat="1" ht="15.75" customHeight="1" thickBot="1">
      <c r="A46" s="304">
        <v>3</v>
      </c>
      <c r="B46" s="296" t="s">
        <v>254</v>
      </c>
      <c r="C46" s="338">
        <v>1270</v>
      </c>
      <c r="D46" s="305"/>
      <c r="E46" s="307">
        <f>SUM(C46:D46)</f>
        <v>1270</v>
      </c>
      <c r="F46" s="338"/>
      <c r="G46" s="305">
        <v>2767</v>
      </c>
      <c r="H46" s="307">
        <f>SUM(F46:G46)</f>
        <v>2767</v>
      </c>
      <c r="I46" s="338"/>
      <c r="J46" s="305"/>
      <c r="K46" s="307">
        <f>SUM(I46:J46)</f>
        <v>0</v>
      </c>
      <c r="L46" s="338"/>
      <c r="M46" s="305"/>
      <c r="N46" s="321">
        <f>SUM(L46:M46)</f>
        <v>0</v>
      </c>
      <c r="O46" s="338"/>
      <c r="P46" s="305"/>
      <c r="Q46" s="311">
        <f>SUM(O46:P46)</f>
        <v>0</v>
      </c>
    </row>
    <row r="47" spans="1:17" ht="15.75" customHeight="1" thickBot="1">
      <c r="A47" s="304">
        <v>4</v>
      </c>
      <c r="B47" s="296" t="s">
        <v>275</v>
      </c>
      <c r="C47" s="338"/>
      <c r="D47" s="305"/>
      <c r="E47" s="307">
        <f>SUM(C47:D47)</f>
        <v>0</v>
      </c>
      <c r="F47" s="338">
        <v>282</v>
      </c>
      <c r="G47" s="305"/>
      <c r="H47" s="307">
        <f>SUM(F47:G47)</f>
        <v>282</v>
      </c>
      <c r="I47" s="338"/>
      <c r="J47" s="305"/>
      <c r="K47" s="307">
        <f>SUM(I47:J47)</f>
        <v>0</v>
      </c>
      <c r="L47" s="338"/>
      <c r="M47" s="305"/>
      <c r="N47" s="321">
        <f>SUM(L47:M47)</f>
        <v>0</v>
      </c>
      <c r="O47" s="338"/>
      <c r="P47" s="305"/>
      <c r="Q47" s="311">
        <f>SUM(O47:P47)</f>
        <v>0</v>
      </c>
    </row>
    <row r="48" spans="1:17" s="731" customFormat="1" ht="15.75" customHeight="1">
      <c r="A48" s="163" t="s">
        <v>98</v>
      </c>
      <c r="B48" s="149" t="s">
        <v>281</v>
      </c>
      <c r="C48" s="1070"/>
      <c r="D48" s="224"/>
      <c r="E48" s="227">
        <f>SUM(C48:D48)</f>
        <v>0</v>
      </c>
      <c r="F48" s="862"/>
      <c r="G48" s="224"/>
      <c r="H48" s="227">
        <f>SUM(F48:G48)</f>
        <v>0</v>
      </c>
      <c r="I48" s="1070"/>
      <c r="J48" s="224"/>
      <c r="K48" s="227">
        <f>SUM(I48:J48)</f>
        <v>0</v>
      </c>
      <c r="L48" s="1070"/>
      <c r="M48" s="224"/>
      <c r="N48" s="227">
        <f>SUM(L48:M48)</f>
        <v>0</v>
      </c>
      <c r="O48" s="1070"/>
      <c r="P48" s="224"/>
      <c r="Q48" s="227">
        <f>SUM(O48:P48)</f>
        <v>0</v>
      </c>
    </row>
    <row r="49" spans="1:17" ht="15.75" customHeight="1">
      <c r="A49" s="161" t="s">
        <v>99</v>
      </c>
      <c r="B49" s="325" t="s">
        <v>380</v>
      </c>
      <c r="C49" s="881"/>
      <c r="D49" s="146"/>
      <c r="E49" s="169">
        <f>SUM(C49:D49)</f>
        <v>0</v>
      </c>
      <c r="F49" s="860"/>
      <c r="G49" s="146"/>
      <c r="H49" s="169">
        <f>SUM(F49:G49)</f>
        <v>0</v>
      </c>
      <c r="I49" s="881"/>
      <c r="J49" s="146"/>
      <c r="K49" s="169">
        <f>SUM(I49:J49)</f>
        <v>0</v>
      </c>
      <c r="L49" s="881"/>
      <c r="M49" s="146"/>
      <c r="N49" s="169">
        <f>SUM(L49:M49)</f>
        <v>0</v>
      </c>
      <c r="O49" s="881"/>
      <c r="P49" s="146"/>
      <c r="Q49" s="169">
        <f>SUM(O49:P49)</f>
        <v>0</v>
      </c>
    </row>
    <row r="50" spans="1:17" ht="15.75" customHeight="1" thickBot="1">
      <c r="A50" s="161" t="s">
        <v>100</v>
      </c>
      <c r="B50" s="325" t="s">
        <v>413</v>
      </c>
      <c r="C50" s="881"/>
      <c r="D50" s="146"/>
      <c r="E50" s="169">
        <f>SUM(C50:D50)</f>
        <v>0</v>
      </c>
      <c r="F50" s="860"/>
      <c r="G50" s="146"/>
      <c r="H50" s="169">
        <f>SUM(F50:G50)</f>
        <v>0</v>
      </c>
      <c r="I50" s="881"/>
      <c r="J50" s="146"/>
      <c r="K50" s="169">
        <f>SUM(I50:J50)</f>
        <v>0</v>
      </c>
      <c r="L50" s="881"/>
      <c r="M50" s="146"/>
      <c r="N50" s="169">
        <f>SUM(L50:M50)</f>
        <v>0</v>
      </c>
      <c r="O50" s="881"/>
      <c r="P50" s="146"/>
      <c r="Q50" s="169">
        <f>SUM(O50:P50)</f>
        <v>0</v>
      </c>
    </row>
    <row r="51" spans="1:17" s="15" customFormat="1" ht="15.75" customHeight="1" thickBot="1">
      <c r="A51" s="304">
        <v>5</v>
      </c>
      <c r="B51" s="296" t="s">
        <v>178</v>
      </c>
      <c r="C51" s="338">
        <f>SUM(C48:C50)</f>
        <v>0</v>
      </c>
      <c r="D51" s="305">
        <f>SUM(D48:D50)</f>
        <v>0</v>
      </c>
      <c r="E51" s="307">
        <f aca="true" t="shared" si="18" ref="E51:Q51">SUM(E48:E50)</f>
        <v>0</v>
      </c>
      <c r="F51" s="338">
        <f t="shared" si="18"/>
        <v>0</v>
      </c>
      <c r="G51" s="305">
        <f t="shared" si="18"/>
        <v>0</v>
      </c>
      <c r="H51" s="307">
        <f t="shared" si="18"/>
        <v>0</v>
      </c>
      <c r="I51" s="338">
        <f t="shared" si="18"/>
        <v>0</v>
      </c>
      <c r="J51" s="305">
        <f t="shared" si="18"/>
        <v>0</v>
      </c>
      <c r="K51" s="307">
        <f t="shared" si="18"/>
        <v>0</v>
      </c>
      <c r="L51" s="338">
        <f t="shared" si="18"/>
        <v>0</v>
      </c>
      <c r="M51" s="305">
        <f t="shared" si="18"/>
        <v>0</v>
      </c>
      <c r="N51" s="307">
        <f t="shared" si="18"/>
        <v>0</v>
      </c>
      <c r="O51" s="338">
        <f t="shared" si="18"/>
        <v>0</v>
      </c>
      <c r="P51" s="305">
        <f t="shared" si="18"/>
        <v>0</v>
      </c>
      <c r="Q51" s="311">
        <f t="shared" si="18"/>
        <v>0</v>
      </c>
    </row>
    <row r="52" spans="1:17" s="15" customFormat="1" ht="15.75" customHeight="1" thickBot="1">
      <c r="A52" s="734">
        <v>6</v>
      </c>
      <c r="B52" s="735" t="s">
        <v>285</v>
      </c>
      <c r="C52" s="1073"/>
      <c r="D52" s="330"/>
      <c r="E52" s="323">
        <f>SUM(C52:D52)</f>
        <v>0</v>
      </c>
      <c r="F52" s="324"/>
      <c r="G52" s="330"/>
      <c r="H52" s="323">
        <f>SUM(F52:G52)</f>
        <v>0</v>
      </c>
      <c r="I52" s="1079"/>
      <c r="J52" s="330"/>
      <c r="K52" s="323">
        <f>SUM(I52:J52)</f>
        <v>0</v>
      </c>
      <c r="L52" s="1079"/>
      <c r="M52" s="330"/>
      <c r="N52" s="323">
        <f>SUM(L52:M52)</f>
        <v>0</v>
      </c>
      <c r="O52" s="1079"/>
      <c r="P52" s="330"/>
      <c r="Q52" s="323">
        <f>SUM(O52:P52)</f>
        <v>0</v>
      </c>
    </row>
    <row r="53" spans="1:17" ht="15.75" customHeight="1">
      <c r="A53" s="144" t="s">
        <v>98</v>
      </c>
      <c r="B53" s="145" t="s">
        <v>382</v>
      </c>
      <c r="C53" s="1074"/>
      <c r="D53" s="147"/>
      <c r="E53" s="203">
        <f>SUM(C53:D53)</f>
        <v>0</v>
      </c>
      <c r="F53" s="864">
        <v>342</v>
      </c>
      <c r="G53" s="147">
        <v>216</v>
      </c>
      <c r="H53" s="203">
        <f>SUM(F53:G53)</f>
        <v>558</v>
      </c>
      <c r="I53" s="1074"/>
      <c r="J53" s="147"/>
      <c r="K53" s="203">
        <f>SUM(I53:J53)</f>
        <v>0</v>
      </c>
      <c r="L53" s="1074"/>
      <c r="M53" s="147"/>
      <c r="N53" s="203">
        <f>SUM(L53:M53)</f>
        <v>0</v>
      </c>
      <c r="O53" s="1074"/>
      <c r="P53" s="147"/>
      <c r="Q53" s="203">
        <f>SUM(O53:P53)</f>
        <v>0</v>
      </c>
    </row>
    <row r="54" spans="1:17" ht="15.75" customHeight="1" thickBot="1">
      <c r="A54" s="326" t="s">
        <v>99</v>
      </c>
      <c r="B54" s="149" t="s">
        <v>383</v>
      </c>
      <c r="C54" s="1071"/>
      <c r="D54" s="312"/>
      <c r="E54" s="315">
        <f>SUM(C54:D54)</f>
        <v>0</v>
      </c>
      <c r="F54" s="164"/>
      <c r="G54" s="312"/>
      <c r="H54" s="315">
        <f>SUM(F54:G54)</f>
        <v>0</v>
      </c>
      <c r="I54" s="1071"/>
      <c r="J54" s="312"/>
      <c r="K54" s="315">
        <f>SUM(I54:J54)</f>
        <v>0</v>
      </c>
      <c r="L54" s="1071"/>
      <c r="M54" s="312"/>
      <c r="N54" s="315">
        <f>SUM(L54:M54)</f>
        <v>0</v>
      </c>
      <c r="O54" s="1071"/>
      <c r="P54" s="312"/>
      <c r="Q54" s="315">
        <f>SUM(O54:P54)</f>
        <v>0</v>
      </c>
    </row>
    <row r="55" spans="1:17" s="15" customFormat="1" ht="15.75" customHeight="1" thickBot="1">
      <c r="A55" s="304">
        <v>7</v>
      </c>
      <c r="B55" s="296" t="s">
        <v>181</v>
      </c>
      <c r="C55" s="338">
        <f>SUM(C53:C54)</f>
        <v>0</v>
      </c>
      <c r="D55" s="305">
        <f aca="true" t="shared" si="19" ref="D55:Q55">SUM(D53:D54)</f>
        <v>0</v>
      </c>
      <c r="E55" s="307">
        <f t="shared" si="19"/>
        <v>0</v>
      </c>
      <c r="F55" s="338">
        <f t="shared" si="19"/>
        <v>342</v>
      </c>
      <c r="G55" s="305">
        <f t="shared" si="19"/>
        <v>216</v>
      </c>
      <c r="H55" s="307">
        <f t="shared" si="19"/>
        <v>558</v>
      </c>
      <c r="I55" s="338">
        <f t="shared" si="19"/>
        <v>0</v>
      </c>
      <c r="J55" s="305">
        <f t="shared" si="19"/>
        <v>0</v>
      </c>
      <c r="K55" s="307">
        <f t="shared" si="19"/>
        <v>0</v>
      </c>
      <c r="L55" s="338">
        <f t="shared" si="19"/>
        <v>0</v>
      </c>
      <c r="M55" s="305">
        <f t="shared" si="19"/>
        <v>0</v>
      </c>
      <c r="N55" s="307">
        <f t="shared" si="19"/>
        <v>0</v>
      </c>
      <c r="O55" s="1081">
        <f t="shared" si="19"/>
        <v>0</v>
      </c>
      <c r="P55" s="1083">
        <f t="shared" si="19"/>
        <v>0</v>
      </c>
      <c r="Q55" s="1085">
        <f t="shared" si="19"/>
        <v>0</v>
      </c>
    </row>
    <row r="56" spans="1:17" s="268" customFormat="1" ht="15.75" customHeight="1" thickBot="1">
      <c r="A56" s="691">
        <v>8</v>
      </c>
      <c r="B56" s="692" t="s">
        <v>46</v>
      </c>
      <c r="C56" s="1106">
        <f>C34-C40-C45-C46-C47-C51-C52-C55-C57-C58-C59</f>
        <v>134033</v>
      </c>
      <c r="D56" s="1107">
        <f>D34-D40-D45-D46-D47-D51-D52-D55-D57-D58-D59</f>
        <v>0</v>
      </c>
      <c r="E56" s="1104">
        <f aca="true" t="shared" si="20" ref="E56:Q56">E34-E40-E45-E46-E47-E51-E52-E55-E57-E58-E59</f>
        <v>134033</v>
      </c>
      <c r="F56" s="1106">
        <f t="shared" si="20"/>
        <v>67738</v>
      </c>
      <c r="G56" s="1107">
        <f t="shared" si="20"/>
        <v>-2983</v>
      </c>
      <c r="H56" s="1104">
        <f t="shared" si="20"/>
        <v>64755</v>
      </c>
      <c r="I56" s="1106">
        <f t="shared" si="20"/>
        <v>8132</v>
      </c>
      <c r="J56" s="1107">
        <f t="shared" si="20"/>
        <v>0</v>
      </c>
      <c r="K56" s="1104">
        <f t="shared" si="20"/>
        <v>8132</v>
      </c>
      <c r="L56" s="1106">
        <f t="shared" si="20"/>
        <v>8383</v>
      </c>
      <c r="M56" s="1107">
        <f t="shared" si="20"/>
        <v>3080</v>
      </c>
      <c r="N56" s="1104">
        <f t="shared" si="20"/>
        <v>11463</v>
      </c>
      <c r="O56" s="1129">
        <f t="shared" si="20"/>
        <v>84773</v>
      </c>
      <c r="P56" s="1131">
        <f t="shared" si="20"/>
        <v>1034</v>
      </c>
      <c r="Q56" s="1119">
        <f t="shared" si="20"/>
        <v>85807</v>
      </c>
    </row>
    <row r="57" spans="1:17" s="15" customFormat="1" ht="15.75" customHeight="1">
      <c r="A57" s="327" t="s">
        <v>385</v>
      </c>
      <c r="B57" s="328" t="s">
        <v>184</v>
      </c>
      <c r="C57" s="1076"/>
      <c r="D57" s="318"/>
      <c r="E57" s="1105">
        <f>SUM(C57:D57)</f>
        <v>0</v>
      </c>
      <c r="F57" s="865"/>
      <c r="G57" s="318"/>
      <c r="H57" s="1105">
        <f>SUM(F57:G57)</f>
        <v>0</v>
      </c>
      <c r="I57" s="1076"/>
      <c r="J57" s="318"/>
      <c r="K57" s="1105">
        <f>SUM(I57:J57)</f>
        <v>0</v>
      </c>
      <c r="L57" s="1076"/>
      <c r="M57" s="318"/>
      <c r="N57" s="1105">
        <f>SUM(L57:M57)</f>
        <v>0</v>
      </c>
      <c r="O57" s="1076"/>
      <c r="P57" s="318"/>
      <c r="Q57" s="1105">
        <f>SUM(O57:P57)</f>
        <v>0</v>
      </c>
    </row>
    <row r="58" spans="1:17" s="15" customFormat="1" ht="15.75" customHeight="1">
      <c r="A58" s="327" t="s">
        <v>183</v>
      </c>
      <c r="B58" s="328" t="s">
        <v>384</v>
      </c>
      <c r="C58" s="317"/>
      <c r="D58" s="318"/>
      <c r="E58" s="393">
        <f>SUM(C58:D58)</f>
        <v>0</v>
      </c>
      <c r="F58" s="322"/>
      <c r="G58" s="318"/>
      <c r="H58" s="393">
        <f>SUM(F58:G58)</f>
        <v>0</v>
      </c>
      <c r="I58" s="1076"/>
      <c r="J58" s="318"/>
      <c r="K58" s="1105">
        <f>SUM(I58:J58)</f>
        <v>0</v>
      </c>
      <c r="L58" s="1076"/>
      <c r="M58" s="318"/>
      <c r="N58" s="1105">
        <f>SUM(L58:M58)</f>
        <v>0</v>
      </c>
      <c r="O58" s="317"/>
      <c r="P58" s="318"/>
      <c r="Q58" s="393">
        <f>SUM(O58:P58)</f>
        <v>0</v>
      </c>
    </row>
    <row r="59" spans="1:17" s="15" customFormat="1" ht="15.75" customHeight="1" thickBot="1">
      <c r="A59" s="342">
        <v>10</v>
      </c>
      <c r="B59" s="343"/>
      <c r="C59" s="344"/>
      <c r="D59" s="345"/>
      <c r="E59" s="397">
        <f>SUM(C59:D59)</f>
        <v>0</v>
      </c>
      <c r="F59" s="347"/>
      <c r="G59" s="345"/>
      <c r="H59" s="398">
        <f>SUM(F59:G59)</f>
        <v>0</v>
      </c>
      <c r="I59" s="344"/>
      <c r="J59" s="345"/>
      <c r="K59" s="398">
        <f>SUM(I59:J59)</f>
        <v>0</v>
      </c>
      <c r="L59" s="344"/>
      <c r="M59" s="345"/>
      <c r="N59" s="398">
        <f>SUM(L59:M59)</f>
        <v>0</v>
      </c>
      <c r="O59" s="344"/>
      <c r="P59" s="345"/>
      <c r="Q59" s="398">
        <f>SUM(O59:P59)</f>
        <v>0</v>
      </c>
    </row>
    <row r="60" spans="1:17" s="34" customFormat="1" ht="15.75" customHeight="1" thickBot="1" thickTop="1">
      <c r="A60" s="334" t="s">
        <v>109</v>
      </c>
      <c r="B60" s="336" t="s">
        <v>182</v>
      </c>
      <c r="C60" s="748">
        <f>C40+C45+C46+C47+C51+C52+C55+C56+C57+C58+C59</f>
        <v>135303</v>
      </c>
      <c r="D60" s="749">
        <f aca="true" t="shared" si="21" ref="D60:Q60">D40+D45+D46+D47+D51+D52+D55+D56+D57+D58+D59</f>
        <v>0</v>
      </c>
      <c r="E60" s="747">
        <f t="shared" si="21"/>
        <v>135303</v>
      </c>
      <c r="F60" s="355">
        <f t="shared" si="21"/>
        <v>68362</v>
      </c>
      <c r="G60" s="335">
        <f t="shared" si="21"/>
        <v>0</v>
      </c>
      <c r="H60" s="747">
        <f t="shared" si="21"/>
        <v>68362</v>
      </c>
      <c r="I60" s="748">
        <f t="shared" si="21"/>
        <v>8132</v>
      </c>
      <c r="J60" s="749">
        <f t="shared" si="21"/>
        <v>0</v>
      </c>
      <c r="K60" s="747">
        <f t="shared" si="21"/>
        <v>8132</v>
      </c>
      <c r="L60" s="355">
        <f t="shared" si="21"/>
        <v>8444</v>
      </c>
      <c r="M60" s="335">
        <f t="shared" si="21"/>
        <v>3080</v>
      </c>
      <c r="N60" s="747">
        <f t="shared" si="21"/>
        <v>11524</v>
      </c>
      <c r="O60" s="355">
        <f t="shared" si="21"/>
        <v>84773</v>
      </c>
      <c r="P60" s="335">
        <f t="shared" si="21"/>
        <v>1034</v>
      </c>
      <c r="Q60" s="365">
        <f t="shared" si="21"/>
        <v>85807</v>
      </c>
    </row>
    <row r="61" spans="1:17" ht="15.7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1:17" ht="15.75" customHeight="1" thickBot="1" thickTop="1">
      <c r="A62" s="174"/>
      <c r="B62" s="175" t="s">
        <v>593</v>
      </c>
      <c r="C62" s="204"/>
      <c r="D62" s="403"/>
      <c r="E62" s="404">
        <f>SUM(C62:D62)</f>
        <v>0</v>
      </c>
      <c r="F62" s="204"/>
      <c r="G62" s="403"/>
      <c r="H62" s="404">
        <f>SUM(F62:G62)</f>
        <v>0</v>
      </c>
      <c r="I62" s="204"/>
      <c r="J62" s="403"/>
      <c r="K62" s="404">
        <f>SUM(I62:J62)</f>
        <v>0</v>
      </c>
      <c r="L62" s="204"/>
      <c r="M62" s="403"/>
      <c r="N62" s="404">
        <f>SUM(L62:M62)</f>
        <v>0</v>
      </c>
      <c r="O62" s="204"/>
      <c r="P62" s="405"/>
      <c r="Q62" s="404">
        <f>SUM(O62:P62)</f>
        <v>0</v>
      </c>
    </row>
    <row r="63" spans="1:17" ht="15.75" customHeight="1" thickBot="1" thickTop="1">
      <c r="A63" s="174"/>
      <c r="B63" s="175" t="s">
        <v>594</v>
      </c>
      <c r="C63" s="204"/>
      <c r="D63" s="403"/>
      <c r="E63" s="404">
        <f>SUM(C63:D63)</f>
        <v>0</v>
      </c>
      <c r="F63" s="204"/>
      <c r="G63" s="403"/>
      <c r="H63" s="404">
        <f>SUM(F63:G63)</f>
        <v>0</v>
      </c>
      <c r="I63" s="204"/>
      <c r="J63" s="403"/>
      <c r="K63" s="404">
        <f>SUM(I63:J63)</f>
        <v>0</v>
      </c>
      <c r="L63" s="204"/>
      <c r="M63" s="403"/>
      <c r="N63" s="404">
        <f>SUM(L63:M63)</f>
        <v>0</v>
      </c>
      <c r="O63" s="204"/>
      <c r="P63" s="405"/>
      <c r="Q63" s="404">
        <f>SUM(O63:P63)</f>
        <v>0</v>
      </c>
    </row>
    <row r="64" ht="21.75" customHeight="1" thickTop="1">
      <c r="A64" s="409"/>
    </row>
    <row r="65" ht="21.75" customHeight="1">
      <c r="A65" s="409"/>
    </row>
  </sheetData>
  <sheetProtection/>
  <mergeCells count="7">
    <mergeCell ref="A4:Q4"/>
    <mergeCell ref="A5:Q5"/>
    <mergeCell ref="O7:Q7"/>
    <mergeCell ref="L7:N7"/>
    <mergeCell ref="C7:E7"/>
    <mergeCell ref="F7:H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10" customWidth="1"/>
    <col min="2" max="2" width="78.375" style="94" customWidth="1"/>
    <col min="3" max="17" width="14.625" style="94" customWidth="1"/>
  </cols>
  <sheetData>
    <row r="1" spans="1:17" ht="10.5" customHeight="1">
      <c r="A1" s="294"/>
      <c r="B1" s="295"/>
      <c r="C1" s="295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867" t="s">
        <v>856</v>
      </c>
    </row>
    <row r="2" spans="1:17" ht="10.5" customHeight="1">
      <c r="A2" s="294"/>
      <c r="B2" s="295"/>
      <c r="C2" s="295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867" t="s">
        <v>93</v>
      </c>
    </row>
    <row r="3" spans="1:17" ht="15">
      <c r="A3" s="294"/>
      <c r="B3" s="295"/>
      <c r="C3" s="295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868" t="s">
        <v>139</v>
      </c>
    </row>
    <row r="4" spans="1:17" ht="20.25">
      <c r="A4" s="1899" t="s">
        <v>574</v>
      </c>
      <c r="B4" s="1899"/>
      <c r="C4" s="1899"/>
      <c r="D4" s="1899"/>
      <c r="E4" s="1899"/>
      <c r="F4" s="1899"/>
      <c r="G4" s="1899"/>
      <c r="H4" s="1899"/>
      <c r="I4" s="1899"/>
      <c r="J4" s="1899"/>
      <c r="K4" s="1899"/>
      <c r="L4" s="1899"/>
      <c r="M4" s="1899"/>
      <c r="N4" s="1899"/>
      <c r="O4" s="1899"/>
      <c r="P4" s="1899"/>
      <c r="Q4" s="1899"/>
    </row>
    <row r="5" spans="1:17" ht="18">
      <c r="A5" s="1900" t="s">
        <v>585</v>
      </c>
      <c r="B5" s="1900"/>
      <c r="C5" s="1900"/>
      <c r="D5" s="1900"/>
      <c r="E5" s="1900"/>
      <c r="F5" s="1900"/>
      <c r="G5" s="1900"/>
      <c r="H5" s="1900"/>
      <c r="I5" s="1900"/>
      <c r="J5" s="1900"/>
      <c r="K5" s="1900"/>
      <c r="L5" s="1900"/>
      <c r="M5" s="1900"/>
      <c r="N5" s="1900"/>
      <c r="O5" s="1900"/>
      <c r="P5" s="1900"/>
      <c r="Q5" s="1900"/>
    </row>
    <row r="6" spans="1:17" ht="34.5" customHeight="1" thickBot="1">
      <c r="A6" s="294"/>
      <c r="B6" s="295"/>
      <c r="C6" s="295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880" t="s">
        <v>134</v>
      </c>
    </row>
    <row r="7" spans="1:17" s="94" customFormat="1" ht="42" customHeight="1">
      <c r="A7" s="229" t="s">
        <v>124</v>
      </c>
      <c r="B7" s="93" t="s">
        <v>125</v>
      </c>
      <c r="C7" s="1888" t="s">
        <v>427</v>
      </c>
      <c r="D7" s="1886"/>
      <c r="E7" s="1887"/>
      <c r="F7" s="1885" t="s">
        <v>60</v>
      </c>
      <c r="G7" s="1886"/>
      <c r="H7" s="1887"/>
      <c r="I7" s="1885" t="s">
        <v>78</v>
      </c>
      <c r="J7" s="1886"/>
      <c r="K7" s="1887"/>
      <c r="L7" s="1885" t="s">
        <v>193</v>
      </c>
      <c r="M7" s="1886"/>
      <c r="N7" s="1887"/>
      <c r="O7" s="1888" t="s">
        <v>565</v>
      </c>
      <c r="P7" s="1910"/>
      <c r="Q7" s="1911"/>
    </row>
    <row r="8" spans="1:201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24" t="s">
        <v>420</v>
      </c>
      <c r="M8" s="23" t="s">
        <v>128</v>
      </c>
      <c r="N8" s="11" t="s">
        <v>661</v>
      </c>
      <c r="O8" s="24" t="s">
        <v>420</v>
      </c>
      <c r="P8" s="23" t="s">
        <v>128</v>
      </c>
      <c r="Q8" s="11" t="s">
        <v>661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</row>
    <row r="9" spans="1:201" s="35" customFormat="1" ht="13.5" thickBot="1">
      <c r="A9" s="411">
        <v>1</v>
      </c>
      <c r="B9" s="411">
        <v>2</v>
      </c>
      <c r="C9" s="412">
        <v>3</v>
      </c>
      <c r="D9" s="413">
        <v>4</v>
      </c>
      <c r="E9" s="415">
        <v>5</v>
      </c>
      <c r="F9" s="413">
        <v>6</v>
      </c>
      <c r="G9" s="413">
        <v>7</v>
      </c>
      <c r="H9" s="413">
        <v>8</v>
      </c>
      <c r="I9" s="412">
        <v>9</v>
      </c>
      <c r="J9" s="413">
        <v>10</v>
      </c>
      <c r="K9" s="415">
        <v>11</v>
      </c>
      <c r="L9" s="412">
        <v>9</v>
      </c>
      <c r="M9" s="413">
        <v>10</v>
      </c>
      <c r="N9" s="415">
        <v>11</v>
      </c>
      <c r="O9" s="413">
        <v>12</v>
      </c>
      <c r="P9" s="413">
        <v>13</v>
      </c>
      <c r="Q9" s="415">
        <v>14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</row>
    <row r="10" spans="1:17" ht="16.5" thickBot="1">
      <c r="A10" s="371"/>
      <c r="B10" s="337" t="s">
        <v>129</v>
      </c>
      <c r="C10" s="372"/>
      <c r="D10" s="373"/>
      <c r="E10" s="374"/>
      <c r="F10" s="375"/>
      <c r="G10" s="376"/>
      <c r="H10" s="374"/>
      <c r="I10" s="375"/>
      <c r="J10" s="376"/>
      <c r="K10" s="374"/>
      <c r="L10" s="919"/>
      <c r="M10" s="1134"/>
      <c r="N10" s="890"/>
      <c r="O10" s="919"/>
      <c r="P10" s="376"/>
      <c r="Q10" s="890"/>
    </row>
    <row r="11" spans="1:17" ht="16.5" thickBot="1">
      <c r="A11" s="304">
        <v>1</v>
      </c>
      <c r="B11" s="296" t="s">
        <v>113</v>
      </c>
      <c r="C11" s="305"/>
      <c r="D11" s="305"/>
      <c r="E11" s="349">
        <f>SUM(C11:D11)</f>
        <v>0</v>
      </c>
      <c r="F11" s="305"/>
      <c r="G11" s="305"/>
      <c r="H11" s="349">
        <f>SUM(F11:G11)</f>
        <v>0</v>
      </c>
      <c r="I11" s="305"/>
      <c r="J11" s="305"/>
      <c r="K11" s="349">
        <f aca="true" t="shared" si="0" ref="K11:K16">SUM(I11:J11)</f>
        <v>0</v>
      </c>
      <c r="L11" s="305"/>
      <c r="M11" s="305"/>
      <c r="N11" s="349">
        <f aca="true" t="shared" si="1" ref="N11:N16">SUM(L11:M11)</f>
        <v>0</v>
      </c>
      <c r="O11" s="309"/>
      <c r="P11" s="305"/>
      <c r="Q11" s="311">
        <f aca="true" t="shared" si="2" ref="Q11:Q16">SUM(O11:P11)</f>
        <v>0</v>
      </c>
    </row>
    <row r="12" spans="1:17" ht="16.5" thickBot="1">
      <c r="A12" s="308">
        <v>2</v>
      </c>
      <c r="B12" s="296" t="s">
        <v>202</v>
      </c>
      <c r="C12" s="307"/>
      <c r="D12" s="305"/>
      <c r="E12" s="349">
        <f>SUM(C12:D12)</f>
        <v>0</v>
      </c>
      <c r="F12" s="321"/>
      <c r="G12" s="305"/>
      <c r="H12" s="311">
        <f>SUM(F12:G12)</f>
        <v>0</v>
      </c>
      <c r="I12" s="307"/>
      <c r="J12" s="305"/>
      <c r="K12" s="349">
        <f t="shared" si="0"/>
        <v>0</v>
      </c>
      <c r="L12" s="307"/>
      <c r="M12" s="305"/>
      <c r="N12" s="349">
        <f t="shared" si="1"/>
        <v>0</v>
      </c>
      <c r="O12" s="309"/>
      <c r="P12" s="305"/>
      <c r="Q12" s="311">
        <f t="shared" si="2"/>
        <v>0</v>
      </c>
    </row>
    <row r="13" spans="1:17" s="15" customFormat="1" ht="16.5" thickBot="1">
      <c r="A13" s="308">
        <v>3</v>
      </c>
      <c r="B13" s="296" t="s">
        <v>116</v>
      </c>
      <c r="C13" s="321">
        <v>2610</v>
      </c>
      <c r="D13" s="305"/>
      <c r="E13" s="311">
        <f>SUM(C13:D13)</f>
        <v>2610</v>
      </c>
      <c r="F13" s="321">
        <v>51803</v>
      </c>
      <c r="G13" s="305"/>
      <c r="H13" s="311">
        <f>SUM(F13:G13)</f>
        <v>51803</v>
      </c>
      <c r="I13" s="305"/>
      <c r="J13" s="305"/>
      <c r="K13" s="349">
        <f t="shared" si="0"/>
        <v>0</v>
      </c>
      <c r="L13" s="309"/>
      <c r="M13" s="305"/>
      <c r="N13" s="311">
        <f t="shared" si="1"/>
        <v>0</v>
      </c>
      <c r="O13" s="309">
        <v>1740</v>
      </c>
      <c r="P13" s="305"/>
      <c r="Q13" s="311">
        <f t="shared" si="2"/>
        <v>1740</v>
      </c>
    </row>
    <row r="14" spans="1:17" s="15" customFormat="1" ht="16.5" thickBot="1">
      <c r="A14" s="308">
        <v>4</v>
      </c>
      <c r="B14" s="296" t="s">
        <v>172</v>
      </c>
      <c r="C14" s="321">
        <v>91423</v>
      </c>
      <c r="D14" s="305"/>
      <c r="E14" s="311">
        <f>SUM(C14:D14)</f>
        <v>91423</v>
      </c>
      <c r="F14" s="321"/>
      <c r="G14" s="305"/>
      <c r="H14" s="311">
        <f>SUM(F14:G14)</f>
        <v>0</v>
      </c>
      <c r="I14" s="321"/>
      <c r="J14" s="305"/>
      <c r="K14" s="311">
        <f t="shared" si="0"/>
        <v>0</v>
      </c>
      <c r="L14" s="321"/>
      <c r="M14" s="305"/>
      <c r="N14" s="311">
        <f t="shared" si="1"/>
        <v>0</v>
      </c>
      <c r="O14" s="321"/>
      <c r="P14" s="305"/>
      <c r="Q14" s="311">
        <f t="shared" si="2"/>
        <v>0</v>
      </c>
    </row>
    <row r="15" spans="1:17" ht="15">
      <c r="A15" s="163" t="s">
        <v>98</v>
      </c>
      <c r="B15" s="152" t="s">
        <v>370</v>
      </c>
      <c r="C15" s="297"/>
      <c r="D15" s="224"/>
      <c r="E15" s="227">
        <f>C15+D15</f>
        <v>0</v>
      </c>
      <c r="F15" s="297"/>
      <c r="G15" s="224"/>
      <c r="H15" s="227">
        <f>F15+G15</f>
        <v>0</v>
      </c>
      <c r="I15" s="297"/>
      <c r="J15" s="224"/>
      <c r="K15" s="380">
        <f t="shared" si="0"/>
        <v>0</v>
      </c>
      <c r="L15" s="297"/>
      <c r="M15" s="224"/>
      <c r="N15" s="227">
        <f t="shared" si="1"/>
        <v>0</v>
      </c>
      <c r="O15" s="297"/>
      <c r="P15" s="224"/>
      <c r="Q15" s="227">
        <f t="shared" si="2"/>
        <v>0</v>
      </c>
    </row>
    <row r="16" spans="1:17" ht="15">
      <c r="A16" s="160" t="s">
        <v>99</v>
      </c>
      <c r="B16" s="156" t="s">
        <v>554</v>
      </c>
      <c r="C16" s="298"/>
      <c r="D16" s="146"/>
      <c r="E16" s="227">
        <f>C16+D16</f>
        <v>0</v>
      </c>
      <c r="F16" s="1133"/>
      <c r="G16" s="146"/>
      <c r="H16" s="227">
        <f>F16+G16</f>
        <v>0</v>
      </c>
      <c r="I16" s="298"/>
      <c r="J16" s="146"/>
      <c r="K16" s="227">
        <f t="shared" si="0"/>
        <v>0</v>
      </c>
      <c r="L16" s="298"/>
      <c r="M16" s="146"/>
      <c r="N16" s="227">
        <f t="shared" si="1"/>
        <v>0</v>
      </c>
      <c r="O16" s="298"/>
      <c r="P16" s="146"/>
      <c r="Q16" s="227">
        <f t="shared" si="2"/>
        <v>0</v>
      </c>
    </row>
    <row r="17" spans="1:17" ht="15">
      <c r="A17" s="160" t="s">
        <v>100</v>
      </c>
      <c r="B17" s="156" t="s">
        <v>555</v>
      </c>
      <c r="C17" s="298"/>
      <c r="D17" s="146"/>
      <c r="E17" s="227">
        <f aca="true" t="shared" si="3" ref="E17:E22">C17+D17</f>
        <v>0</v>
      </c>
      <c r="G17" s="146"/>
      <c r="H17" s="227">
        <f aca="true" t="shared" si="4" ref="H17:H22">F17+G17</f>
        <v>0</v>
      </c>
      <c r="I17" s="298"/>
      <c r="J17" s="146"/>
      <c r="K17" s="227">
        <f aca="true" t="shared" si="5" ref="K17:K22">SUM(I17:J17)</f>
        <v>0</v>
      </c>
      <c r="L17" s="298"/>
      <c r="M17" s="146"/>
      <c r="N17" s="227">
        <f aca="true" t="shared" si="6" ref="N17:N22">SUM(L17:M17)</f>
        <v>0</v>
      </c>
      <c r="O17" s="298"/>
      <c r="P17" s="146"/>
      <c r="Q17" s="227">
        <f aca="true" t="shared" si="7" ref="Q17:Q22">SUM(O17:P17)</f>
        <v>0</v>
      </c>
    </row>
    <row r="18" spans="1:17" ht="15">
      <c r="A18" s="160" t="s">
        <v>101</v>
      </c>
      <c r="B18" s="156" t="s">
        <v>371</v>
      </c>
      <c r="C18" s="298">
        <v>11300</v>
      </c>
      <c r="D18" s="146"/>
      <c r="E18" s="227">
        <f t="shared" si="3"/>
        <v>11300</v>
      </c>
      <c r="F18" s="881">
        <v>144</v>
      </c>
      <c r="G18" s="146"/>
      <c r="H18" s="227">
        <f t="shared" si="4"/>
        <v>144</v>
      </c>
      <c r="I18" s="298"/>
      <c r="J18" s="146"/>
      <c r="K18" s="227">
        <f t="shared" si="5"/>
        <v>0</v>
      </c>
      <c r="L18" s="298"/>
      <c r="M18" s="146"/>
      <c r="N18" s="227">
        <f t="shared" si="6"/>
        <v>0</v>
      </c>
      <c r="O18" s="298">
        <v>8559</v>
      </c>
      <c r="P18" s="146">
        <v>250</v>
      </c>
      <c r="Q18" s="227">
        <f t="shared" si="7"/>
        <v>8809</v>
      </c>
    </row>
    <row r="19" spans="1:17" ht="15">
      <c r="A19" s="155" t="s">
        <v>192</v>
      </c>
      <c r="B19" s="156" t="s">
        <v>556</v>
      </c>
      <c r="C19" s="860"/>
      <c r="D19" s="146"/>
      <c r="E19" s="227">
        <f>C19+D19</f>
        <v>0</v>
      </c>
      <c r="F19" s="298"/>
      <c r="G19" s="146"/>
      <c r="H19" s="227">
        <f>F19+G19</f>
        <v>0</v>
      </c>
      <c r="I19" s="298"/>
      <c r="J19" s="146"/>
      <c r="K19" s="227">
        <f>SUM(I19:J19)</f>
        <v>0</v>
      </c>
      <c r="L19" s="298"/>
      <c r="M19" s="146"/>
      <c r="N19" s="227">
        <f>SUM(L19:M19)</f>
        <v>0</v>
      </c>
      <c r="O19" s="298"/>
      <c r="P19" s="146"/>
      <c r="Q19" s="227">
        <f>SUM(O19:P19)</f>
        <v>0</v>
      </c>
    </row>
    <row r="20" spans="1:17" ht="15">
      <c r="A20" s="155" t="s">
        <v>327</v>
      </c>
      <c r="B20" s="156" t="s">
        <v>557</v>
      </c>
      <c r="C20" s="860"/>
      <c r="D20" s="146"/>
      <c r="E20" s="227">
        <f t="shared" si="3"/>
        <v>0</v>
      </c>
      <c r="F20" s="298"/>
      <c r="G20" s="146"/>
      <c r="H20" s="227">
        <f t="shared" si="4"/>
        <v>0</v>
      </c>
      <c r="I20" s="298"/>
      <c r="J20" s="146"/>
      <c r="K20" s="227">
        <f t="shared" si="5"/>
        <v>0</v>
      </c>
      <c r="L20" s="298"/>
      <c r="M20" s="146"/>
      <c r="N20" s="227">
        <f t="shared" si="6"/>
        <v>0</v>
      </c>
      <c r="O20" s="298"/>
      <c r="P20" s="146"/>
      <c r="Q20" s="227">
        <f t="shared" si="7"/>
        <v>0</v>
      </c>
    </row>
    <row r="21" spans="1:17" ht="15">
      <c r="A21" s="153" t="s">
        <v>328</v>
      </c>
      <c r="B21" s="156" t="s">
        <v>372</v>
      </c>
      <c r="C21" s="862"/>
      <c r="D21" s="224"/>
      <c r="E21" s="227">
        <f>C21+D21</f>
        <v>0</v>
      </c>
      <c r="F21" s="297">
        <v>37307</v>
      </c>
      <c r="G21" s="224"/>
      <c r="H21" s="227">
        <f t="shared" si="4"/>
        <v>37307</v>
      </c>
      <c r="I21" s="297">
        <v>2700</v>
      </c>
      <c r="J21" s="224"/>
      <c r="K21" s="227">
        <f t="shared" si="5"/>
        <v>2700</v>
      </c>
      <c r="L21" s="297"/>
      <c r="M21" s="224"/>
      <c r="N21" s="227">
        <f t="shared" si="6"/>
        <v>0</v>
      </c>
      <c r="O21" s="297"/>
      <c r="P21" s="224"/>
      <c r="Q21" s="227">
        <f t="shared" si="7"/>
        <v>0</v>
      </c>
    </row>
    <row r="22" spans="1:17" ht="15" customHeight="1" thickBot="1">
      <c r="A22" s="16" t="s">
        <v>69</v>
      </c>
      <c r="B22" s="325" t="s">
        <v>373</v>
      </c>
      <c r="C22" s="861"/>
      <c r="D22" s="158"/>
      <c r="E22" s="227">
        <f t="shared" si="3"/>
        <v>0</v>
      </c>
      <c r="F22" s="299"/>
      <c r="G22" s="158"/>
      <c r="H22" s="227">
        <f t="shared" si="4"/>
        <v>0</v>
      </c>
      <c r="I22" s="299"/>
      <c r="J22" s="158"/>
      <c r="K22" s="227">
        <f t="shared" si="5"/>
        <v>0</v>
      </c>
      <c r="L22" s="299"/>
      <c r="M22" s="158"/>
      <c r="N22" s="227">
        <f t="shared" si="6"/>
        <v>0</v>
      </c>
      <c r="O22" s="299"/>
      <c r="P22" s="158"/>
      <c r="Q22" s="227">
        <f t="shared" si="7"/>
        <v>0</v>
      </c>
    </row>
    <row r="23" spans="1:17" s="15" customFormat="1" ht="16.5" thickBot="1">
      <c r="A23" s="308">
        <v>5</v>
      </c>
      <c r="B23" s="296" t="s">
        <v>171</v>
      </c>
      <c r="C23" s="338">
        <f aca="true" t="shared" si="8" ref="C23:Q23">SUM(C15:C22)</f>
        <v>11300</v>
      </c>
      <c r="D23" s="305">
        <f t="shared" si="8"/>
        <v>0</v>
      </c>
      <c r="E23" s="311">
        <f t="shared" si="8"/>
        <v>11300</v>
      </c>
      <c r="F23" s="321">
        <f t="shared" si="8"/>
        <v>37451</v>
      </c>
      <c r="G23" s="305">
        <f t="shared" si="8"/>
        <v>0</v>
      </c>
      <c r="H23" s="321">
        <f t="shared" si="8"/>
        <v>37451</v>
      </c>
      <c r="I23" s="338">
        <f t="shared" si="8"/>
        <v>2700</v>
      </c>
      <c r="J23" s="305">
        <f t="shared" si="8"/>
        <v>0</v>
      </c>
      <c r="K23" s="311">
        <f t="shared" si="8"/>
        <v>2700</v>
      </c>
      <c r="L23" s="338">
        <f t="shared" si="8"/>
        <v>0</v>
      </c>
      <c r="M23" s="305">
        <f t="shared" si="8"/>
        <v>0</v>
      </c>
      <c r="N23" s="311">
        <f t="shared" si="8"/>
        <v>0</v>
      </c>
      <c r="O23" s="338">
        <f t="shared" si="8"/>
        <v>8559</v>
      </c>
      <c r="P23" s="305">
        <f t="shared" si="8"/>
        <v>250</v>
      </c>
      <c r="Q23" s="311">
        <f t="shared" si="8"/>
        <v>8809</v>
      </c>
    </row>
    <row r="24" spans="1:17" ht="16.5" thickBot="1">
      <c r="A24" s="304">
        <v>6</v>
      </c>
      <c r="B24" s="296" t="s">
        <v>174</v>
      </c>
      <c r="C24" s="309"/>
      <c r="D24" s="305"/>
      <c r="E24" s="311">
        <f aca="true" t="shared" si="9" ref="E24:E30">SUM(C24:D24)</f>
        <v>0</v>
      </c>
      <c r="F24" s="309"/>
      <c r="G24" s="305"/>
      <c r="H24" s="311">
        <f aca="true" t="shared" si="10" ref="H24:H30">SUM(F24:G24)</f>
        <v>0</v>
      </c>
      <c r="I24" s="309"/>
      <c r="J24" s="305"/>
      <c r="K24" s="311">
        <f aca="true" t="shared" si="11" ref="K24:K30">SUM(I24:J24)</f>
        <v>0</v>
      </c>
      <c r="L24" s="309"/>
      <c r="M24" s="305"/>
      <c r="N24" s="311">
        <f aca="true" t="shared" si="12" ref="N24:N30">SUM(L24:M24)</f>
        <v>0</v>
      </c>
      <c r="O24" s="338"/>
      <c r="P24" s="305"/>
      <c r="Q24" s="311">
        <f aca="true" t="shared" si="13" ref="Q24:Q30">SUM(O24:P24)</f>
        <v>0</v>
      </c>
    </row>
    <row r="25" spans="1:17" s="15" customFormat="1" ht="16.5" thickBot="1">
      <c r="A25" s="304">
        <v>7</v>
      </c>
      <c r="B25" s="296" t="s">
        <v>421</v>
      </c>
      <c r="C25" s="309"/>
      <c r="D25" s="305"/>
      <c r="E25" s="311">
        <f t="shared" si="9"/>
        <v>0</v>
      </c>
      <c r="F25" s="309"/>
      <c r="G25" s="305"/>
      <c r="H25" s="321">
        <f t="shared" si="10"/>
        <v>0</v>
      </c>
      <c r="I25" s="338"/>
      <c r="J25" s="305"/>
      <c r="K25" s="311">
        <f t="shared" si="11"/>
        <v>0</v>
      </c>
      <c r="L25" s="321"/>
      <c r="M25" s="305"/>
      <c r="N25" s="311">
        <f t="shared" si="12"/>
        <v>0</v>
      </c>
      <c r="O25" s="309"/>
      <c r="P25" s="305"/>
      <c r="Q25" s="311">
        <f t="shared" si="13"/>
        <v>0</v>
      </c>
    </row>
    <row r="26" spans="1:17" ht="15">
      <c r="A26" s="163" t="s">
        <v>98</v>
      </c>
      <c r="B26" s="156" t="s">
        <v>560</v>
      </c>
      <c r="C26" s="297"/>
      <c r="D26" s="224"/>
      <c r="E26" s="227">
        <f t="shared" si="9"/>
        <v>0</v>
      </c>
      <c r="F26" s="297"/>
      <c r="G26" s="224"/>
      <c r="H26" s="227">
        <f t="shared" si="10"/>
        <v>0</v>
      </c>
      <c r="I26" s="297"/>
      <c r="J26" s="224"/>
      <c r="K26" s="227">
        <f t="shared" si="11"/>
        <v>0</v>
      </c>
      <c r="L26" s="297"/>
      <c r="M26" s="224"/>
      <c r="N26" s="227">
        <f t="shared" si="12"/>
        <v>0</v>
      </c>
      <c r="O26" s="297"/>
      <c r="P26" s="224"/>
      <c r="Q26" s="227">
        <f t="shared" si="13"/>
        <v>0</v>
      </c>
    </row>
    <row r="27" spans="1:17" ht="15">
      <c r="A27" s="163" t="s">
        <v>99</v>
      </c>
      <c r="B27" s="156" t="s">
        <v>558</v>
      </c>
      <c r="C27" s="297"/>
      <c r="D27" s="224"/>
      <c r="E27" s="227">
        <f t="shared" si="9"/>
        <v>0</v>
      </c>
      <c r="F27" s="297"/>
      <c r="G27" s="224"/>
      <c r="H27" s="227">
        <f t="shared" si="10"/>
        <v>0</v>
      </c>
      <c r="I27" s="297"/>
      <c r="J27" s="224"/>
      <c r="K27" s="227">
        <f t="shared" si="11"/>
        <v>0</v>
      </c>
      <c r="L27" s="297"/>
      <c r="M27" s="224"/>
      <c r="N27" s="227">
        <f t="shared" si="12"/>
        <v>0</v>
      </c>
      <c r="O27" s="297"/>
      <c r="P27" s="224"/>
      <c r="Q27" s="227">
        <f t="shared" si="13"/>
        <v>0</v>
      </c>
    </row>
    <row r="28" spans="1:17" ht="15">
      <c r="A28" s="163" t="s">
        <v>100</v>
      </c>
      <c r="B28" s="156" t="s">
        <v>374</v>
      </c>
      <c r="C28" s="297"/>
      <c r="D28" s="224"/>
      <c r="E28" s="227">
        <f t="shared" si="9"/>
        <v>0</v>
      </c>
      <c r="F28" s="297"/>
      <c r="G28" s="224"/>
      <c r="H28" s="227">
        <f t="shared" si="10"/>
        <v>0</v>
      </c>
      <c r="I28" s="297"/>
      <c r="J28" s="224"/>
      <c r="K28" s="227">
        <f t="shared" si="11"/>
        <v>0</v>
      </c>
      <c r="L28" s="297"/>
      <c r="M28" s="224"/>
      <c r="N28" s="227">
        <f t="shared" si="12"/>
        <v>0</v>
      </c>
      <c r="O28" s="297"/>
      <c r="P28" s="224"/>
      <c r="Q28" s="227">
        <f t="shared" si="13"/>
        <v>0</v>
      </c>
    </row>
    <row r="29" spans="1:17" ht="15">
      <c r="A29" s="163" t="s">
        <v>101</v>
      </c>
      <c r="B29" s="156" t="s">
        <v>559</v>
      </c>
      <c r="C29" s="297"/>
      <c r="D29" s="224"/>
      <c r="E29" s="227">
        <f t="shared" si="9"/>
        <v>0</v>
      </c>
      <c r="F29" s="297"/>
      <c r="G29" s="224"/>
      <c r="H29" s="227">
        <f t="shared" si="10"/>
        <v>0</v>
      </c>
      <c r="I29" s="297"/>
      <c r="J29" s="224"/>
      <c r="K29" s="227">
        <f t="shared" si="11"/>
        <v>0</v>
      </c>
      <c r="L29" s="297"/>
      <c r="M29" s="224"/>
      <c r="N29" s="227">
        <f t="shared" si="12"/>
        <v>0</v>
      </c>
      <c r="O29" s="297"/>
      <c r="P29" s="224"/>
      <c r="Q29" s="227">
        <f t="shared" si="13"/>
        <v>0</v>
      </c>
    </row>
    <row r="30" spans="1:17" ht="15.75" thickBot="1">
      <c r="A30" s="326" t="s">
        <v>192</v>
      </c>
      <c r="B30" s="156" t="s">
        <v>375</v>
      </c>
      <c r="C30" s="320"/>
      <c r="D30" s="312"/>
      <c r="E30" s="315">
        <f t="shared" si="9"/>
        <v>0</v>
      </c>
      <c r="F30" s="320"/>
      <c r="G30" s="312"/>
      <c r="H30" s="315">
        <f t="shared" si="10"/>
        <v>0</v>
      </c>
      <c r="I30" s="320"/>
      <c r="J30" s="312"/>
      <c r="K30" s="315">
        <f t="shared" si="11"/>
        <v>0</v>
      </c>
      <c r="L30" s="320">
        <v>10000</v>
      </c>
      <c r="M30" s="312"/>
      <c r="N30" s="315">
        <f t="shared" si="12"/>
        <v>10000</v>
      </c>
      <c r="O30" s="320"/>
      <c r="P30" s="312"/>
      <c r="Q30" s="315">
        <f t="shared" si="13"/>
        <v>0</v>
      </c>
    </row>
    <row r="31" spans="1:17" s="15" customFormat="1" ht="16.5" thickBot="1">
      <c r="A31" s="304">
        <v>8</v>
      </c>
      <c r="B31" s="296" t="s">
        <v>173</v>
      </c>
      <c r="C31" s="338">
        <f aca="true" t="shared" si="14" ref="C31:Q31">SUM(C26:C30)</f>
        <v>0</v>
      </c>
      <c r="D31" s="305">
        <f t="shared" si="14"/>
        <v>0</v>
      </c>
      <c r="E31" s="311">
        <f t="shared" si="14"/>
        <v>0</v>
      </c>
      <c r="F31" s="321">
        <f t="shared" si="14"/>
        <v>0</v>
      </c>
      <c r="G31" s="305">
        <f t="shared" si="14"/>
        <v>0</v>
      </c>
      <c r="H31" s="321">
        <f t="shared" si="14"/>
        <v>0</v>
      </c>
      <c r="I31" s="338">
        <f t="shared" si="14"/>
        <v>0</v>
      </c>
      <c r="J31" s="305">
        <f t="shared" si="14"/>
        <v>0</v>
      </c>
      <c r="K31" s="311">
        <f t="shared" si="14"/>
        <v>0</v>
      </c>
      <c r="L31" s="338">
        <f t="shared" si="14"/>
        <v>10000</v>
      </c>
      <c r="M31" s="305">
        <f t="shared" si="14"/>
        <v>0</v>
      </c>
      <c r="N31" s="321">
        <f t="shared" si="14"/>
        <v>10000</v>
      </c>
      <c r="O31" s="338">
        <f t="shared" si="14"/>
        <v>0</v>
      </c>
      <c r="P31" s="305">
        <f t="shared" si="14"/>
        <v>0</v>
      </c>
      <c r="Q31" s="311">
        <f t="shared" si="14"/>
        <v>0</v>
      </c>
    </row>
    <row r="32" spans="1:17" ht="16.5" thickBot="1">
      <c r="A32" s="304">
        <v>9</v>
      </c>
      <c r="B32" s="296" t="s">
        <v>179</v>
      </c>
      <c r="C32" s="309"/>
      <c r="D32" s="305"/>
      <c r="E32" s="311">
        <f>SUM(C32:D32)</f>
        <v>0</v>
      </c>
      <c r="F32" s="309"/>
      <c r="G32" s="305"/>
      <c r="H32" s="311">
        <f>SUM(F32:G32)</f>
        <v>0</v>
      </c>
      <c r="I32" s="309"/>
      <c r="J32" s="305"/>
      <c r="K32" s="311">
        <f>SUM(I32:J32)</f>
        <v>0</v>
      </c>
      <c r="L32" s="309"/>
      <c r="M32" s="305"/>
      <c r="N32" s="311">
        <f>SUM(L32:M32)</f>
        <v>0</v>
      </c>
      <c r="O32" s="338"/>
      <c r="P32" s="305"/>
      <c r="Q32" s="311">
        <f>SUM(O32:P32)</f>
        <v>0</v>
      </c>
    </row>
    <row r="33" spans="1:17" s="34" customFormat="1" ht="16.5" thickBot="1">
      <c r="A33" s="358">
        <v>10</v>
      </c>
      <c r="B33" s="359"/>
      <c r="C33" s="1132"/>
      <c r="D33" s="360"/>
      <c r="E33" s="1102">
        <f>SUM(C33:D33)</f>
        <v>0</v>
      </c>
      <c r="F33" s="165"/>
      <c r="G33" s="360"/>
      <c r="H33" s="1102">
        <f>SUM(F33:G33)</f>
        <v>0</v>
      </c>
      <c r="I33" s="165"/>
      <c r="J33" s="360"/>
      <c r="K33" s="1102">
        <f>SUM(I33:J33)</f>
        <v>0</v>
      </c>
      <c r="L33" s="165"/>
      <c r="M33" s="360"/>
      <c r="N33" s="1102">
        <f>SUM(L33:M33)</f>
        <v>0</v>
      </c>
      <c r="O33" s="165"/>
      <c r="P33" s="360"/>
      <c r="Q33" s="1102">
        <f>SUM(O33:P33)</f>
        <v>0</v>
      </c>
    </row>
    <row r="34" spans="1:21" s="37" customFormat="1" ht="17.25" thickBot="1" thickTop="1">
      <c r="A34" s="334" t="s">
        <v>108</v>
      </c>
      <c r="B34" s="357" t="s">
        <v>180</v>
      </c>
      <c r="C34" s="356">
        <f aca="true" t="shared" si="15" ref="C34:Q34">C11+C12+C13+C23+C14+C31+C25+C24+C32+C33</f>
        <v>105333</v>
      </c>
      <c r="D34" s="335">
        <f t="shared" si="15"/>
        <v>0</v>
      </c>
      <c r="E34" s="747">
        <f t="shared" si="15"/>
        <v>105333</v>
      </c>
      <c r="F34" s="356">
        <f t="shared" si="15"/>
        <v>89254</v>
      </c>
      <c r="G34" s="335">
        <f t="shared" si="15"/>
        <v>0</v>
      </c>
      <c r="H34" s="747">
        <f t="shared" si="15"/>
        <v>89254</v>
      </c>
      <c r="I34" s="356">
        <f t="shared" si="15"/>
        <v>2700</v>
      </c>
      <c r="J34" s="335">
        <f t="shared" si="15"/>
        <v>0</v>
      </c>
      <c r="K34" s="747">
        <f t="shared" si="15"/>
        <v>2700</v>
      </c>
      <c r="L34" s="356">
        <f t="shared" si="15"/>
        <v>10000</v>
      </c>
      <c r="M34" s="335">
        <f t="shared" si="15"/>
        <v>0</v>
      </c>
      <c r="N34" s="747">
        <f t="shared" si="15"/>
        <v>10000</v>
      </c>
      <c r="O34" s="356">
        <f t="shared" si="15"/>
        <v>10299</v>
      </c>
      <c r="P34" s="335">
        <f t="shared" si="15"/>
        <v>250</v>
      </c>
      <c r="Q34" s="365">
        <f t="shared" si="15"/>
        <v>10549</v>
      </c>
      <c r="R34" s="68"/>
      <c r="S34" s="68"/>
      <c r="T34" s="68"/>
      <c r="U34" s="68"/>
    </row>
    <row r="35" spans="1:21" ht="17.25" thickBot="1" thickTop="1">
      <c r="A35" s="151"/>
      <c r="B35" s="337" t="s">
        <v>131</v>
      </c>
      <c r="C35" s="1072"/>
      <c r="D35" s="293"/>
      <c r="E35" s="1103"/>
      <c r="F35" s="863"/>
      <c r="G35" s="293"/>
      <c r="H35" s="1103"/>
      <c r="I35" s="910"/>
      <c r="J35" s="293"/>
      <c r="K35" s="1103"/>
      <c r="L35" s="910"/>
      <c r="M35" s="293"/>
      <c r="N35" s="1103"/>
      <c r="O35" s="1072"/>
      <c r="P35" s="293"/>
      <c r="Q35" s="1103"/>
      <c r="R35" s="31"/>
      <c r="S35" s="31"/>
      <c r="T35" s="31"/>
      <c r="U35" s="31"/>
    </row>
    <row r="36" spans="1:17" s="731" customFormat="1" ht="15">
      <c r="A36" s="738" t="s">
        <v>98</v>
      </c>
      <c r="B36" s="739" t="s">
        <v>376</v>
      </c>
      <c r="C36" s="1080"/>
      <c r="D36" s="740"/>
      <c r="E36" s="745">
        <f>SUM(C36:D36)</f>
        <v>0</v>
      </c>
      <c r="F36" s="744"/>
      <c r="G36" s="740"/>
      <c r="H36" s="745">
        <f>SUM(F36:G36)</f>
        <v>0</v>
      </c>
      <c r="I36" s="1080"/>
      <c r="J36" s="740"/>
      <c r="K36" s="745">
        <f>SUM(I36:J36)</f>
        <v>0</v>
      </c>
      <c r="L36" s="1080"/>
      <c r="M36" s="740"/>
      <c r="N36" s="745">
        <f>SUM(L36:M36)</f>
        <v>0</v>
      </c>
      <c r="O36" s="1080"/>
      <c r="P36" s="740"/>
      <c r="Q36" s="745">
        <f>SUM(O36:P36)</f>
        <v>0</v>
      </c>
    </row>
    <row r="37" spans="1:17" s="731" customFormat="1" ht="15">
      <c r="A37" s="160" t="s">
        <v>99</v>
      </c>
      <c r="B37" s="156" t="s">
        <v>235</v>
      </c>
      <c r="C37" s="881"/>
      <c r="D37" s="146"/>
      <c r="E37" s="169">
        <f>SUM(C37:D37)</f>
        <v>0</v>
      </c>
      <c r="F37" s="860"/>
      <c r="G37" s="146"/>
      <c r="H37" s="169">
        <f>SUM(F37:G37)</f>
        <v>0</v>
      </c>
      <c r="I37" s="881"/>
      <c r="J37" s="146"/>
      <c r="K37" s="169">
        <f>SUM(I37:J37)</f>
        <v>0</v>
      </c>
      <c r="L37" s="881"/>
      <c r="M37" s="146"/>
      <c r="N37" s="169">
        <f>SUM(L37:M37)</f>
        <v>0</v>
      </c>
      <c r="O37" s="881"/>
      <c r="P37" s="146"/>
      <c r="Q37" s="169">
        <f>SUM(O37:P37)</f>
        <v>0</v>
      </c>
    </row>
    <row r="38" spans="1:17" s="731" customFormat="1" ht="15">
      <c r="A38" s="326" t="s">
        <v>100</v>
      </c>
      <c r="B38" s="149" t="s">
        <v>377</v>
      </c>
      <c r="C38" s="1071"/>
      <c r="D38" s="312"/>
      <c r="E38" s="315">
        <f>SUM(C38:D38)</f>
        <v>0</v>
      </c>
      <c r="F38" s="164"/>
      <c r="G38" s="312"/>
      <c r="H38" s="315">
        <f>SUM(F38:G38)</f>
        <v>0</v>
      </c>
      <c r="I38" s="1071"/>
      <c r="J38" s="312"/>
      <c r="K38" s="315">
        <f>SUM(I38:J38)</f>
        <v>0</v>
      </c>
      <c r="L38" s="1071"/>
      <c r="M38" s="312"/>
      <c r="N38" s="315">
        <f>SUM(L38:M38)</f>
        <v>0</v>
      </c>
      <c r="O38" s="1071"/>
      <c r="P38" s="312"/>
      <c r="Q38" s="315">
        <f>SUM(O38:P38)</f>
        <v>0</v>
      </c>
    </row>
    <row r="39" spans="1:17" s="731" customFormat="1" ht="15.75" thickBot="1">
      <c r="A39" s="161" t="s">
        <v>101</v>
      </c>
      <c r="B39" s="162" t="s">
        <v>381</v>
      </c>
      <c r="C39" s="882">
        <v>3219</v>
      </c>
      <c r="D39" s="158"/>
      <c r="E39" s="237">
        <f>SUM(C39:D39)</f>
        <v>3219</v>
      </c>
      <c r="F39" s="861"/>
      <c r="G39" s="158"/>
      <c r="H39" s="237">
        <f>SUM(F39:G39)</f>
        <v>0</v>
      </c>
      <c r="I39" s="882"/>
      <c r="J39" s="158"/>
      <c r="K39" s="237">
        <f>SUM(I39:J39)</f>
        <v>0</v>
      </c>
      <c r="L39" s="882"/>
      <c r="M39" s="158"/>
      <c r="N39" s="237">
        <f>SUM(L39:M39)</f>
        <v>0</v>
      </c>
      <c r="O39" s="882"/>
      <c r="P39" s="158"/>
      <c r="Q39" s="237">
        <f>SUM(O39:P39)</f>
        <v>0</v>
      </c>
    </row>
    <row r="40" spans="1:17" s="15" customFormat="1" ht="16.5" thickBot="1">
      <c r="A40" s="304">
        <v>1</v>
      </c>
      <c r="B40" s="296" t="s">
        <v>177</v>
      </c>
      <c r="C40" s="338">
        <f aca="true" t="shared" si="16" ref="C40:Q40">SUM(C36:C39)</f>
        <v>3219</v>
      </c>
      <c r="D40" s="305">
        <f t="shared" si="16"/>
        <v>0</v>
      </c>
      <c r="E40" s="311">
        <f t="shared" si="16"/>
        <v>3219</v>
      </c>
      <c r="F40" s="338">
        <f t="shared" si="16"/>
        <v>0</v>
      </c>
      <c r="G40" s="305">
        <f t="shared" si="16"/>
        <v>0</v>
      </c>
      <c r="H40" s="311">
        <f t="shared" si="16"/>
        <v>0</v>
      </c>
      <c r="I40" s="338">
        <f t="shared" si="16"/>
        <v>0</v>
      </c>
      <c r="J40" s="305">
        <f t="shared" si="16"/>
        <v>0</v>
      </c>
      <c r="K40" s="311">
        <f t="shared" si="16"/>
        <v>0</v>
      </c>
      <c r="L40" s="338">
        <f t="shared" si="16"/>
        <v>0</v>
      </c>
      <c r="M40" s="305">
        <f t="shared" si="16"/>
        <v>0</v>
      </c>
      <c r="N40" s="311">
        <f t="shared" si="16"/>
        <v>0</v>
      </c>
      <c r="O40" s="338">
        <f t="shared" si="16"/>
        <v>0</v>
      </c>
      <c r="P40" s="305">
        <f t="shared" si="16"/>
        <v>0</v>
      </c>
      <c r="Q40" s="311">
        <f t="shared" si="16"/>
        <v>0</v>
      </c>
    </row>
    <row r="41" spans="1:17" ht="15">
      <c r="A41" s="163" t="s">
        <v>98</v>
      </c>
      <c r="B41" s="152" t="s">
        <v>403</v>
      </c>
      <c r="C41" s="1070"/>
      <c r="D41" s="224"/>
      <c r="E41" s="227">
        <f>SUM(C41:D41)</f>
        <v>0</v>
      </c>
      <c r="F41" s="862"/>
      <c r="G41" s="224"/>
      <c r="H41" s="227">
        <f>SUM(F41:G41)</f>
        <v>0</v>
      </c>
      <c r="I41" s="1070"/>
      <c r="J41" s="224"/>
      <c r="K41" s="227">
        <f>SUM(I41:J41)</f>
        <v>0</v>
      </c>
      <c r="L41" s="1070"/>
      <c r="M41" s="224"/>
      <c r="N41" s="227">
        <f>SUM(L41:M41)</f>
        <v>0</v>
      </c>
      <c r="O41" s="1070"/>
      <c r="P41" s="224"/>
      <c r="Q41" s="227">
        <f>SUM(O41:P41)</f>
        <v>0</v>
      </c>
    </row>
    <row r="42" spans="1:17" ht="15">
      <c r="A42" s="160" t="s">
        <v>99</v>
      </c>
      <c r="B42" s="156" t="s">
        <v>378</v>
      </c>
      <c r="C42" s="881"/>
      <c r="D42" s="146"/>
      <c r="E42" s="169">
        <f>SUM(C42:D42)</f>
        <v>0</v>
      </c>
      <c r="F42" s="860"/>
      <c r="G42" s="146"/>
      <c r="H42" s="169">
        <f>SUM(F42:G42)</f>
        <v>0</v>
      </c>
      <c r="I42" s="881"/>
      <c r="J42" s="146"/>
      <c r="K42" s="169">
        <f>SUM(I42:J42)</f>
        <v>0</v>
      </c>
      <c r="L42" s="881"/>
      <c r="M42" s="146"/>
      <c r="N42" s="169">
        <f>SUM(L42:M42)</f>
        <v>0</v>
      </c>
      <c r="O42" s="881"/>
      <c r="P42" s="146"/>
      <c r="Q42" s="169">
        <f>SUM(O42:P42)</f>
        <v>0</v>
      </c>
    </row>
    <row r="43" spans="1:17" ht="15">
      <c r="A43" s="160" t="s">
        <v>100</v>
      </c>
      <c r="B43" s="156" t="s">
        <v>379</v>
      </c>
      <c r="C43" s="881"/>
      <c r="D43" s="146"/>
      <c r="E43" s="169">
        <f>SUM(C43:D43)</f>
        <v>0</v>
      </c>
      <c r="F43" s="860"/>
      <c r="G43" s="146"/>
      <c r="H43" s="169">
        <f>SUM(F43:G43)</f>
        <v>0</v>
      </c>
      <c r="I43" s="881"/>
      <c r="J43" s="146"/>
      <c r="K43" s="169">
        <f>SUM(I43:J43)</f>
        <v>0</v>
      </c>
      <c r="L43" s="881"/>
      <c r="M43" s="146"/>
      <c r="N43" s="169">
        <f>SUM(L43:M43)</f>
        <v>0</v>
      </c>
      <c r="O43" s="881"/>
      <c r="P43" s="146"/>
      <c r="Q43" s="169">
        <f>SUM(O43:P43)</f>
        <v>0</v>
      </c>
    </row>
    <row r="44" spans="1:17" ht="15.75" thickBot="1">
      <c r="A44" s="161" t="s">
        <v>101</v>
      </c>
      <c r="B44" s="162" t="s">
        <v>175</v>
      </c>
      <c r="C44" s="882"/>
      <c r="D44" s="158"/>
      <c r="E44" s="237">
        <f>SUM(C44:D44)</f>
        <v>0</v>
      </c>
      <c r="F44" s="861"/>
      <c r="G44" s="158"/>
      <c r="H44" s="237">
        <f>SUM(F44:G44)</f>
        <v>0</v>
      </c>
      <c r="I44" s="882"/>
      <c r="J44" s="158"/>
      <c r="K44" s="237">
        <f>SUM(I44:J44)</f>
        <v>0</v>
      </c>
      <c r="L44" s="882"/>
      <c r="M44" s="158"/>
      <c r="N44" s="237">
        <f>SUM(L44:M44)</f>
        <v>0</v>
      </c>
      <c r="O44" s="882"/>
      <c r="P44" s="158"/>
      <c r="Q44" s="237">
        <f>SUM(O44:P44)</f>
        <v>0</v>
      </c>
    </row>
    <row r="45" spans="1:17" s="15" customFormat="1" ht="16.5" thickBot="1">
      <c r="A45" s="304">
        <v>2</v>
      </c>
      <c r="B45" s="296" t="s">
        <v>176</v>
      </c>
      <c r="C45" s="338">
        <f>SUM(C41:C44)</f>
        <v>0</v>
      </c>
      <c r="D45" s="305">
        <f aca="true" t="shared" si="17" ref="D45:Q45">SUM(D41:D44)</f>
        <v>0</v>
      </c>
      <c r="E45" s="307">
        <f t="shared" si="17"/>
        <v>0</v>
      </c>
      <c r="F45" s="338">
        <f t="shared" si="17"/>
        <v>0</v>
      </c>
      <c r="G45" s="305">
        <f t="shared" si="17"/>
        <v>0</v>
      </c>
      <c r="H45" s="307">
        <f t="shared" si="17"/>
        <v>0</v>
      </c>
      <c r="I45" s="338">
        <f t="shared" si="17"/>
        <v>0</v>
      </c>
      <c r="J45" s="305">
        <f t="shared" si="17"/>
        <v>0</v>
      </c>
      <c r="K45" s="307">
        <f t="shared" si="17"/>
        <v>0</v>
      </c>
      <c r="L45" s="338">
        <f t="shared" si="17"/>
        <v>0</v>
      </c>
      <c r="M45" s="305">
        <f t="shared" si="17"/>
        <v>0</v>
      </c>
      <c r="N45" s="321">
        <f t="shared" si="17"/>
        <v>0</v>
      </c>
      <c r="O45" s="338">
        <f t="shared" si="17"/>
        <v>0</v>
      </c>
      <c r="P45" s="305">
        <f t="shared" si="17"/>
        <v>0</v>
      </c>
      <c r="Q45" s="311">
        <f t="shared" si="17"/>
        <v>0</v>
      </c>
    </row>
    <row r="46" spans="1:17" s="15" customFormat="1" ht="16.5" thickBot="1">
      <c r="A46" s="304">
        <v>3</v>
      </c>
      <c r="B46" s="296" t="s">
        <v>254</v>
      </c>
      <c r="C46" s="338">
        <v>682</v>
      </c>
      <c r="D46" s="305">
        <v>468</v>
      </c>
      <c r="E46" s="307">
        <f>SUM(C46:D46)</f>
        <v>1150</v>
      </c>
      <c r="F46" s="338"/>
      <c r="G46" s="305"/>
      <c r="H46" s="307">
        <f>SUM(F46:G46)</f>
        <v>0</v>
      </c>
      <c r="I46" s="338"/>
      <c r="J46" s="305"/>
      <c r="K46" s="307">
        <f>SUM(I46:J46)</f>
        <v>0</v>
      </c>
      <c r="L46" s="338"/>
      <c r="M46" s="305"/>
      <c r="N46" s="321">
        <f>SUM(L46:M46)</f>
        <v>0</v>
      </c>
      <c r="O46" s="338"/>
      <c r="P46" s="305"/>
      <c r="Q46" s="311">
        <f>SUM(O46:P46)</f>
        <v>0</v>
      </c>
    </row>
    <row r="47" spans="1:17" ht="16.5" thickBot="1">
      <c r="A47" s="304">
        <v>4</v>
      </c>
      <c r="B47" s="296" t="s">
        <v>275</v>
      </c>
      <c r="C47" s="338"/>
      <c r="D47" s="305"/>
      <c r="E47" s="307">
        <f>SUM(C47:D47)</f>
        <v>0</v>
      </c>
      <c r="F47" s="338"/>
      <c r="G47" s="305"/>
      <c r="H47" s="307">
        <f>SUM(F47:G47)</f>
        <v>0</v>
      </c>
      <c r="I47" s="338"/>
      <c r="J47" s="305"/>
      <c r="K47" s="307">
        <f>SUM(I47:J47)</f>
        <v>0</v>
      </c>
      <c r="L47" s="338"/>
      <c r="M47" s="305"/>
      <c r="N47" s="321">
        <f>SUM(L47:M47)</f>
        <v>0</v>
      </c>
      <c r="O47" s="338"/>
      <c r="P47" s="305"/>
      <c r="Q47" s="311">
        <f>SUM(O47:P47)</f>
        <v>0</v>
      </c>
    </row>
    <row r="48" spans="1:17" s="731" customFormat="1" ht="15">
      <c r="A48" s="163" t="s">
        <v>98</v>
      </c>
      <c r="B48" s="149" t="s">
        <v>281</v>
      </c>
      <c r="C48" s="1070"/>
      <c r="D48" s="224"/>
      <c r="E48" s="227">
        <f>SUM(C48:D48)</f>
        <v>0</v>
      </c>
      <c r="F48" s="862"/>
      <c r="G48" s="224"/>
      <c r="H48" s="227">
        <f>SUM(F48:G48)</f>
        <v>0</v>
      </c>
      <c r="I48" s="1070"/>
      <c r="J48" s="224"/>
      <c r="K48" s="227">
        <f>SUM(I48:J48)</f>
        <v>0</v>
      </c>
      <c r="L48" s="1070"/>
      <c r="M48" s="224"/>
      <c r="N48" s="227">
        <f>SUM(L48:M48)</f>
        <v>0</v>
      </c>
      <c r="O48" s="1070"/>
      <c r="P48" s="224"/>
      <c r="Q48" s="227">
        <f>SUM(O48:P48)</f>
        <v>0</v>
      </c>
    </row>
    <row r="49" spans="1:17" ht="15">
      <c r="A49" s="161" t="s">
        <v>99</v>
      </c>
      <c r="B49" s="325" t="s">
        <v>380</v>
      </c>
      <c r="C49" s="881"/>
      <c r="D49" s="146"/>
      <c r="E49" s="169">
        <f>SUM(C49:D49)</f>
        <v>0</v>
      </c>
      <c r="F49" s="860"/>
      <c r="G49" s="146"/>
      <c r="H49" s="169">
        <f>SUM(F49:G49)</f>
        <v>0</v>
      </c>
      <c r="I49" s="881"/>
      <c r="J49" s="146"/>
      <c r="K49" s="169">
        <f>SUM(I49:J49)</f>
        <v>0</v>
      </c>
      <c r="L49" s="881"/>
      <c r="M49" s="146"/>
      <c r="N49" s="169">
        <f>SUM(L49:M49)</f>
        <v>0</v>
      </c>
      <c r="O49" s="881"/>
      <c r="P49" s="146"/>
      <c r="Q49" s="169">
        <f>SUM(O49:P49)</f>
        <v>0</v>
      </c>
    </row>
    <row r="50" spans="1:17" ht="15.75" thickBot="1">
      <c r="A50" s="161" t="s">
        <v>100</v>
      </c>
      <c r="B50" s="325" t="s">
        <v>413</v>
      </c>
      <c r="C50" s="881"/>
      <c r="D50" s="146"/>
      <c r="E50" s="169">
        <f>SUM(C50:D50)</f>
        <v>0</v>
      </c>
      <c r="F50" s="860"/>
      <c r="G50" s="146"/>
      <c r="H50" s="169">
        <f>SUM(F50:G50)</f>
        <v>0</v>
      </c>
      <c r="I50" s="881"/>
      <c r="J50" s="146"/>
      <c r="K50" s="169">
        <f>SUM(I50:J50)</f>
        <v>0</v>
      </c>
      <c r="L50" s="881"/>
      <c r="M50" s="146"/>
      <c r="N50" s="169">
        <f>SUM(L50:M50)</f>
        <v>0</v>
      </c>
      <c r="O50" s="881"/>
      <c r="P50" s="146"/>
      <c r="Q50" s="169">
        <f>SUM(O50:P50)</f>
        <v>0</v>
      </c>
    </row>
    <row r="51" spans="1:17" s="15" customFormat="1" ht="16.5" thickBot="1">
      <c r="A51" s="304">
        <v>5</v>
      </c>
      <c r="B51" s="296" t="s">
        <v>178</v>
      </c>
      <c r="C51" s="338">
        <f>SUM(C48:C50)</f>
        <v>0</v>
      </c>
      <c r="D51" s="305">
        <f>SUM(D48:D50)</f>
        <v>0</v>
      </c>
      <c r="E51" s="307">
        <f aca="true" t="shared" si="18" ref="E51:Q51">SUM(E48:E50)</f>
        <v>0</v>
      </c>
      <c r="F51" s="338">
        <f t="shared" si="18"/>
        <v>0</v>
      </c>
      <c r="G51" s="305">
        <f t="shared" si="18"/>
        <v>0</v>
      </c>
      <c r="H51" s="307">
        <f t="shared" si="18"/>
        <v>0</v>
      </c>
      <c r="I51" s="338">
        <f t="shared" si="18"/>
        <v>0</v>
      </c>
      <c r="J51" s="305">
        <f t="shared" si="18"/>
        <v>0</v>
      </c>
      <c r="K51" s="307">
        <f t="shared" si="18"/>
        <v>0</v>
      </c>
      <c r="L51" s="338">
        <f t="shared" si="18"/>
        <v>0</v>
      </c>
      <c r="M51" s="305">
        <f t="shared" si="18"/>
        <v>0</v>
      </c>
      <c r="N51" s="307">
        <f t="shared" si="18"/>
        <v>0</v>
      </c>
      <c r="O51" s="338">
        <f t="shared" si="18"/>
        <v>0</v>
      </c>
      <c r="P51" s="305">
        <f t="shared" si="18"/>
        <v>0</v>
      </c>
      <c r="Q51" s="311">
        <f t="shared" si="18"/>
        <v>0</v>
      </c>
    </row>
    <row r="52" spans="1:17" s="15" customFormat="1" ht="16.5" thickBot="1">
      <c r="A52" s="734">
        <v>6</v>
      </c>
      <c r="B52" s="735" t="s">
        <v>285</v>
      </c>
      <c r="C52" s="1073"/>
      <c r="D52" s="330"/>
      <c r="E52" s="323">
        <f>SUM(C52:D52)</f>
        <v>0</v>
      </c>
      <c r="F52" s="324"/>
      <c r="G52" s="330"/>
      <c r="H52" s="323">
        <f>SUM(F52:G52)</f>
        <v>0</v>
      </c>
      <c r="I52" s="1079"/>
      <c r="J52" s="330"/>
      <c r="K52" s="323">
        <f>SUM(I52:J52)</f>
        <v>0</v>
      </c>
      <c r="L52" s="1079"/>
      <c r="M52" s="330"/>
      <c r="N52" s="323">
        <f>SUM(L52:M52)</f>
        <v>0</v>
      </c>
      <c r="O52" s="1079"/>
      <c r="P52" s="330"/>
      <c r="Q52" s="323">
        <f>SUM(O52:P52)</f>
        <v>0</v>
      </c>
    </row>
    <row r="53" spans="1:17" ht="15">
      <c r="A53" s="144" t="s">
        <v>98</v>
      </c>
      <c r="B53" s="145" t="s">
        <v>382</v>
      </c>
      <c r="C53" s="1074"/>
      <c r="D53" s="147"/>
      <c r="E53" s="203">
        <f>SUM(C53:D53)</f>
        <v>0</v>
      </c>
      <c r="F53" s="864"/>
      <c r="G53" s="147"/>
      <c r="H53" s="203">
        <f>SUM(F53:G53)</f>
        <v>0</v>
      </c>
      <c r="I53" s="1074"/>
      <c r="J53" s="147"/>
      <c r="K53" s="203">
        <f>SUM(I53:J53)</f>
        <v>0</v>
      </c>
      <c r="L53" s="1074"/>
      <c r="M53" s="147"/>
      <c r="N53" s="203">
        <f>SUM(L53:M53)</f>
        <v>0</v>
      </c>
      <c r="O53" s="1074"/>
      <c r="P53" s="147"/>
      <c r="Q53" s="203">
        <f>SUM(O53:P53)</f>
        <v>0</v>
      </c>
    </row>
    <row r="54" spans="1:17" ht="15.75" thickBot="1">
      <c r="A54" s="326" t="s">
        <v>99</v>
      </c>
      <c r="B54" s="149" t="s">
        <v>383</v>
      </c>
      <c r="C54" s="1071"/>
      <c r="D54" s="312"/>
      <c r="E54" s="315">
        <f>SUM(C54:D54)</f>
        <v>0</v>
      </c>
      <c r="F54" s="164"/>
      <c r="G54" s="312"/>
      <c r="H54" s="315">
        <f>SUM(F54:G54)</f>
        <v>0</v>
      </c>
      <c r="I54" s="1071"/>
      <c r="J54" s="312"/>
      <c r="K54" s="315">
        <f>SUM(I54:J54)</f>
        <v>0</v>
      </c>
      <c r="L54" s="1071"/>
      <c r="M54" s="312"/>
      <c r="N54" s="315">
        <f>SUM(L54:M54)</f>
        <v>0</v>
      </c>
      <c r="O54" s="1071"/>
      <c r="P54" s="312"/>
      <c r="Q54" s="315">
        <f>SUM(O54:P54)</f>
        <v>0</v>
      </c>
    </row>
    <row r="55" spans="1:17" s="15" customFormat="1" ht="17.25" customHeight="1" thickBot="1">
      <c r="A55" s="304">
        <v>7</v>
      </c>
      <c r="B55" s="296" t="s">
        <v>181</v>
      </c>
      <c r="C55" s="338">
        <f>SUM(C53:C54)</f>
        <v>0</v>
      </c>
      <c r="D55" s="305">
        <f aca="true" t="shared" si="19" ref="D55:Q55">SUM(D53:D54)</f>
        <v>0</v>
      </c>
      <c r="E55" s="307">
        <f t="shared" si="19"/>
        <v>0</v>
      </c>
      <c r="F55" s="338">
        <f t="shared" si="19"/>
        <v>0</v>
      </c>
      <c r="G55" s="305">
        <f t="shared" si="19"/>
        <v>0</v>
      </c>
      <c r="H55" s="307">
        <f t="shared" si="19"/>
        <v>0</v>
      </c>
      <c r="I55" s="338">
        <f t="shared" si="19"/>
        <v>0</v>
      </c>
      <c r="J55" s="305">
        <f t="shared" si="19"/>
        <v>0</v>
      </c>
      <c r="K55" s="307">
        <f t="shared" si="19"/>
        <v>0</v>
      </c>
      <c r="L55" s="338">
        <f t="shared" si="19"/>
        <v>0</v>
      </c>
      <c r="M55" s="305">
        <f t="shared" si="19"/>
        <v>0</v>
      </c>
      <c r="N55" s="307">
        <f t="shared" si="19"/>
        <v>0</v>
      </c>
      <c r="O55" s="1081">
        <f t="shared" si="19"/>
        <v>0</v>
      </c>
      <c r="P55" s="1083">
        <f t="shared" si="19"/>
        <v>0</v>
      </c>
      <c r="Q55" s="1085">
        <f t="shared" si="19"/>
        <v>0</v>
      </c>
    </row>
    <row r="56" spans="1:17" s="28" customFormat="1" ht="19.5" customHeight="1" thickBot="1">
      <c r="A56" s="691">
        <v>8</v>
      </c>
      <c r="B56" s="692" t="s">
        <v>46</v>
      </c>
      <c r="C56" s="1106">
        <f>C34-C40-C45-C46-C47-C51-C52-C55-C57-C58-C59</f>
        <v>101432</v>
      </c>
      <c r="D56" s="1107">
        <f>D34-D40-D45-D46-D47-D51-D52-D55-D57-D58-D59</f>
        <v>-468</v>
      </c>
      <c r="E56" s="1104">
        <f aca="true" t="shared" si="20" ref="E56:Q56">E34-E40-E45-E46-E47-E51-E52-E55-E57-E58-E59</f>
        <v>100964</v>
      </c>
      <c r="F56" s="1106">
        <f t="shared" si="20"/>
        <v>89254</v>
      </c>
      <c r="G56" s="1107">
        <f t="shared" si="20"/>
        <v>0</v>
      </c>
      <c r="H56" s="1104">
        <f t="shared" si="20"/>
        <v>89254</v>
      </c>
      <c r="I56" s="1106">
        <f t="shared" si="20"/>
        <v>2700</v>
      </c>
      <c r="J56" s="1107">
        <f t="shared" si="20"/>
        <v>0</v>
      </c>
      <c r="K56" s="1104">
        <f t="shared" si="20"/>
        <v>2700</v>
      </c>
      <c r="L56" s="1106">
        <f t="shared" si="20"/>
        <v>10000</v>
      </c>
      <c r="M56" s="1107">
        <f t="shared" si="20"/>
        <v>0</v>
      </c>
      <c r="N56" s="1104">
        <f t="shared" si="20"/>
        <v>10000</v>
      </c>
      <c r="O56" s="1129">
        <f t="shared" si="20"/>
        <v>10299</v>
      </c>
      <c r="P56" s="1131">
        <f t="shared" si="20"/>
        <v>250</v>
      </c>
      <c r="Q56" s="1119">
        <f t="shared" si="20"/>
        <v>10549</v>
      </c>
    </row>
    <row r="57" spans="1:17" s="15" customFormat="1" ht="15.75">
      <c r="A57" s="327" t="s">
        <v>385</v>
      </c>
      <c r="B57" s="328" t="s">
        <v>184</v>
      </c>
      <c r="C57" s="1076"/>
      <c r="D57" s="318"/>
      <c r="E57" s="1105">
        <f>SUM(C57:D57)</f>
        <v>0</v>
      </c>
      <c r="F57" s="865"/>
      <c r="G57" s="318"/>
      <c r="H57" s="1105">
        <f>SUM(F57:G57)</f>
        <v>0</v>
      </c>
      <c r="I57" s="1076"/>
      <c r="J57" s="318"/>
      <c r="K57" s="1105">
        <f>SUM(I57:J57)</f>
        <v>0</v>
      </c>
      <c r="L57" s="1076"/>
      <c r="M57" s="318"/>
      <c r="N57" s="1105">
        <f>SUM(L57:M57)</f>
        <v>0</v>
      </c>
      <c r="O57" s="1076"/>
      <c r="P57" s="318"/>
      <c r="Q57" s="1105">
        <f>SUM(O57:P57)</f>
        <v>0</v>
      </c>
    </row>
    <row r="58" spans="1:17" s="15" customFormat="1" ht="15.75">
      <c r="A58" s="327" t="s">
        <v>183</v>
      </c>
      <c r="B58" s="328" t="s">
        <v>384</v>
      </c>
      <c r="C58" s="317"/>
      <c r="D58" s="318"/>
      <c r="E58" s="393">
        <f>SUM(C58:D58)</f>
        <v>0</v>
      </c>
      <c r="F58" s="865"/>
      <c r="G58" s="318"/>
      <c r="H58" s="1105">
        <f>SUM(F58:G58)</f>
        <v>0</v>
      </c>
      <c r="I58" s="1076"/>
      <c r="J58" s="318"/>
      <c r="K58" s="1105">
        <f>SUM(I58:J58)</f>
        <v>0</v>
      </c>
      <c r="L58" s="1076"/>
      <c r="M58" s="318"/>
      <c r="N58" s="1105">
        <f>SUM(L58:M58)</f>
        <v>0</v>
      </c>
      <c r="O58" s="317"/>
      <c r="P58" s="318"/>
      <c r="Q58" s="393">
        <f>SUM(O58:P58)</f>
        <v>0</v>
      </c>
    </row>
    <row r="59" spans="1:17" s="15" customFormat="1" ht="16.5" thickBot="1">
      <c r="A59" s="342">
        <v>10</v>
      </c>
      <c r="B59" s="343"/>
      <c r="C59" s="344"/>
      <c r="D59" s="345"/>
      <c r="E59" s="397">
        <f>SUM(C59:D59)</f>
        <v>0</v>
      </c>
      <c r="F59" s="347"/>
      <c r="G59" s="345"/>
      <c r="H59" s="398">
        <f>SUM(F59:G59)</f>
        <v>0</v>
      </c>
      <c r="I59" s="344"/>
      <c r="J59" s="345"/>
      <c r="K59" s="398">
        <f>SUM(I59:J59)</f>
        <v>0</v>
      </c>
      <c r="L59" s="344"/>
      <c r="M59" s="345"/>
      <c r="N59" s="398">
        <f>SUM(L59:M59)</f>
        <v>0</v>
      </c>
      <c r="O59" s="344"/>
      <c r="P59" s="345"/>
      <c r="Q59" s="398">
        <f>SUM(O59:P59)</f>
        <v>0</v>
      </c>
    </row>
    <row r="60" spans="1:17" s="34" customFormat="1" ht="17.25" thickBot="1" thickTop="1">
      <c r="A60" s="334" t="s">
        <v>109</v>
      </c>
      <c r="B60" s="336" t="s">
        <v>182</v>
      </c>
      <c r="C60" s="748">
        <f>C40+C45+C46+C47+C51+C52+C55+C56+C57+C58+C59</f>
        <v>105333</v>
      </c>
      <c r="D60" s="749">
        <f aca="true" t="shared" si="21" ref="D60:Q60">D40+D45+D46+D47+D51+D52+D55+D56+D57+D58+D59</f>
        <v>0</v>
      </c>
      <c r="E60" s="747">
        <f t="shared" si="21"/>
        <v>105333</v>
      </c>
      <c r="F60" s="355">
        <f t="shared" si="21"/>
        <v>89254</v>
      </c>
      <c r="G60" s="335">
        <f t="shared" si="21"/>
        <v>0</v>
      </c>
      <c r="H60" s="747">
        <f t="shared" si="21"/>
        <v>89254</v>
      </c>
      <c r="I60" s="748">
        <f t="shared" si="21"/>
        <v>2700</v>
      </c>
      <c r="J60" s="749">
        <f t="shared" si="21"/>
        <v>0</v>
      </c>
      <c r="K60" s="747">
        <f t="shared" si="21"/>
        <v>2700</v>
      </c>
      <c r="L60" s="355">
        <f t="shared" si="21"/>
        <v>10000</v>
      </c>
      <c r="M60" s="335">
        <f t="shared" si="21"/>
        <v>0</v>
      </c>
      <c r="N60" s="747">
        <f t="shared" si="21"/>
        <v>10000</v>
      </c>
      <c r="O60" s="355">
        <f t="shared" si="21"/>
        <v>10299</v>
      </c>
      <c r="P60" s="335">
        <f t="shared" si="21"/>
        <v>250</v>
      </c>
      <c r="Q60" s="365">
        <f t="shared" si="21"/>
        <v>10549</v>
      </c>
    </row>
    <row r="61" spans="1:17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1:17" ht="16.5" thickBot="1" thickTop="1">
      <c r="A62" s="174"/>
      <c r="B62" s="175" t="s">
        <v>593</v>
      </c>
      <c r="C62" s="204"/>
      <c r="D62" s="403"/>
      <c r="E62" s="404">
        <f>SUM(C62:D62)</f>
        <v>0</v>
      </c>
      <c r="F62" s="204"/>
      <c r="G62" s="405"/>
      <c r="H62" s="404">
        <f>SUM(F62:G62)</f>
        <v>0</v>
      </c>
      <c r="I62" s="204"/>
      <c r="J62" s="405"/>
      <c r="K62" s="404">
        <f>SUM(I62:J62)</f>
        <v>0</v>
      </c>
      <c r="L62" s="204"/>
      <c r="M62" s="405"/>
      <c r="N62" s="404">
        <f>SUM(L62:M62)</f>
        <v>0</v>
      </c>
      <c r="O62" s="204"/>
      <c r="P62" s="405"/>
      <c r="Q62" s="404">
        <f>SUM(O62:P62)</f>
        <v>0</v>
      </c>
    </row>
    <row r="63" spans="1:17" ht="16.5" thickBot="1" thickTop="1">
      <c r="A63" s="174"/>
      <c r="B63" s="175" t="s">
        <v>594</v>
      </c>
      <c r="C63" s="204"/>
      <c r="D63" s="403"/>
      <c r="E63" s="404">
        <f>SUM(C63:D63)</f>
        <v>0</v>
      </c>
      <c r="F63" s="204"/>
      <c r="G63" s="405"/>
      <c r="H63" s="404">
        <f>SUM(F63:G63)</f>
        <v>0</v>
      </c>
      <c r="I63" s="204"/>
      <c r="J63" s="405"/>
      <c r="K63" s="404">
        <f>SUM(I63:J63)</f>
        <v>0</v>
      </c>
      <c r="L63" s="204"/>
      <c r="M63" s="405"/>
      <c r="N63" s="404">
        <f>SUM(L63:M63)</f>
        <v>0</v>
      </c>
      <c r="O63" s="204"/>
      <c r="P63" s="405"/>
      <c r="Q63" s="404">
        <f>SUM(O63:P63)</f>
        <v>0</v>
      </c>
    </row>
    <row r="64" ht="16.5" thickTop="1">
      <c r="A64" s="409"/>
    </row>
    <row r="65" ht="15.75">
      <c r="A65" s="409"/>
    </row>
  </sheetData>
  <sheetProtection/>
  <mergeCells count="7">
    <mergeCell ref="A4:Q4"/>
    <mergeCell ref="A5:Q5"/>
    <mergeCell ref="O7:Q7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"/>
    </sheetView>
  </sheetViews>
  <sheetFormatPr defaultColWidth="9.00390625" defaultRowHeight="12.75"/>
  <cols>
    <col min="1" max="1" width="5.375" style="410" customWidth="1"/>
    <col min="2" max="2" width="78.375" style="377" customWidth="1"/>
    <col min="3" max="14" width="14.625" style="377" customWidth="1"/>
    <col min="15" max="17" width="14.625" style="391" customWidth="1"/>
    <col min="18" max="16384" width="9.375" style="5" customWidth="1"/>
  </cols>
  <sheetData>
    <row r="1" spans="1:17" ht="10.5" customHeight="1">
      <c r="A1" s="294"/>
      <c r="B1" s="295"/>
      <c r="C1" s="295"/>
      <c r="K1" s="868"/>
      <c r="Q1" s="867" t="s">
        <v>856</v>
      </c>
    </row>
    <row r="2" spans="1:17" ht="12.75" customHeight="1">
      <c r="A2" s="294"/>
      <c r="B2" s="295"/>
      <c r="C2" s="295"/>
      <c r="K2" s="868"/>
      <c r="Q2" s="867" t="s">
        <v>93</v>
      </c>
    </row>
    <row r="3" spans="1:17" ht="15">
      <c r="A3" s="294"/>
      <c r="B3" s="295"/>
      <c r="C3" s="295"/>
      <c r="K3" s="868"/>
      <c r="Q3" s="868" t="s">
        <v>142</v>
      </c>
    </row>
    <row r="4" spans="1:17" s="90" customFormat="1" ht="20.25">
      <c r="A4" s="1899" t="s">
        <v>574</v>
      </c>
      <c r="B4" s="1899"/>
      <c r="C4" s="1899"/>
      <c r="D4" s="1899"/>
      <c r="E4" s="1899"/>
      <c r="F4" s="1899"/>
      <c r="G4" s="1899"/>
      <c r="H4" s="1899"/>
      <c r="I4" s="1899"/>
      <c r="J4" s="1899"/>
      <c r="K4" s="1899"/>
      <c r="L4" s="1899"/>
      <c r="M4" s="1899"/>
      <c r="N4" s="1899"/>
      <c r="O4" s="1899"/>
      <c r="P4" s="1899"/>
      <c r="Q4" s="1899"/>
    </row>
    <row r="5" spans="1:17" s="91" customFormat="1" ht="18">
      <c r="A5" s="1900" t="s">
        <v>585</v>
      </c>
      <c r="B5" s="1900"/>
      <c r="C5" s="1900"/>
      <c r="D5" s="1900"/>
      <c r="E5" s="1900"/>
      <c r="F5" s="1900"/>
      <c r="G5" s="1900"/>
      <c r="H5" s="1900"/>
      <c r="I5" s="1900"/>
      <c r="J5" s="1900"/>
      <c r="K5" s="1900"/>
      <c r="L5" s="1900"/>
      <c r="M5" s="1900"/>
      <c r="N5" s="1900"/>
      <c r="O5" s="1900"/>
      <c r="P5" s="1900"/>
      <c r="Q5" s="1900"/>
    </row>
    <row r="6" spans="1:17" ht="45" customHeight="1" thickBot="1">
      <c r="A6" s="294"/>
      <c r="B6" s="295"/>
      <c r="C6" s="295"/>
      <c r="K6" s="915"/>
      <c r="L6" s="906"/>
      <c r="M6" s="906"/>
      <c r="O6" s="916"/>
      <c r="P6" s="916"/>
      <c r="Q6" s="917" t="s">
        <v>134</v>
      </c>
    </row>
    <row r="7" spans="1:17" s="242" customFormat="1" ht="37.5" customHeight="1">
      <c r="A7" s="127" t="s">
        <v>124</v>
      </c>
      <c r="B7" s="241" t="s">
        <v>125</v>
      </c>
      <c r="C7" s="1888" t="s">
        <v>428</v>
      </c>
      <c r="D7" s="1910"/>
      <c r="E7" s="1911"/>
      <c r="F7" s="1888" t="s">
        <v>64</v>
      </c>
      <c r="G7" s="1912"/>
      <c r="H7" s="1911"/>
      <c r="I7" s="1888" t="s">
        <v>79</v>
      </c>
      <c r="J7" s="1912"/>
      <c r="K7" s="1911"/>
      <c r="L7" s="1885" t="s">
        <v>61</v>
      </c>
      <c r="M7" s="1886"/>
      <c r="N7" s="1887"/>
      <c r="O7" s="1888" t="s">
        <v>62</v>
      </c>
      <c r="P7" s="1912"/>
      <c r="Q7" s="1911"/>
    </row>
    <row r="8" spans="1:17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24" t="s">
        <v>420</v>
      </c>
      <c r="M8" s="23" t="s">
        <v>128</v>
      </c>
      <c r="N8" s="11" t="s">
        <v>661</v>
      </c>
      <c r="O8" s="24" t="s">
        <v>420</v>
      </c>
      <c r="P8" s="23" t="s">
        <v>128</v>
      </c>
      <c r="Q8" s="11" t="s">
        <v>661</v>
      </c>
    </row>
    <row r="9" spans="1:17" s="92" customFormat="1" ht="13.5" customHeight="1" thickBot="1">
      <c r="A9" s="411">
        <v>1</v>
      </c>
      <c r="B9" s="411">
        <v>2</v>
      </c>
      <c r="C9" s="412">
        <v>3</v>
      </c>
      <c r="D9" s="413">
        <v>4</v>
      </c>
      <c r="E9" s="415">
        <v>5</v>
      </c>
      <c r="F9" s="413">
        <v>6</v>
      </c>
      <c r="G9" s="413">
        <v>7</v>
      </c>
      <c r="H9" s="413">
        <v>8</v>
      </c>
      <c r="I9" s="412">
        <v>9</v>
      </c>
      <c r="J9" s="413">
        <v>10</v>
      </c>
      <c r="K9" s="415">
        <v>11</v>
      </c>
      <c r="L9" s="413">
        <v>12</v>
      </c>
      <c r="M9" s="413">
        <v>13</v>
      </c>
      <c r="N9" s="415">
        <v>14</v>
      </c>
      <c r="O9" s="413">
        <v>15</v>
      </c>
      <c r="P9" s="413">
        <v>16</v>
      </c>
      <c r="Q9" s="415">
        <v>17</v>
      </c>
    </row>
    <row r="10" spans="1:17" s="377" customFormat="1" ht="16.5" thickBot="1">
      <c r="A10" s="371"/>
      <c r="B10" s="337" t="s">
        <v>129</v>
      </c>
      <c r="C10" s="372"/>
      <c r="D10" s="373"/>
      <c r="E10" s="374"/>
      <c r="F10" s="375"/>
      <c r="G10" s="376"/>
      <c r="H10" s="374"/>
      <c r="I10" s="375"/>
      <c r="J10" s="376"/>
      <c r="K10" s="374"/>
      <c r="L10" s="919"/>
      <c r="M10" s="1134"/>
      <c r="N10" s="891"/>
      <c r="O10" s="919"/>
      <c r="P10" s="376"/>
      <c r="Q10" s="890"/>
    </row>
    <row r="11" spans="1:17" s="377" customFormat="1" ht="16.5" thickBot="1">
      <c r="A11" s="304">
        <v>1</v>
      </c>
      <c r="B11" s="296" t="s">
        <v>113</v>
      </c>
      <c r="C11" s="305"/>
      <c r="D11" s="305"/>
      <c r="E11" s="349">
        <f>SUM(C11:D11)</f>
        <v>0</v>
      </c>
      <c r="F11" s="305">
        <v>2341</v>
      </c>
      <c r="G11" s="305"/>
      <c r="H11" s="349">
        <f>SUM(F11:G11)</f>
        <v>2341</v>
      </c>
      <c r="I11" s="305"/>
      <c r="J11" s="305"/>
      <c r="K11" s="349">
        <f aca="true" t="shared" si="0" ref="K11:K16">SUM(I11:J11)</f>
        <v>0</v>
      </c>
      <c r="L11" s="305"/>
      <c r="M11" s="305"/>
      <c r="N11" s="349">
        <f aca="true" t="shared" si="1" ref="N11:N16">SUM(L11:M11)</f>
        <v>0</v>
      </c>
      <c r="O11" s="1135"/>
      <c r="P11" s="378"/>
      <c r="Q11" s="1112">
        <f aca="true" t="shared" si="2" ref="Q11:Q16">SUM(O11:P11)</f>
        <v>0</v>
      </c>
    </row>
    <row r="12" spans="1:17" s="377" customFormat="1" ht="16.5" thickBot="1">
      <c r="A12" s="308">
        <v>2</v>
      </c>
      <c r="B12" s="296" t="s">
        <v>202</v>
      </c>
      <c r="C12" s="307"/>
      <c r="D12" s="305"/>
      <c r="E12" s="349">
        <f>SUM(C12:D12)</f>
        <v>0</v>
      </c>
      <c r="F12" s="307">
        <v>454</v>
      </c>
      <c r="G12" s="305"/>
      <c r="H12" s="349">
        <f>SUM(F12:G12)</f>
        <v>454</v>
      </c>
      <c r="I12" s="307"/>
      <c r="J12" s="305"/>
      <c r="K12" s="349">
        <f t="shared" si="0"/>
        <v>0</v>
      </c>
      <c r="L12" s="307"/>
      <c r="M12" s="305"/>
      <c r="N12" s="349">
        <f t="shared" si="1"/>
        <v>0</v>
      </c>
      <c r="O12" s="1135"/>
      <c r="P12" s="378"/>
      <c r="Q12" s="1112">
        <f t="shared" si="2"/>
        <v>0</v>
      </c>
    </row>
    <row r="13" spans="1:17" s="385" customFormat="1" ht="16.5" thickBot="1">
      <c r="A13" s="308">
        <v>3</v>
      </c>
      <c r="B13" s="296" t="s">
        <v>116</v>
      </c>
      <c r="C13" s="307">
        <v>26283</v>
      </c>
      <c r="D13" s="305"/>
      <c r="E13" s="349">
        <f>SUM(C13:D13)</f>
        <v>26283</v>
      </c>
      <c r="F13" s="307">
        <v>28469</v>
      </c>
      <c r="G13" s="305">
        <v>10822</v>
      </c>
      <c r="H13" s="349">
        <f>SUM(F13:G13)</f>
        <v>39291</v>
      </c>
      <c r="I13" s="305">
        <v>34650</v>
      </c>
      <c r="J13" s="305">
        <v>-14120</v>
      </c>
      <c r="K13" s="349">
        <f t="shared" si="0"/>
        <v>20530</v>
      </c>
      <c r="L13" s="305">
        <v>360460</v>
      </c>
      <c r="M13" s="305">
        <v>1912</v>
      </c>
      <c r="N13" s="349">
        <f t="shared" si="1"/>
        <v>362372</v>
      </c>
      <c r="O13" s="1135"/>
      <c r="P13" s="378"/>
      <c r="Q13" s="1112">
        <f t="shared" si="2"/>
        <v>0</v>
      </c>
    </row>
    <row r="14" spans="1:17" s="385" customFormat="1" ht="16.5" thickBot="1">
      <c r="A14" s="308">
        <v>4</v>
      </c>
      <c r="B14" s="296" t="s">
        <v>172</v>
      </c>
      <c r="C14" s="307"/>
      <c r="D14" s="307"/>
      <c r="E14" s="311">
        <f>SUM(C14:D14)</f>
        <v>0</v>
      </c>
      <c r="F14" s="307"/>
      <c r="G14" s="307"/>
      <c r="H14" s="311">
        <f>SUM(F14:G14)</f>
        <v>0</v>
      </c>
      <c r="I14" s="307"/>
      <c r="J14" s="307"/>
      <c r="K14" s="311">
        <f t="shared" si="0"/>
        <v>0</v>
      </c>
      <c r="L14" s="307"/>
      <c r="M14" s="307"/>
      <c r="N14" s="311">
        <f t="shared" si="1"/>
        <v>0</v>
      </c>
      <c r="O14" s="321"/>
      <c r="P14" s="305"/>
      <c r="Q14" s="311">
        <f t="shared" si="2"/>
        <v>0</v>
      </c>
    </row>
    <row r="15" spans="1:17" s="377" customFormat="1" ht="15">
      <c r="A15" s="163" t="s">
        <v>98</v>
      </c>
      <c r="B15" s="152" t="s">
        <v>370</v>
      </c>
      <c r="C15" s="224"/>
      <c r="D15" s="224"/>
      <c r="E15" s="380">
        <f>C15+D15</f>
        <v>0</v>
      </c>
      <c r="F15" s="224"/>
      <c r="G15" s="224"/>
      <c r="H15" s="380">
        <f>F15+G15</f>
        <v>0</v>
      </c>
      <c r="I15" s="224"/>
      <c r="J15" s="224"/>
      <c r="K15" s="380">
        <f t="shared" si="0"/>
        <v>0</v>
      </c>
      <c r="L15" s="224"/>
      <c r="M15" s="224"/>
      <c r="N15" s="380">
        <f t="shared" si="1"/>
        <v>0</v>
      </c>
      <c r="O15" s="1136"/>
      <c r="P15" s="381"/>
      <c r="Q15" s="1111">
        <f t="shared" si="2"/>
        <v>0</v>
      </c>
    </row>
    <row r="16" spans="1:17" s="377" customFormat="1" ht="15">
      <c r="A16" s="160" t="s">
        <v>99</v>
      </c>
      <c r="B16" s="156" t="s">
        <v>554</v>
      </c>
      <c r="C16" s="298"/>
      <c r="D16" s="146"/>
      <c r="E16" s="227">
        <f>C16+D16</f>
        <v>0</v>
      </c>
      <c r="F16" s="146"/>
      <c r="G16" s="146"/>
      <c r="H16" s="380">
        <f>F16+G16</f>
        <v>0</v>
      </c>
      <c r="I16" s="146"/>
      <c r="J16" s="146"/>
      <c r="K16" s="380">
        <f t="shared" si="0"/>
        <v>0</v>
      </c>
      <c r="L16" s="146"/>
      <c r="M16" s="146"/>
      <c r="N16" s="380">
        <f t="shared" si="1"/>
        <v>0</v>
      </c>
      <c r="O16" s="1137"/>
      <c r="P16" s="383"/>
      <c r="Q16" s="1111">
        <f t="shared" si="2"/>
        <v>0</v>
      </c>
    </row>
    <row r="17" spans="1:17" s="377" customFormat="1" ht="15">
      <c r="A17" s="160" t="s">
        <v>100</v>
      </c>
      <c r="B17" s="156" t="s">
        <v>555</v>
      </c>
      <c r="C17" s="298"/>
      <c r="D17" s="146"/>
      <c r="E17" s="227">
        <f aca="true" t="shared" si="3" ref="E17:E22">C17+D17</f>
        <v>0</v>
      </c>
      <c r="F17" s="146"/>
      <c r="G17" s="146"/>
      <c r="H17" s="380">
        <f aca="true" t="shared" si="4" ref="H17:H22">F17+G17</f>
        <v>0</v>
      </c>
      <c r="I17" s="146"/>
      <c r="J17" s="146"/>
      <c r="K17" s="380">
        <f aca="true" t="shared" si="5" ref="K17:K22">SUM(I17:J17)</f>
        <v>0</v>
      </c>
      <c r="L17" s="146"/>
      <c r="M17" s="146"/>
      <c r="N17" s="380">
        <f aca="true" t="shared" si="6" ref="N17:N22">SUM(L17:M17)</f>
        <v>0</v>
      </c>
      <c r="O17" s="1137"/>
      <c r="P17" s="383"/>
      <c r="Q17" s="1111">
        <f aca="true" t="shared" si="7" ref="Q17:Q22">SUM(O17:P17)</f>
        <v>0</v>
      </c>
    </row>
    <row r="18" spans="1:17" s="377" customFormat="1" ht="15">
      <c r="A18" s="160" t="s">
        <v>101</v>
      </c>
      <c r="B18" s="156" t="s">
        <v>371</v>
      </c>
      <c r="C18" s="881"/>
      <c r="D18" s="146"/>
      <c r="E18" s="227">
        <f t="shared" si="3"/>
        <v>0</v>
      </c>
      <c r="F18" s="298"/>
      <c r="G18" s="146"/>
      <c r="H18" s="227">
        <f t="shared" si="4"/>
        <v>0</v>
      </c>
      <c r="I18" s="146"/>
      <c r="J18" s="146"/>
      <c r="K18" s="380">
        <f t="shared" si="5"/>
        <v>0</v>
      </c>
      <c r="L18" s="146"/>
      <c r="M18" s="146"/>
      <c r="N18" s="380">
        <f t="shared" si="6"/>
        <v>0</v>
      </c>
      <c r="O18" s="1137"/>
      <c r="P18" s="383"/>
      <c r="Q18" s="1111">
        <f t="shared" si="7"/>
        <v>0</v>
      </c>
    </row>
    <row r="19" spans="1:17" s="377" customFormat="1" ht="15">
      <c r="A19" s="155" t="s">
        <v>192</v>
      </c>
      <c r="B19" s="156" t="s">
        <v>556</v>
      </c>
      <c r="C19" s="862"/>
      <c r="D19" s="224"/>
      <c r="E19" s="227">
        <f>C19+D19</f>
        <v>0</v>
      </c>
      <c r="F19" s="297"/>
      <c r="G19" s="224"/>
      <c r="H19" s="227">
        <f>F19+G19</f>
        <v>0</v>
      </c>
      <c r="I19" s="297"/>
      <c r="J19" s="146"/>
      <c r="K19" s="227">
        <f>SUM(I19:J19)</f>
        <v>0</v>
      </c>
      <c r="L19" s="224"/>
      <c r="M19" s="224"/>
      <c r="N19" s="380">
        <f>SUM(L19:M19)</f>
        <v>0</v>
      </c>
      <c r="O19" s="1136"/>
      <c r="P19" s="381"/>
      <c r="Q19" s="1111">
        <f>SUM(O19:P19)</f>
        <v>0</v>
      </c>
    </row>
    <row r="20" spans="1:17" s="377" customFormat="1" ht="15">
      <c r="A20" s="155" t="s">
        <v>327</v>
      </c>
      <c r="B20" s="156" t="s">
        <v>557</v>
      </c>
      <c r="C20" s="862"/>
      <c r="D20" s="224"/>
      <c r="E20" s="227">
        <f t="shared" si="3"/>
        <v>0</v>
      </c>
      <c r="F20" s="297"/>
      <c r="G20" s="224"/>
      <c r="H20" s="227">
        <f t="shared" si="4"/>
        <v>0</v>
      </c>
      <c r="I20" s="297"/>
      <c r="J20" s="224"/>
      <c r="K20" s="227">
        <f t="shared" si="5"/>
        <v>0</v>
      </c>
      <c r="L20" s="297"/>
      <c r="M20" s="146"/>
      <c r="N20" s="227">
        <f t="shared" si="6"/>
        <v>0</v>
      </c>
      <c r="O20" s="1136"/>
      <c r="P20" s="381"/>
      <c r="Q20" s="1111">
        <f t="shared" si="7"/>
        <v>0</v>
      </c>
    </row>
    <row r="21" spans="1:17" s="377" customFormat="1" ht="15">
      <c r="A21" s="155" t="s">
        <v>328</v>
      </c>
      <c r="B21" s="156" t="s">
        <v>372</v>
      </c>
      <c r="C21" s="862"/>
      <c r="D21" s="224"/>
      <c r="E21" s="227">
        <f>C21+D21</f>
        <v>0</v>
      </c>
      <c r="F21" s="297"/>
      <c r="G21" s="224"/>
      <c r="H21" s="227">
        <f t="shared" si="4"/>
        <v>0</v>
      </c>
      <c r="I21" s="297"/>
      <c r="J21" s="224"/>
      <c r="K21" s="227">
        <f t="shared" si="5"/>
        <v>0</v>
      </c>
      <c r="L21" s="297"/>
      <c r="M21" s="224"/>
      <c r="N21" s="227">
        <f t="shared" si="6"/>
        <v>0</v>
      </c>
      <c r="O21" s="1136"/>
      <c r="P21" s="381"/>
      <c r="Q21" s="1111">
        <f t="shared" si="7"/>
        <v>0</v>
      </c>
    </row>
    <row r="22" spans="1:17" s="377" customFormat="1" ht="15" customHeight="1" thickBot="1">
      <c r="A22" s="16" t="s">
        <v>69</v>
      </c>
      <c r="B22" s="325" t="s">
        <v>373</v>
      </c>
      <c r="C22" s="861"/>
      <c r="D22" s="158"/>
      <c r="E22" s="227">
        <f t="shared" si="3"/>
        <v>0</v>
      </c>
      <c r="F22" s="299"/>
      <c r="G22" s="158"/>
      <c r="H22" s="227">
        <f t="shared" si="4"/>
        <v>0</v>
      </c>
      <c r="I22" s="299"/>
      <c r="J22" s="158"/>
      <c r="K22" s="227">
        <f t="shared" si="5"/>
        <v>0</v>
      </c>
      <c r="L22" s="299"/>
      <c r="M22" s="158"/>
      <c r="N22" s="227">
        <f t="shared" si="6"/>
        <v>0</v>
      </c>
      <c r="O22" s="1138"/>
      <c r="P22" s="384"/>
      <c r="Q22" s="1111">
        <f t="shared" si="7"/>
        <v>0</v>
      </c>
    </row>
    <row r="23" spans="1:17" s="385" customFormat="1" ht="16.5" thickBot="1">
      <c r="A23" s="308">
        <v>5</v>
      </c>
      <c r="B23" s="296" t="s">
        <v>171</v>
      </c>
      <c r="C23" s="338">
        <f aca="true" t="shared" si="8" ref="C23:Q23">SUM(C15:C22)</f>
        <v>0</v>
      </c>
      <c r="D23" s="305">
        <f t="shared" si="8"/>
        <v>0</v>
      </c>
      <c r="E23" s="311">
        <f t="shared" si="8"/>
        <v>0</v>
      </c>
      <c r="F23" s="321">
        <f t="shared" si="8"/>
        <v>0</v>
      </c>
      <c r="G23" s="305">
        <f t="shared" si="8"/>
        <v>0</v>
      </c>
      <c r="H23" s="321">
        <f t="shared" si="8"/>
        <v>0</v>
      </c>
      <c r="I23" s="338">
        <f t="shared" si="8"/>
        <v>0</v>
      </c>
      <c r="J23" s="305">
        <f t="shared" si="8"/>
        <v>0</v>
      </c>
      <c r="K23" s="311">
        <f t="shared" si="8"/>
        <v>0</v>
      </c>
      <c r="L23" s="338">
        <f t="shared" si="8"/>
        <v>0</v>
      </c>
      <c r="M23" s="305">
        <f t="shared" si="8"/>
        <v>0</v>
      </c>
      <c r="N23" s="311">
        <f t="shared" si="8"/>
        <v>0</v>
      </c>
      <c r="O23" s="338">
        <f t="shared" si="8"/>
        <v>0</v>
      </c>
      <c r="P23" s="305">
        <f t="shared" si="8"/>
        <v>0</v>
      </c>
      <c r="Q23" s="311">
        <f t="shared" si="8"/>
        <v>0</v>
      </c>
    </row>
    <row r="24" spans="1:17" s="377" customFormat="1" ht="16.5" thickBot="1">
      <c r="A24" s="304">
        <v>6</v>
      </c>
      <c r="B24" s="296" t="s">
        <v>174</v>
      </c>
      <c r="C24" s="309">
        <v>2884</v>
      </c>
      <c r="D24" s="305"/>
      <c r="E24" s="311">
        <f aca="true" t="shared" si="9" ref="E24:E30">SUM(C24:D24)</f>
        <v>2884</v>
      </c>
      <c r="F24" s="309">
        <v>12966</v>
      </c>
      <c r="G24" s="305"/>
      <c r="H24" s="311">
        <f aca="true" t="shared" si="10" ref="H24:H30">SUM(F24:G24)</f>
        <v>12966</v>
      </c>
      <c r="I24" s="321">
        <v>156838</v>
      </c>
      <c r="J24" s="305">
        <v>-145612</v>
      </c>
      <c r="K24" s="311">
        <f aca="true" t="shared" si="11" ref="K24:K30">SUM(I24:J24)</f>
        <v>11226</v>
      </c>
      <c r="L24" s="309">
        <v>829425</v>
      </c>
      <c r="M24" s="305">
        <v>305901</v>
      </c>
      <c r="N24" s="311">
        <f aca="true" t="shared" si="12" ref="N24:N30">SUM(L24:M24)</f>
        <v>1135326</v>
      </c>
      <c r="O24" s="1124"/>
      <c r="P24" s="378"/>
      <c r="Q24" s="1112">
        <f aca="true" t="shared" si="13" ref="Q24:Q30">SUM(O24:P24)</f>
        <v>0</v>
      </c>
    </row>
    <row r="25" spans="1:17" s="385" customFormat="1" ht="16.5" thickBot="1">
      <c r="A25" s="304">
        <v>7</v>
      </c>
      <c r="B25" s="296" t="s">
        <v>421</v>
      </c>
      <c r="C25" s="309"/>
      <c r="D25" s="305"/>
      <c r="E25" s="311">
        <f t="shared" si="9"/>
        <v>0</v>
      </c>
      <c r="F25" s="309"/>
      <c r="G25" s="305"/>
      <c r="H25" s="321">
        <f t="shared" si="10"/>
        <v>0</v>
      </c>
      <c r="I25" s="338"/>
      <c r="J25" s="305"/>
      <c r="K25" s="311">
        <f t="shared" si="11"/>
        <v>0</v>
      </c>
      <c r="L25" s="321">
        <v>193185</v>
      </c>
      <c r="M25" s="305">
        <v>-7813</v>
      </c>
      <c r="N25" s="311">
        <f t="shared" si="12"/>
        <v>185372</v>
      </c>
      <c r="O25" s="1135"/>
      <c r="P25" s="378"/>
      <c r="Q25" s="1112">
        <f t="shared" si="13"/>
        <v>0</v>
      </c>
    </row>
    <row r="26" spans="1:17" s="377" customFormat="1" ht="15">
      <c r="A26" s="163" t="s">
        <v>98</v>
      </c>
      <c r="B26" s="156" t="s">
        <v>560</v>
      </c>
      <c r="C26" s="297"/>
      <c r="D26" s="224"/>
      <c r="E26" s="227">
        <f t="shared" si="9"/>
        <v>0</v>
      </c>
      <c r="F26" s="297"/>
      <c r="G26" s="224"/>
      <c r="H26" s="227">
        <f t="shared" si="10"/>
        <v>0</v>
      </c>
      <c r="I26" s="297"/>
      <c r="J26" s="224"/>
      <c r="K26" s="227">
        <f t="shared" si="11"/>
        <v>0</v>
      </c>
      <c r="L26" s="297"/>
      <c r="M26" s="224"/>
      <c r="N26" s="227">
        <f t="shared" si="12"/>
        <v>0</v>
      </c>
      <c r="O26" s="1136"/>
      <c r="P26" s="381"/>
      <c r="Q26" s="1111">
        <f t="shared" si="13"/>
        <v>0</v>
      </c>
    </row>
    <row r="27" spans="1:17" s="377" customFormat="1" ht="15">
      <c r="A27" s="163" t="s">
        <v>99</v>
      </c>
      <c r="B27" s="156" t="s">
        <v>558</v>
      </c>
      <c r="C27" s="297"/>
      <c r="D27" s="224"/>
      <c r="E27" s="227">
        <f t="shared" si="9"/>
        <v>0</v>
      </c>
      <c r="F27" s="297"/>
      <c r="G27" s="224"/>
      <c r="H27" s="227">
        <f t="shared" si="10"/>
        <v>0</v>
      </c>
      <c r="I27" s="297"/>
      <c r="J27" s="224"/>
      <c r="K27" s="227">
        <f t="shared" si="11"/>
        <v>0</v>
      </c>
      <c r="L27" s="297"/>
      <c r="M27" s="224"/>
      <c r="N27" s="227">
        <f t="shared" si="12"/>
        <v>0</v>
      </c>
      <c r="O27" s="1136"/>
      <c r="P27" s="381"/>
      <c r="Q27" s="1111">
        <f t="shared" si="13"/>
        <v>0</v>
      </c>
    </row>
    <row r="28" spans="1:17" s="377" customFormat="1" ht="15">
      <c r="A28" s="163" t="s">
        <v>100</v>
      </c>
      <c r="B28" s="156" t="s">
        <v>374</v>
      </c>
      <c r="C28" s="297"/>
      <c r="D28" s="224"/>
      <c r="E28" s="227">
        <f t="shared" si="9"/>
        <v>0</v>
      </c>
      <c r="F28" s="297"/>
      <c r="G28" s="224"/>
      <c r="H28" s="227">
        <f t="shared" si="10"/>
        <v>0</v>
      </c>
      <c r="I28" s="297"/>
      <c r="J28" s="224"/>
      <c r="K28" s="227">
        <f t="shared" si="11"/>
        <v>0</v>
      </c>
      <c r="L28" s="297"/>
      <c r="M28" s="224"/>
      <c r="N28" s="227">
        <f t="shared" si="12"/>
        <v>0</v>
      </c>
      <c r="O28" s="1136"/>
      <c r="P28" s="381"/>
      <c r="Q28" s="1111">
        <f t="shared" si="13"/>
        <v>0</v>
      </c>
    </row>
    <row r="29" spans="1:17" s="377" customFormat="1" ht="15">
      <c r="A29" s="163" t="s">
        <v>101</v>
      </c>
      <c r="B29" s="156" t="s">
        <v>559</v>
      </c>
      <c r="C29" s="297"/>
      <c r="D29" s="224"/>
      <c r="E29" s="227">
        <f t="shared" si="9"/>
        <v>0</v>
      </c>
      <c r="F29" s="297"/>
      <c r="G29" s="224"/>
      <c r="H29" s="227">
        <f t="shared" si="10"/>
        <v>0</v>
      </c>
      <c r="I29" s="297"/>
      <c r="J29" s="224"/>
      <c r="K29" s="227">
        <f t="shared" si="11"/>
        <v>0</v>
      </c>
      <c r="L29" s="297"/>
      <c r="M29" s="224"/>
      <c r="N29" s="227">
        <f t="shared" si="12"/>
        <v>0</v>
      </c>
      <c r="O29" s="1136"/>
      <c r="P29" s="381"/>
      <c r="Q29" s="1111">
        <f t="shared" si="13"/>
        <v>0</v>
      </c>
    </row>
    <row r="30" spans="1:17" s="377" customFormat="1" ht="15.75" thickBot="1">
      <c r="A30" s="326" t="s">
        <v>192</v>
      </c>
      <c r="B30" s="156" t="s">
        <v>375</v>
      </c>
      <c r="C30" s="320"/>
      <c r="D30" s="312"/>
      <c r="E30" s="315">
        <f t="shared" si="9"/>
        <v>0</v>
      </c>
      <c r="F30" s="320"/>
      <c r="G30" s="312"/>
      <c r="H30" s="315">
        <f t="shared" si="10"/>
        <v>0</v>
      </c>
      <c r="I30" s="320"/>
      <c r="J30" s="312"/>
      <c r="K30" s="315">
        <f t="shared" si="11"/>
        <v>0</v>
      </c>
      <c r="L30" s="320">
        <v>15382</v>
      </c>
      <c r="M30" s="312"/>
      <c r="N30" s="315">
        <f t="shared" si="12"/>
        <v>15382</v>
      </c>
      <c r="O30" s="1139"/>
      <c r="P30" s="387"/>
      <c r="Q30" s="1113">
        <f t="shared" si="13"/>
        <v>0</v>
      </c>
    </row>
    <row r="31" spans="1:17" s="385" customFormat="1" ht="16.5" thickBot="1">
      <c r="A31" s="304">
        <v>8</v>
      </c>
      <c r="B31" s="296" t="s">
        <v>173</v>
      </c>
      <c r="C31" s="338">
        <f aca="true" t="shared" si="14" ref="C31:Q31">SUM(C26:C30)</f>
        <v>0</v>
      </c>
      <c r="D31" s="305">
        <f t="shared" si="14"/>
        <v>0</v>
      </c>
      <c r="E31" s="311">
        <f t="shared" si="14"/>
        <v>0</v>
      </c>
      <c r="F31" s="321">
        <f t="shared" si="14"/>
        <v>0</v>
      </c>
      <c r="G31" s="305">
        <f t="shared" si="14"/>
        <v>0</v>
      </c>
      <c r="H31" s="321">
        <f t="shared" si="14"/>
        <v>0</v>
      </c>
      <c r="I31" s="338">
        <f t="shared" si="14"/>
        <v>0</v>
      </c>
      <c r="J31" s="305">
        <f t="shared" si="14"/>
        <v>0</v>
      </c>
      <c r="K31" s="311">
        <f t="shared" si="14"/>
        <v>0</v>
      </c>
      <c r="L31" s="338">
        <f t="shared" si="14"/>
        <v>15382</v>
      </c>
      <c r="M31" s="305">
        <f t="shared" si="14"/>
        <v>0</v>
      </c>
      <c r="N31" s="321">
        <f t="shared" si="14"/>
        <v>15382</v>
      </c>
      <c r="O31" s="338">
        <f t="shared" si="14"/>
        <v>0</v>
      </c>
      <c r="P31" s="305">
        <f t="shared" si="14"/>
        <v>0</v>
      </c>
      <c r="Q31" s="311">
        <f t="shared" si="14"/>
        <v>0</v>
      </c>
    </row>
    <row r="32" spans="1:17" s="377" customFormat="1" ht="16.5" thickBot="1">
      <c r="A32" s="304">
        <v>9</v>
      </c>
      <c r="B32" s="296" t="s">
        <v>179</v>
      </c>
      <c r="C32" s="309"/>
      <c r="D32" s="305"/>
      <c r="E32" s="311">
        <f>SUM(C32:D32)</f>
        <v>0</v>
      </c>
      <c r="F32" s="309"/>
      <c r="G32" s="305"/>
      <c r="H32" s="311">
        <f>SUM(F32:G32)</f>
        <v>0</v>
      </c>
      <c r="I32" s="309"/>
      <c r="J32" s="305"/>
      <c r="K32" s="311">
        <f>SUM(I32:J32)</f>
        <v>0</v>
      </c>
      <c r="L32" s="309"/>
      <c r="M32" s="305"/>
      <c r="N32" s="311">
        <f>SUM(L32:M32)</f>
        <v>0</v>
      </c>
      <c r="O32" s="1124"/>
      <c r="P32" s="378"/>
      <c r="Q32" s="1112">
        <f>SUM(O32:P32)</f>
        <v>0</v>
      </c>
    </row>
    <row r="33" spans="1:21" s="390" customFormat="1" ht="16.5" thickBot="1">
      <c r="A33" s="358">
        <v>10</v>
      </c>
      <c r="B33" s="388"/>
      <c r="C33" s="1132"/>
      <c r="D33" s="360"/>
      <c r="E33" s="1102">
        <f>SUM(C33:D33)</f>
        <v>0</v>
      </c>
      <c r="F33" s="165"/>
      <c r="G33" s="360"/>
      <c r="H33" s="1102">
        <f>SUM(F33:G33)</f>
        <v>0</v>
      </c>
      <c r="I33" s="165"/>
      <c r="J33" s="360"/>
      <c r="K33" s="1102">
        <f>SUM(I33:J33)</f>
        <v>0</v>
      </c>
      <c r="L33" s="165"/>
      <c r="M33" s="360"/>
      <c r="N33" s="1102">
        <f>SUM(L33:M33)</f>
        <v>0</v>
      </c>
      <c r="O33" s="165"/>
      <c r="P33" s="360"/>
      <c r="Q33" s="1102">
        <f>SUM(O33:P33)</f>
        <v>0</v>
      </c>
      <c r="R33" s="389"/>
      <c r="S33" s="389"/>
      <c r="T33" s="389"/>
      <c r="U33" s="389"/>
    </row>
    <row r="34" spans="1:17" s="167" customFormat="1" ht="17.25" thickBot="1" thickTop="1">
      <c r="A34" s="334" t="s">
        <v>108</v>
      </c>
      <c r="B34" s="357" t="s">
        <v>180</v>
      </c>
      <c r="C34" s="356">
        <f aca="true" t="shared" si="15" ref="C34:Q34">C11+C12+C13+C23+C14+C31+C25+C24+C32+C33</f>
        <v>29167</v>
      </c>
      <c r="D34" s="335">
        <f t="shared" si="15"/>
        <v>0</v>
      </c>
      <c r="E34" s="747">
        <f t="shared" si="15"/>
        <v>29167</v>
      </c>
      <c r="F34" s="356">
        <f t="shared" si="15"/>
        <v>44230</v>
      </c>
      <c r="G34" s="335">
        <f t="shared" si="15"/>
        <v>10822</v>
      </c>
      <c r="H34" s="747">
        <f t="shared" si="15"/>
        <v>55052</v>
      </c>
      <c r="I34" s="356">
        <f t="shared" si="15"/>
        <v>191488</v>
      </c>
      <c r="J34" s="335">
        <f t="shared" si="15"/>
        <v>-159732</v>
      </c>
      <c r="K34" s="747">
        <f t="shared" si="15"/>
        <v>31756</v>
      </c>
      <c r="L34" s="356">
        <f t="shared" si="15"/>
        <v>1398452</v>
      </c>
      <c r="M34" s="335">
        <f t="shared" si="15"/>
        <v>300000</v>
      </c>
      <c r="N34" s="747">
        <f t="shared" si="15"/>
        <v>1698452</v>
      </c>
      <c r="O34" s="356">
        <f t="shared" si="15"/>
        <v>0</v>
      </c>
      <c r="P34" s="335">
        <f t="shared" si="15"/>
        <v>0</v>
      </c>
      <c r="Q34" s="365">
        <f t="shared" si="15"/>
        <v>0</v>
      </c>
    </row>
    <row r="35" spans="1:21" s="377" customFormat="1" ht="17.25" thickBot="1" thickTop="1">
      <c r="A35" s="151"/>
      <c r="B35" s="337" t="s">
        <v>131</v>
      </c>
      <c r="C35" s="1072"/>
      <c r="D35" s="293"/>
      <c r="E35" s="1103"/>
      <c r="F35" s="863"/>
      <c r="G35" s="293"/>
      <c r="H35" s="1103"/>
      <c r="I35" s="910"/>
      <c r="J35" s="293"/>
      <c r="K35" s="1103"/>
      <c r="L35" s="910"/>
      <c r="M35" s="293"/>
      <c r="N35" s="1103"/>
      <c r="O35" s="1072"/>
      <c r="P35" s="293"/>
      <c r="Q35" s="1103"/>
      <c r="R35" s="391"/>
      <c r="S35" s="391"/>
      <c r="T35" s="391"/>
      <c r="U35" s="391"/>
    </row>
    <row r="36" spans="1:17" s="377" customFormat="1" ht="15">
      <c r="A36" s="738" t="s">
        <v>98</v>
      </c>
      <c r="B36" s="739" t="s">
        <v>376</v>
      </c>
      <c r="C36" s="1080"/>
      <c r="D36" s="740"/>
      <c r="E36" s="745">
        <f>SUM(C36:D36)</f>
        <v>0</v>
      </c>
      <c r="F36" s="744"/>
      <c r="G36" s="740"/>
      <c r="H36" s="745">
        <f>SUM(F36:G36)</f>
        <v>0</v>
      </c>
      <c r="I36" s="1080"/>
      <c r="J36" s="740"/>
      <c r="K36" s="745">
        <f>SUM(I36:J36)</f>
        <v>0</v>
      </c>
      <c r="L36" s="1080"/>
      <c r="M36" s="740"/>
      <c r="N36" s="745">
        <f>SUM(L36:M36)</f>
        <v>0</v>
      </c>
      <c r="O36" s="1126"/>
      <c r="P36" s="743"/>
      <c r="Q36" s="1114">
        <f>SUM(O36:P36)</f>
        <v>0</v>
      </c>
    </row>
    <row r="37" spans="1:17" s="377" customFormat="1" ht="15">
      <c r="A37" s="160" t="s">
        <v>99</v>
      </c>
      <c r="B37" s="156" t="s">
        <v>235</v>
      </c>
      <c r="C37" s="881"/>
      <c r="D37" s="146"/>
      <c r="E37" s="169">
        <f>SUM(C37:D37)</f>
        <v>0</v>
      </c>
      <c r="F37" s="860"/>
      <c r="G37" s="146"/>
      <c r="H37" s="169">
        <f>SUM(F37:G37)</f>
        <v>0</v>
      </c>
      <c r="I37" s="881"/>
      <c r="J37" s="146"/>
      <c r="K37" s="169">
        <f>SUM(I37:J37)</f>
        <v>0</v>
      </c>
      <c r="L37" s="881"/>
      <c r="M37" s="146"/>
      <c r="N37" s="169">
        <f>SUM(L37:M37)</f>
        <v>0</v>
      </c>
      <c r="O37" s="1121"/>
      <c r="P37" s="383"/>
      <c r="Q37" s="1115">
        <f>SUM(O37:P37)</f>
        <v>0</v>
      </c>
    </row>
    <row r="38" spans="1:17" s="377" customFormat="1" ht="15">
      <c r="A38" s="326" t="s">
        <v>100</v>
      </c>
      <c r="B38" s="149" t="s">
        <v>377</v>
      </c>
      <c r="C38" s="1071"/>
      <c r="D38" s="312"/>
      <c r="E38" s="315">
        <f>SUM(C38:D38)</f>
        <v>0</v>
      </c>
      <c r="F38" s="164"/>
      <c r="G38" s="312"/>
      <c r="H38" s="315">
        <f>SUM(F38:G38)</f>
        <v>0</v>
      </c>
      <c r="I38" s="1071"/>
      <c r="J38" s="312"/>
      <c r="K38" s="315">
        <f>SUM(I38:J38)</f>
        <v>0</v>
      </c>
      <c r="L38" s="1071"/>
      <c r="M38" s="312"/>
      <c r="N38" s="315">
        <f>SUM(L38:M38)</f>
        <v>0</v>
      </c>
      <c r="O38" s="1125"/>
      <c r="P38" s="387"/>
      <c r="Q38" s="1113">
        <f>SUM(O38:P38)</f>
        <v>0</v>
      </c>
    </row>
    <row r="39" spans="1:17" s="377" customFormat="1" ht="15.75" thickBot="1">
      <c r="A39" s="161" t="s">
        <v>101</v>
      </c>
      <c r="B39" s="162" t="s">
        <v>381</v>
      </c>
      <c r="C39" s="882">
        <v>4954</v>
      </c>
      <c r="D39" s="158"/>
      <c r="E39" s="237">
        <f>SUM(C39:D39)</f>
        <v>4954</v>
      </c>
      <c r="F39" s="861"/>
      <c r="G39" s="158"/>
      <c r="H39" s="237">
        <f>SUM(F39:G39)</f>
        <v>0</v>
      </c>
      <c r="I39" s="882"/>
      <c r="J39" s="158"/>
      <c r="K39" s="237">
        <f>SUM(I39:J39)</f>
        <v>0</v>
      </c>
      <c r="L39" s="882"/>
      <c r="M39" s="158"/>
      <c r="N39" s="237">
        <f>SUM(L39:M39)</f>
        <v>0</v>
      </c>
      <c r="O39" s="1123"/>
      <c r="P39" s="384"/>
      <c r="Q39" s="1116">
        <f>SUM(O39:P39)</f>
        <v>0</v>
      </c>
    </row>
    <row r="40" spans="1:17" s="385" customFormat="1" ht="16.5" thickBot="1">
      <c r="A40" s="304">
        <v>1</v>
      </c>
      <c r="B40" s="296" t="s">
        <v>177</v>
      </c>
      <c r="C40" s="338">
        <f aca="true" t="shared" si="16" ref="C40:Q40">SUM(C36:C39)</f>
        <v>4954</v>
      </c>
      <c r="D40" s="305">
        <f t="shared" si="16"/>
        <v>0</v>
      </c>
      <c r="E40" s="311">
        <f t="shared" si="16"/>
        <v>4954</v>
      </c>
      <c r="F40" s="338">
        <f t="shared" si="16"/>
        <v>0</v>
      </c>
      <c r="G40" s="305">
        <f t="shared" si="16"/>
        <v>0</v>
      </c>
      <c r="H40" s="311">
        <f t="shared" si="16"/>
        <v>0</v>
      </c>
      <c r="I40" s="338">
        <f t="shared" si="16"/>
        <v>0</v>
      </c>
      <c r="J40" s="305">
        <f t="shared" si="16"/>
        <v>0</v>
      </c>
      <c r="K40" s="311">
        <f t="shared" si="16"/>
        <v>0</v>
      </c>
      <c r="L40" s="338">
        <f t="shared" si="16"/>
        <v>0</v>
      </c>
      <c r="M40" s="305">
        <f t="shared" si="16"/>
        <v>0</v>
      </c>
      <c r="N40" s="311">
        <f t="shared" si="16"/>
        <v>0</v>
      </c>
      <c r="O40" s="338">
        <f t="shared" si="16"/>
        <v>0</v>
      </c>
      <c r="P40" s="305">
        <f t="shared" si="16"/>
        <v>0</v>
      </c>
      <c r="Q40" s="311">
        <f t="shared" si="16"/>
        <v>0</v>
      </c>
    </row>
    <row r="41" spans="1:17" s="377" customFormat="1" ht="15">
      <c r="A41" s="163" t="s">
        <v>98</v>
      </c>
      <c r="B41" s="152" t="s">
        <v>403</v>
      </c>
      <c r="C41" s="1070"/>
      <c r="D41" s="224"/>
      <c r="E41" s="227">
        <f>SUM(C41:D41)</f>
        <v>0</v>
      </c>
      <c r="F41" s="862"/>
      <c r="G41" s="224"/>
      <c r="H41" s="227">
        <f>SUM(F41:G41)</f>
        <v>0</v>
      </c>
      <c r="I41" s="1070"/>
      <c r="J41" s="224"/>
      <c r="K41" s="227">
        <f>SUM(I41:J41)</f>
        <v>0</v>
      </c>
      <c r="L41" s="1070"/>
      <c r="M41" s="224"/>
      <c r="N41" s="227">
        <f>SUM(L41:M41)</f>
        <v>0</v>
      </c>
      <c r="O41" s="1122"/>
      <c r="P41" s="381"/>
      <c r="Q41" s="1111">
        <f>SUM(O41:P41)</f>
        <v>0</v>
      </c>
    </row>
    <row r="42" spans="1:17" s="377" customFormat="1" ht="15">
      <c r="A42" s="160" t="s">
        <v>99</v>
      </c>
      <c r="B42" s="156" t="s">
        <v>378</v>
      </c>
      <c r="C42" s="881"/>
      <c r="D42" s="146"/>
      <c r="E42" s="169">
        <f>SUM(C42:D42)</f>
        <v>0</v>
      </c>
      <c r="F42" s="860"/>
      <c r="G42" s="146"/>
      <c r="H42" s="169">
        <f>SUM(F42:G42)</f>
        <v>0</v>
      </c>
      <c r="I42" s="881"/>
      <c r="J42" s="146"/>
      <c r="K42" s="169">
        <f>SUM(I42:J42)</f>
        <v>0</v>
      </c>
      <c r="L42" s="881"/>
      <c r="M42" s="146"/>
      <c r="N42" s="169">
        <f>SUM(L42:M42)</f>
        <v>0</v>
      </c>
      <c r="O42" s="1121"/>
      <c r="P42" s="383"/>
      <c r="Q42" s="1115">
        <f>SUM(O42:P42)</f>
        <v>0</v>
      </c>
    </row>
    <row r="43" spans="1:17" s="377" customFormat="1" ht="15">
      <c r="A43" s="160" t="s">
        <v>100</v>
      </c>
      <c r="B43" s="156" t="s">
        <v>379</v>
      </c>
      <c r="C43" s="881"/>
      <c r="D43" s="146"/>
      <c r="E43" s="169">
        <f>SUM(C43:D43)</f>
        <v>0</v>
      </c>
      <c r="F43" s="860"/>
      <c r="G43" s="146"/>
      <c r="H43" s="169">
        <f>SUM(F43:G43)</f>
        <v>0</v>
      </c>
      <c r="I43" s="881"/>
      <c r="J43" s="146"/>
      <c r="K43" s="169">
        <f>SUM(I43:J43)</f>
        <v>0</v>
      </c>
      <c r="L43" s="881"/>
      <c r="M43" s="146"/>
      <c r="N43" s="169">
        <f>SUM(L43:M43)</f>
        <v>0</v>
      </c>
      <c r="O43" s="1121"/>
      <c r="P43" s="383"/>
      <c r="Q43" s="1115">
        <f>SUM(O43:P43)</f>
        <v>0</v>
      </c>
    </row>
    <row r="44" spans="1:17" s="377" customFormat="1" ht="15.75" thickBot="1">
      <c r="A44" s="161" t="s">
        <v>101</v>
      </c>
      <c r="B44" s="162" t="s">
        <v>175</v>
      </c>
      <c r="C44" s="882"/>
      <c r="D44" s="158"/>
      <c r="E44" s="237">
        <f>SUM(C44:D44)</f>
        <v>0</v>
      </c>
      <c r="F44" s="861"/>
      <c r="G44" s="158"/>
      <c r="H44" s="237">
        <f>SUM(F44:G44)</f>
        <v>0</v>
      </c>
      <c r="I44" s="882"/>
      <c r="J44" s="158"/>
      <c r="K44" s="237">
        <f>SUM(I44:J44)</f>
        <v>0</v>
      </c>
      <c r="L44" s="882"/>
      <c r="M44" s="158"/>
      <c r="N44" s="237">
        <f>SUM(L44:M44)</f>
        <v>0</v>
      </c>
      <c r="O44" s="1123"/>
      <c r="P44" s="384"/>
      <c r="Q44" s="1116">
        <f>SUM(O44:P44)</f>
        <v>0</v>
      </c>
    </row>
    <row r="45" spans="1:17" s="385" customFormat="1" ht="16.5" thickBot="1">
      <c r="A45" s="304">
        <v>2</v>
      </c>
      <c r="B45" s="296" t="s">
        <v>176</v>
      </c>
      <c r="C45" s="338">
        <f>SUM(C41:C44)</f>
        <v>0</v>
      </c>
      <c r="D45" s="305">
        <f aca="true" t="shared" si="17" ref="D45:Q45">SUM(D41:D44)</f>
        <v>0</v>
      </c>
      <c r="E45" s="307">
        <f t="shared" si="17"/>
        <v>0</v>
      </c>
      <c r="F45" s="338">
        <f t="shared" si="17"/>
        <v>0</v>
      </c>
      <c r="G45" s="305">
        <f t="shared" si="17"/>
        <v>0</v>
      </c>
      <c r="H45" s="307">
        <f t="shared" si="17"/>
        <v>0</v>
      </c>
      <c r="I45" s="338">
        <f t="shared" si="17"/>
        <v>0</v>
      </c>
      <c r="J45" s="305">
        <f t="shared" si="17"/>
        <v>0</v>
      </c>
      <c r="K45" s="307">
        <f t="shared" si="17"/>
        <v>0</v>
      </c>
      <c r="L45" s="338">
        <f t="shared" si="17"/>
        <v>0</v>
      </c>
      <c r="M45" s="305">
        <f t="shared" si="17"/>
        <v>0</v>
      </c>
      <c r="N45" s="321">
        <f t="shared" si="17"/>
        <v>0</v>
      </c>
      <c r="O45" s="338">
        <f t="shared" si="17"/>
        <v>0</v>
      </c>
      <c r="P45" s="305">
        <f t="shared" si="17"/>
        <v>0</v>
      </c>
      <c r="Q45" s="311">
        <f t="shared" si="17"/>
        <v>0</v>
      </c>
    </row>
    <row r="46" spans="1:17" s="208" customFormat="1" ht="16.5" thickBot="1">
      <c r="A46" s="304">
        <v>3</v>
      </c>
      <c r="B46" s="296" t="s">
        <v>254</v>
      </c>
      <c r="C46" s="338"/>
      <c r="D46" s="305"/>
      <c r="E46" s="307">
        <f>SUM(C46:D46)</f>
        <v>0</v>
      </c>
      <c r="F46" s="338"/>
      <c r="G46" s="305"/>
      <c r="H46" s="307">
        <f>SUM(F46:G46)</f>
        <v>0</v>
      </c>
      <c r="I46" s="338"/>
      <c r="J46" s="305"/>
      <c r="K46" s="307">
        <f>SUM(I46:J46)</f>
        <v>0</v>
      </c>
      <c r="L46" s="338">
        <v>802879</v>
      </c>
      <c r="M46" s="305">
        <v>1810</v>
      </c>
      <c r="N46" s="321">
        <f>SUM(L46:M46)</f>
        <v>804689</v>
      </c>
      <c r="O46" s="338"/>
      <c r="P46" s="305"/>
      <c r="Q46" s="311">
        <f>SUM(O46:P46)</f>
        <v>0</v>
      </c>
    </row>
    <row r="47" spans="1:17" s="94" customFormat="1" ht="16.5" thickBot="1">
      <c r="A47" s="304">
        <v>4</v>
      </c>
      <c r="B47" s="296" t="s">
        <v>275</v>
      </c>
      <c r="C47" s="338"/>
      <c r="D47" s="305"/>
      <c r="E47" s="307">
        <f>SUM(C47:D47)</f>
        <v>0</v>
      </c>
      <c r="F47" s="338"/>
      <c r="G47" s="305"/>
      <c r="H47" s="307">
        <f>SUM(F47:G47)</f>
        <v>0</v>
      </c>
      <c r="I47" s="338"/>
      <c r="J47" s="305"/>
      <c r="K47" s="307">
        <f>SUM(I47:J47)</f>
        <v>0</v>
      </c>
      <c r="L47" s="338"/>
      <c r="M47" s="305"/>
      <c r="N47" s="321">
        <f>SUM(L47:M47)</f>
        <v>0</v>
      </c>
      <c r="O47" s="338"/>
      <c r="P47" s="305"/>
      <c r="Q47" s="311">
        <f>SUM(O47:P47)</f>
        <v>0</v>
      </c>
    </row>
    <row r="48" spans="1:17" s="729" customFormat="1" ht="15">
      <c r="A48" s="163" t="s">
        <v>98</v>
      </c>
      <c r="B48" s="149" t="s">
        <v>281</v>
      </c>
      <c r="C48" s="1070"/>
      <c r="D48" s="224"/>
      <c r="E48" s="227">
        <f>SUM(C48:D48)</f>
        <v>0</v>
      </c>
      <c r="F48" s="862"/>
      <c r="G48" s="224"/>
      <c r="H48" s="227">
        <f>SUM(F48:G48)</f>
        <v>0</v>
      </c>
      <c r="I48" s="1070"/>
      <c r="J48" s="224"/>
      <c r="K48" s="227">
        <f>SUM(I48:J48)</f>
        <v>0</v>
      </c>
      <c r="L48" s="1070"/>
      <c r="M48" s="224">
        <v>300000</v>
      </c>
      <c r="N48" s="227">
        <f>SUM(L48:M48)</f>
        <v>300000</v>
      </c>
      <c r="O48" s="1122"/>
      <c r="P48" s="381"/>
      <c r="Q48" s="1111">
        <f>SUM(O48:P48)</f>
        <v>0</v>
      </c>
    </row>
    <row r="49" spans="1:17" s="94" customFormat="1" ht="15">
      <c r="A49" s="161" t="s">
        <v>99</v>
      </c>
      <c r="B49" s="325" t="s">
        <v>380</v>
      </c>
      <c r="C49" s="881"/>
      <c r="D49" s="146"/>
      <c r="E49" s="169">
        <f>SUM(C49:D49)</f>
        <v>0</v>
      </c>
      <c r="F49" s="860"/>
      <c r="G49" s="146"/>
      <c r="H49" s="169">
        <f>SUM(F49:G49)</f>
        <v>0</v>
      </c>
      <c r="I49" s="881"/>
      <c r="J49" s="146"/>
      <c r="K49" s="169">
        <f>SUM(I49:J49)</f>
        <v>0</v>
      </c>
      <c r="L49" s="881"/>
      <c r="M49" s="146"/>
      <c r="N49" s="169">
        <f>SUM(L49:M49)</f>
        <v>0</v>
      </c>
      <c r="O49" s="1121"/>
      <c r="P49" s="383"/>
      <c r="Q49" s="1115">
        <f>SUM(O49:P49)</f>
        <v>0</v>
      </c>
    </row>
    <row r="50" spans="1:17" s="94" customFormat="1" ht="15.75" thickBot="1">
      <c r="A50" s="161" t="s">
        <v>100</v>
      </c>
      <c r="B50" s="325" t="s">
        <v>413</v>
      </c>
      <c r="C50" s="881"/>
      <c r="D50" s="146"/>
      <c r="E50" s="169">
        <f>SUM(C50:D50)</f>
        <v>0</v>
      </c>
      <c r="F50" s="860"/>
      <c r="G50" s="146"/>
      <c r="H50" s="169">
        <f>SUM(F50:G50)</f>
        <v>0</v>
      </c>
      <c r="I50" s="881"/>
      <c r="J50" s="146"/>
      <c r="K50" s="169">
        <f>SUM(I50:J50)</f>
        <v>0</v>
      </c>
      <c r="L50" s="881"/>
      <c r="M50" s="146"/>
      <c r="N50" s="169">
        <f>SUM(L50:M50)</f>
        <v>0</v>
      </c>
      <c r="O50" s="1121"/>
      <c r="P50" s="383"/>
      <c r="Q50" s="1115">
        <f>SUM(O50:P50)</f>
        <v>0</v>
      </c>
    </row>
    <row r="51" spans="1:17" s="208" customFormat="1" ht="16.5" thickBot="1">
      <c r="A51" s="304">
        <v>5</v>
      </c>
      <c r="B51" s="296" t="s">
        <v>178</v>
      </c>
      <c r="C51" s="338">
        <f>SUM(C48:C50)</f>
        <v>0</v>
      </c>
      <c r="D51" s="305">
        <f>SUM(D48:D50)</f>
        <v>0</v>
      </c>
      <c r="E51" s="307">
        <f aca="true" t="shared" si="18" ref="E51:Q51">SUM(E48:E50)</f>
        <v>0</v>
      </c>
      <c r="F51" s="338">
        <f t="shared" si="18"/>
        <v>0</v>
      </c>
      <c r="G51" s="305">
        <f t="shared" si="18"/>
        <v>0</v>
      </c>
      <c r="H51" s="307">
        <f t="shared" si="18"/>
        <v>0</v>
      </c>
      <c r="I51" s="338">
        <f t="shared" si="18"/>
        <v>0</v>
      </c>
      <c r="J51" s="305">
        <f t="shared" si="18"/>
        <v>0</v>
      </c>
      <c r="K51" s="307">
        <f t="shared" si="18"/>
        <v>0</v>
      </c>
      <c r="L51" s="338">
        <f t="shared" si="18"/>
        <v>0</v>
      </c>
      <c r="M51" s="305">
        <f t="shared" si="18"/>
        <v>300000</v>
      </c>
      <c r="N51" s="307">
        <f t="shared" si="18"/>
        <v>300000</v>
      </c>
      <c r="O51" s="338">
        <f t="shared" si="18"/>
        <v>0</v>
      </c>
      <c r="P51" s="305">
        <f t="shared" si="18"/>
        <v>0</v>
      </c>
      <c r="Q51" s="311">
        <f t="shared" si="18"/>
        <v>0</v>
      </c>
    </row>
    <row r="52" spans="1:17" s="208" customFormat="1" ht="16.5" thickBot="1">
      <c r="A52" s="734">
        <v>6</v>
      </c>
      <c r="B52" s="735" t="s">
        <v>285</v>
      </c>
      <c r="C52" s="1073"/>
      <c r="D52" s="330"/>
      <c r="E52" s="323">
        <f>SUM(C52:D52)</f>
        <v>0</v>
      </c>
      <c r="F52" s="324"/>
      <c r="G52" s="330"/>
      <c r="H52" s="323">
        <f>SUM(F52:G52)</f>
        <v>0</v>
      </c>
      <c r="I52" s="1079"/>
      <c r="J52" s="330"/>
      <c r="K52" s="323">
        <f>SUM(I52:J52)</f>
        <v>0</v>
      </c>
      <c r="L52" s="1079">
        <v>690310</v>
      </c>
      <c r="M52" s="330">
        <v>-277</v>
      </c>
      <c r="N52" s="323">
        <f>SUM(L52:M52)</f>
        <v>690033</v>
      </c>
      <c r="O52" s="1127"/>
      <c r="P52" s="728"/>
      <c r="Q52" s="1117">
        <f>SUM(O52:P52)</f>
        <v>0</v>
      </c>
    </row>
    <row r="53" spans="1:17" s="94" customFormat="1" ht="15">
      <c r="A53" s="144" t="s">
        <v>98</v>
      </c>
      <c r="B53" s="145" t="s">
        <v>382</v>
      </c>
      <c r="C53" s="1074"/>
      <c r="D53" s="147"/>
      <c r="E53" s="203">
        <f>SUM(C53:D53)</f>
        <v>0</v>
      </c>
      <c r="F53" s="864"/>
      <c r="G53" s="147"/>
      <c r="H53" s="203">
        <f>SUM(F53:G53)</f>
        <v>0</v>
      </c>
      <c r="I53" s="1074"/>
      <c r="J53" s="147"/>
      <c r="K53" s="203">
        <f>SUM(I53:J53)</f>
        <v>0</v>
      </c>
      <c r="L53" s="1074"/>
      <c r="M53" s="147"/>
      <c r="N53" s="203">
        <f>SUM(L53:M53)</f>
        <v>0</v>
      </c>
      <c r="O53" s="1128"/>
      <c r="P53" s="392"/>
      <c r="Q53" s="1118">
        <f>SUM(O53:P53)</f>
        <v>0</v>
      </c>
    </row>
    <row r="54" spans="1:17" s="94" customFormat="1" ht="15.75" thickBot="1">
      <c r="A54" s="326" t="s">
        <v>99</v>
      </c>
      <c r="B54" s="149" t="s">
        <v>383</v>
      </c>
      <c r="C54" s="1071"/>
      <c r="D54" s="312"/>
      <c r="E54" s="315">
        <f>SUM(C54:D54)</f>
        <v>0</v>
      </c>
      <c r="F54" s="164"/>
      <c r="G54" s="312"/>
      <c r="H54" s="315">
        <f>SUM(F54:G54)</f>
        <v>0</v>
      </c>
      <c r="I54" s="1071"/>
      <c r="J54" s="312"/>
      <c r="K54" s="315">
        <f>SUM(I54:J54)</f>
        <v>0</v>
      </c>
      <c r="L54" s="1071"/>
      <c r="M54" s="312"/>
      <c r="N54" s="315">
        <f>SUM(L54:M54)</f>
        <v>0</v>
      </c>
      <c r="O54" s="1125"/>
      <c r="P54" s="387"/>
      <c r="Q54" s="1113">
        <f>SUM(O54:P54)</f>
        <v>0</v>
      </c>
    </row>
    <row r="55" spans="1:17" s="208" customFormat="1" ht="17.25" customHeight="1" thickBot="1">
      <c r="A55" s="304">
        <v>7</v>
      </c>
      <c r="B55" s="296" t="s">
        <v>181</v>
      </c>
      <c r="C55" s="338">
        <f>SUM(C53:C54)</f>
        <v>0</v>
      </c>
      <c r="D55" s="305">
        <f aca="true" t="shared" si="19" ref="D55:Q55">SUM(D53:D54)</f>
        <v>0</v>
      </c>
      <c r="E55" s="307">
        <f t="shared" si="19"/>
        <v>0</v>
      </c>
      <c r="F55" s="338">
        <f t="shared" si="19"/>
        <v>0</v>
      </c>
      <c r="G55" s="305">
        <f t="shared" si="19"/>
        <v>0</v>
      </c>
      <c r="H55" s="307">
        <f t="shared" si="19"/>
        <v>0</v>
      </c>
      <c r="I55" s="338">
        <f t="shared" si="19"/>
        <v>0</v>
      </c>
      <c r="J55" s="305">
        <f t="shared" si="19"/>
        <v>0</v>
      </c>
      <c r="K55" s="307">
        <f t="shared" si="19"/>
        <v>0</v>
      </c>
      <c r="L55" s="338">
        <f t="shared" si="19"/>
        <v>0</v>
      </c>
      <c r="M55" s="305">
        <f t="shared" si="19"/>
        <v>0</v>
      </c>
      <c r="N55" s="307">
        <f t="shared" si="19"/>
        <v>0</v>
      </c>
      <c r="O55" s="1081">
        <f t="shared" si="19"/>
        <v>0</v>
      </c>
      <c r="P55" s="1083">
        <f t="shared" si="19"/>
        <v>0</v>
      </c>
      <c r="Q55" s="1085">
        <f t="shared" si="19"/>
        <v>0</v>
      </c>
    </row>
    <row r="56" spans="1:17" s="268" customFormat="1" ht="19.5" customHeight="1" thickBot="1">
      <c r="A56" s="691">
        <v>8</v>
      </c>
      <c r="B56" s="692" t="s">
        <v>46</v>
      </c>
      <c r="C56" s="1106">
        <f>C34-C40-C45-C46-C47-C51-C52-C55-C57-C58-C59</f>
        <v>24213</v>
      </c>
      <c r="D56" s="1107">
        <f>D34-D40-D45-D46-D47-D51-D52-D55-D57-D58-D59</f>
        <v>0</v>
      </c>
      <c r="E56" s="1104">
        <f aca="true" t="shared" si="20" ref="E56:Q56">E34-E40-E45-E46-E47-E51-E52-E55-E57-E58-E59</f>
        <v>24213</v>
      </c>
      <c r="F56" s="1106">
        <f t="shared" si="20"/>
        <v>44230</v>
      </c>
      <c r="G56" s="1107">
        <f t="shared" si="20"/>
        <v>10822</v>
      </c>
      <c r="H56" s="1104">
        <f t="shared" si="20"/>
        <v>55052</v>
      </c>
      <c r="I56" s="1106">
        <f t="shared" si="20"/>
        <v>191488</v>
      </c>
      <c r="J56" s="1107">
        <f t="shared" si="20"/>
        <v>-159732</v>
      </c>
      <c r="K56" s="1104">
        <f t="shared" si="20"/>
        <v>31756</v>
      </c>
      <c r="L56" s="1106">
        <f t="shared" si="20"/>
        <v>-94737</v>
      </c>
      <c r="M56" s="1107">
        <f t="shared" si="20"/>
        <v>-1533</v>
      </c>
      <c r="N56" s="1104">
        <f t="shared" si="20"/>
        <v>-96270</v>
      </c>
      <c r="O56" s="1129">
        <f t="shared" si="20"/>
        <v>0</v>
      </c>
      <c r="P56" s="1131">
        <f t="shared" si="20"/>
        <v>0</v>
      </c>
      <c r="Q56" s="1119">
        <f t="shared" si="20"/>
        <v>0</v>
      </c>
    </row>
    <row r="57" spans="1:17" s="208" customFormat="1" ht="15.75">
      <c r="A57" s="327" t="s">
        <v>385</v>
      </c>
      <c r="B57" s="328" t="s">
        <v>184</v>
      </c>
      <c r="C57" s="1076"/>
      <c r="D57" s="318"/>
      <c r="E57" s="1105">
        <f>SUM(C57:D57)</f>
        <v>0</v>
      </c>
      <c r="F57" s="865"/>
      <c r="G57" s="318"/>
      <c r="H57" s="1105">
        <f>SUM(F57:G57)</f>
        <v>0</v>
      </c>
      <c r="I57" s="1076"/>
      <c r="J57" s="318"/>
      <c r="K57" s="1105">
        <f>SUM(I57:J57)</f>
        <v>0</v>
      </c>
      <c r="L57" s="1076"/>
      <c r="M57" s="318"/>
      <c r="N57" s="1105">
        <f>SUM(L57:M57)</f>
        <v>0</v>
      </c>
      <c r="O57" s="1130"/>
      <c r="P57" s="395"/>
      <c r="Q57" s="1120">
        <f>SUM(O57:P57)</f>
        <v>0</v>
      </c>
    </row>
    <row r="58" spans="1:17" s="208" customFormat="1" ht="15.75">
      <c r="A58" s="327" t="s">
        <v>183</v>
      </c>
      <c r="B58" s="328" t="s">
        <v>384</v>
      </c>
      <c r="C58" s="317"/>
      <c r="D58" s="318"/>
      <c r="E58" s="393">
        <f>SUM(C58:D58)</f>
        <v>0</v>
      </c>
      <c r="F58" s="322"/>
      <c r="G58" s="318"/>
      <c r="H58" s="393">
        <f>SUM(F58:G58)</f>
        <v>0</v>
      </c>
      <c r="I58" s="1076"/>
      <c r="J58" s="318"/>
      <c r="K58" s="1105">
        <f>SUM(I58:J58)</f>
        <v>0</v>
      </c>
      <c r="L58" s="1076"/>
      <c r="M58" s="318"/>
      <c r="N58" s="1105">
        <f>SUM(L58:M58)</f>
        <v>0</v>
      </c>
      <c r="O58" s="394"/>
      <c r="P58" s="395"/>
      <c r="Q58" s="396">
        <f>SUM(O58:P58)</f>
        <v>0</v>
      </c>
    </row>
    <row r="59" spans="1:17" s="208" customFormat="1" ht="16.5" thickBot="1">
      <c r="A59" s="342">
        <v>10</v>
      </c>
      <c r="B59" s="343"/>
      <c r="C59" s="344"/>
      <c r="D59" s="345"/>
      <c r="E59" s="397">
        <f>SUM(C59:D59)</f>
        <v>0</v>
      </c>
      <c r="F59" s="347"/>
      <c r="G59" s="345"/>
      <c r="H59" s="398">
        <f>SUM(F59:G59)</f>
        <v>0</v>
      </c>
      <c r="I59" s="344"/>
      <c r="J59" s="345"/>
      <c r="K59" s="398">
        <f>SUM(I59:J59)</f>
        <v>0</v>
      </c>
      <c r="L59" s="344"/>
      <c r="M59" s="345"/>
      <c r="N59" s="398">
        <f>SUM(L59:M59)</f>
        <v>0</v>
      </c>
      <c r="O59" s="399"/>
      <c r="P59" s="400"/>
      <c r="Q59" s="401">
        <f>SUM(O59:P59)</f>
        <v>0</v>
      </c>
    </row>
    <row r="60" spans="1:17" s="159" customFormat="1" ht="17.25" thickBot="1" thickTop="1">
      <c r="A60" s="334" t="s">
        <v>109</v>
      </c>
      <c r="B60" s="336" t="s">
        <v>182</v>
      </c>
      <c r="C60" s="748">
        <f>C40+C45+C46+C47+C51+C52+C55+C56+C57+C58+C59</f>
        <v>29167</v>
      </c>
      <c r="D60" s="749">
        <f aca="true" t="shared" si="21" ref="D60:Q60">D40+D45+D46+D47+D51+D52+D55+D56+D57+D58+D59</f>
        <v>0</v>
      </c>
      <c r="E60" s="747">
        <f t="shared" si="21"/>
        <v>29167</v>
      </c>
      <c r="F60" s="355">
        <f t="shared" si="21"/>
        <v>44230</v>
      </c>
      <c r="G60" s="335">
        <f t="shared" si="21"/>
        <v>10822</v>
      </c>
      <c r="H60" s="747">
        <f t="shared" si="21"/>
        <v>55052</v>
      </c>
      <c r="I60" s="748">
        <f t="shared" si="21"/>
        <v>191488</v>
      </c>
      <c r="J60" s="749">
        <f t="shared" si="21"/>
        <v>-159732</v>
      </c>
      <c r="K60" s="747">
        <f t="shared" si="21"/>
        <v>31756</v>
      </c>
      <c r="L60" s="355">
        <f t="shared" si="21"/>
        <v>1398452</v>
      </c>
      <c r="M60" s="335">
        <f t="shared" si="21"/>
        <v>300000</v>
      </c>
      <c r="N60" s="747">
        <f t="shared" si="21"/>
        <v>1698452</v>
      </c>
      <c r="O60" s="355">
        <f t="shared" si="21"/>
        <v>0</v>
      </c>
      <c r="P60" s="335">
        <f t="shared" si="21"/>
        <v>0</v>
      </c>
      <c r="Q60" s="365">
        <f t="shared" si="21"/>
        <v>0</v>
      </c>
    </row>
    <row r="61" spans="1:17" s="377" customFormat="1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402"/>
      <c r="P61" s="402"/>
      <c r="Q61" s="402"/>
    </row>
    <row r="62" spans="1:17" s="377" customFormat="1" ht="16.5" thickBot="1" thickTop="1">
      <c r="A62" s="174"/>
      <c r="B62" s="175" t="s">
        <v>593</v>
      </c>
      <c r="C62" s="204"/>
      <c r="D62" s="403"/>
      <c r="E62" s="404">
        <f>SUM(C62:D62)</f>
        <v>0</v>
      </c>
      <c r="F62" s="204"/>
      <c r="G62" s="405"/>
      <c r="H62" s="404">
        <f>SUM(F62:G62)</f>
        <v>0</v>
      </c>
      <c r="I62" s="204"/>
      <c r="J62" s="405"/>
      <c r="K62" s="404">
        <f>SUM(I62:J62)</f>
        <v>0</v>
      </c>
      <c r="L62" s="204"/>
      <c r="M62" s="405"/>
      <c r="N62" s="404">
        <f>SUM(L62:M62)</f>
        <v>0</v>
      </c>
      <c r="O62" s="406"/>
      <c r="P62" s="407"/>
      <c r="Q62" s="408">
        <f>SUM(O62:P62)</f>
        <v>0</v>
      </c>
    </row>
    <row r="63" spans="1:17" s="377" customFormat="1" ht="16.5" thickBot="1" thickTop="1">
      <c r="A63" s="174"/>
      <c r="B63" s="175" t="s">
        <v>594</v>
      </c>
      <c r="C63" s="204"/>
      <c r="D63" s="403"/>
      <c r="E63" s="404">
        <f>SUM(C63:D63)</f>
        <v>0</v>
      </c>
      <c r="F63" s="204"/>
      <c r="G63" s="405"/>
      <c r="H63" s="404">
        <f>SUM(F63:G63)</f>
        <v>0</v>
      </c>
      <c r="I63" s="204"/>
      <c r="J63" s="405"/>
      <c r="K63" s="404">
        <f>SUM(I63:J63)</f>
        <v>0</v>
      </c>
      <c r="L63" s="204"/>
      <c r="M63" s="405"/>
      <c r="N63" s="404">
        <f>SUM(L63:M63)</f>
        <v>0</v>
      </c>
      <c r="O63" s="406"/>
      <c r="P63" s="407"/>
      <c r="Q63" s="408">
        <f>SUM(O63:P63)</f>
        <v>0</v>
      </c>
    </row>
    <row r="64" spans="1:17" s="377" customFormat="1" ht="16.5" thickTop="1">
      <c r="A64" s="409"/>
      <c r="O64" s="391"/>
      <c r="P64" s="391"/>
      <c r="Q64" s="391"/>
    </row>
    <row r="65" spans="1:17" s="377" customFormat="1" ht="15.75">
      <c r="A65" s="409"/>
      <c r="O65" s="391"/>
      <c r="P65" s="391"/>
      <c r="Q65" s="391"/>
    </row>
    <row r="66" spans="1:17" s="377" customFormat="1" ht="15">
      <c r="A66" s="410"/>
      <c r="O66" s="391"/>
      <c r="P66" s="391"/>
      <c r="Q66" s="391"/>
    </row>
    <row r="67" spans="1:17" s="377" customFormat="1" ht="15">
      <c r="A67" s="410"/>
      <c r="O67" s="391"/>
      <c r="P67" s="391"/>
      <c r="Q67" s="391"/>
    </row>
  </sheetData>
  <sheetProtection/>
  <mergeCells count="7">
    <mergeCell ref="A4:Q4"/>
    <mergeCell ref="A5:Q5"/>
    <mergeCell ref="I7:K7"/>
    <mergeCell ref="L7:N7"/>
    <mergeCell ref="O7:Q7"/>
    <mergeCell ref="C7:E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T36" sqref="T36"/>
      <selection pane="topRight" activeCell="T36" sqref="T36"/>
      <selection pane="bottomLeft" activeCell="T36" sqref="T36"/>
      <selection pane="bottomRight" activeCell="Q1" sqref="Q1:Q2"/>
    </sheetView>
  </sheetViews>
  <sheetFormatPr defaultColWidth="9.00390625" defaultRowHeight="12.75"/>
  <cols>
    <col min="1" max="1" width="5.375" style="410" customWidth="1"/>
    <col min="2" max="2" width="78.375" style="94" customWidth="1"/>
    <col min="3" max="14" width="14.625" style="94" customWidth="1"/>
    <col min="15" max="17" width="14.625" style="233" customWidth="1"/>
  </cols>
  <sheetData>
    <row r="1" spans="1:17" ht="10.5" customHeight="1">
      <c r="A1" s="294"/>
      <c r="B1" s="295"/>
      <c r="C1" s="295"/>
      <c r="D1" s="377"/>
      <c r="E1" s="377"/>
      <c r="F1" s="377"/>
      <c r="G1" s="377"/>
      <c r="H1" s="377"/>
      <c r="I1" s="377"/>
      <c r="J1" s="377"/>
      <c r="K1" s="377"/>
      <c r="L1" s="377"/>
      <c r="M1" s="377"/>
      <c r="O1" s="867"/>
      <c r="P1" s="867"/>
      <c r="Q1" s="867" t="s">
        <v>856</v>
      </c>
    </row>
    <row r="2" spans="1:17" ht="13.5" customHeight="1">
      <c r="A2" s="294"/>
      <c r="B2" s="295"/>
      <c r="C2" s="295"/>
      <c r="D2" s="377"/>
      <c r="E2" s="377"/>
      <c r="F2" s="377"/>
      <c r="G2" s="377"/>
      <c r="H2" s="377"/>
      <c r="I2" s="377"/>
      <c r="J2" s="377"/>
      <c r="K2" s="377"/>
      <c r="L2" s="377"/>
      <c r="M2" s="377"/>
      <c r="O2" s="867"/>
      <c r="P2" s="867"/>
      <c r="Q2" s="867" t="s">
        <v>93</v>
      </c>
    </row>
    <row r="3" spans="1:17" ht="15">
      <c r="A3" s="294"/>
      <c r="B3" s="295"/>
      <c r="C3" s="295"/>
      <c r="D3" s="377"/>
      <c r="E3" s="377"/>
      <c r="F3" s="377"/>
      <c r="G3" s="377"/>
      <c r="H3" s="377"/>
      <c r="I3" s="377"/>
      <c r="J3" s="377"/>
      <c r="K3" s="377"/>
      <c r="L3" s="377"/>
      <c r="M3" s="377"/>
      <c r="O3" s="867"/>
      <c r="P3" s="867"/>
      <c r="Q3" s="868" t="s">
        <v>143</v>
      </c>
    </row>
    <row r="4" spans="1:17" s="15" customFormat="1" ht="20.25">
      <c r="A4" s="1899" t="s">
        <v>574</v>
      </c>
      <c r="B4" s="1899"/>
      <c r="C4" s="1899"/>
      <c r="D4" s="1899"/>
      <c r="E4" s="1899"/>
      <c r="F4" s="1899"/>
      <c r="G4" s="1899"/>
      <c r="H4" s="1899"/>
      <c r="I4" s="1899"/>
      <c r="J4" s="1899"/>
      <c r="K4" s="1899"/>
      <c r="L4" s="1899"/>
      <c r="M4" s="1899"/>
      <c r="N4" s="1899"/>
      <c r="O4" s="1899"/>
      <c r="P4" s="1899"/>
      <c r="Q4" s="1899"/>
    </row>
    <row r="5" spans="1:17" s="15" customFormat="1" ht="18">
      <c r="A5" s="1900" t="s">
        <v>585</v>
      </c>
      <c r="B5" s="1900"/>
      <c r="C5" s="1900"/>
      <c r="D5" s="1900"/>
      <c r="E5" s="1900"/>
      <c r="F5" s="1900"/>
      <c r="G5" s="1900"/>
      <c r="H5" s="1900"/>
      <c r="I5" s="1900"/>
      <c r="J5" s="1900"/>
      <c r="K5" s="1900"/>
      <c r="L5" s="1900"/>
      <c r="M5" s="1900"/>
      <c r="N5" s="1900"/>
      <c r="O5" s="1900"/>
      <c r="P5" s="1900"/>
      <c r="Q5" s="1900"/>
    </row>
    <row r="6" spans="1:17" ht="45" customHeight="1" thickBot="1">
      <c r="A6" s="294"/>
      <c r="B6" s="295"/>
      <c r="C6" s="295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871"/>
      <c r="Q6" s="130" t="s">
        <v>134</v>
      </c>
    </row>
    <row r="7" spans="1:17" s="94" customFormat="1" ht="34.5" customHeight="1">
      <c r="A7" s="229" t="s">
        <v>124</v>
      </c>
      <c r="B7" s="93" t="s">
        <v>125</v>
      </c>
      <c r="C7" s="1885" t="s">
        <v>567</v>
      </c>
      <c r="D7" s="1886"/>
      <c r="E7" s="1887"/>
      <c r="F7" s="1888" t="s">
        <v>63</v>
      </c>
      <c r="G7" s="1910"/>
      <c r="H7" s="1911"/>
      <c r="I7" s="1888" t="s">
        <v>432</v>
      </c>
      <c r="J7" s="1912"/>
      <c r="K7" s="1911"/>
      <c r="L7" s="1888" t="s">
        <v>449</v>
      </c>
      <c r="M7" s="1912"/>
      <c r="N7" s="1911"/>
      <c r="O7" s="1888" t="s">
        <v>566</v>
      </c>
      <c r="P7" s="1912"/>
      <c r="Q7" s="1911"/>
    </row>
    <row r="8" spans="1:17" s="94" customFormat="1" ht="24.75" thickBot="1">
      <c r="A8" s="240" t="s">
        <v>126</v>
      </c>
      <c r="B8" s="16" t="s">
        <v>127</v>
      </c>
      <c r="C8" s="24" t="s">
        <v>420</v>
      </c>
      <c r="D8" s="23" t="s">
        <v>128</v>
      </c>
      <c r="E8" s="11" t="s">
        <v>661</v>
      </c>
      <c r="F8" s="24" t="s">
        <v>420</v>
      </c>
      <c r="G8" s="23" t="s">
        <v>128</v>
      </c>
      <c r="H8" s="11" t="s">
        <v>661</v>
      </c>
      <c r="I8" s="24" t="s">
        <v>420</v>
      </c>
      <c r="J8" s="23" t="s">
        <v>128</v>
      </c>
      <c r="K8" s="11" t="s">
        <v>661</v>
      </c>
      <c r="L8" s="24" t="s">
        <v>420</v>
      </c>
      <c r="M8" s="23" t="s">
        <v>128</v>
      </c>
      <c r="N8" s="11" t="s">
        <v>661</v>
      </c>
      <c r="O8" s="24" t="s">
        <v>420</v>
      </c>
      <c r="P8" s="23" t="s">
        <v>128</v>
      </c>
      <c r="Q8" s="11" t="s">
        <v>661</v>
      </c>
    </row>
    <row r="9" spans="1:17" s="31" customFormat="1" ht="13.5" thickBot="1">
      <c r="A9" s="411">
        <v>1</v>
      </c>
      <c r="B9" s="411">
        <v>2</v>
      </c>
      <c r="C9" s="413">
        <v>3</v>
      </c>
      <c r="D9" s="413">
        <v>4</v>
      </c>
      <c r="E9" s="414">
        <v>5</v>
      </c>
      <c r="F9" s="412">
        <v>6</v>
      </c>
      <c r="G9" s="413">
        <v>7</v>
      </c>
      <c r="H9" s="415">
        <v>8</v>
      </c>
      <c r="I9" s="412">
        <v>9</v>
      </c>
      <c r="J9" s="413">
        <v>10</v>
      </c>
      <c r="K9" s="415">
        <v>11</v>
      </c>
      <c r="L9" s="413">
        <v>12</v>
      </c>
      <c r="M9" s="413">
        <v>13</v>
      </c>
      <c r="N9" s="415">
        <v>14</v>
      </c>
      <c r="O9" s="413">
        <v>15</v>
      </c>
      <c r="P9" s="413">
        <v>16</v>
      </c>
      <c r="Q9" s="415">
        <v>17</v>
      </c>
    </row>
    <row r="10" spans="1:17" s="31" customFormat="1" ht="16.5" thickBot="1">
      <c r="A10" s="371"/>
      <c r="B10" s="337" t="s">
        <v>129</v>
      </c>
      <c r="C10" s="375"/>
      <c r="D10" s="376"/>
      <c r="E10" s="911"/>
      <c r="F10" s="375"/>
      <c r="G10" s="376"/>
      <c r="H10" s="374"/>
      <c r="I10" s="375"/>
      <c r="J10" s="376"/>
      <c r="K10" s="374"/>
      <c r="L10" s="375"/>
      <c r="M10" s="376"/>
      <c r="N10" s="374"/>
      <c r="O10" s="375"/>
      <c r="P10" s="376"/>
      <c r="Q10" s="374"/>
    </row>
    <row r="11" spans="1:17" ht="16.5" thickBot="1">
      <c r="A11" s="304">
        <v>1</v>
      </c>
      <c r="B11" s="296" t="s">
        <v>113</v>
      </c>
      <c r="C11" s="305">
        <v>10718</v>
      </c>
      <c r="D11" s="305"/>
      <c r="E11" s="305">
        <f>SUM(C11:D11)</f>
        <v>10718</v>
      </c>
      <c r="F11" s="310">
        <v>18500</v>
      </c>
      <c r="G11" s="305"/>
      <c r="H11" s="349">
        <f>SUM(F11:G11)</f>
        <v>18500</v>
      </c>
      <c r="I11" s="305"/>
      <c r="J11" s="305"/>
      <c r="K11" s="349">
        <f aca="true" t="shared" si="0" ref="K11:K16">SUM(I11:J11)</f>
        <v>0</v>
      </c>
      <c r="L11" s="305"/>
      <c r="M11" s="305"/>
      <c r="N11" s="349">
        <f aca="true" t="shared" si="1" ref="N11:N16">SUM(L11:M11)</f>
        <v>0</v>
      </c>
      <c r="O11" s="305"/>
      <c r="P11" s="378"/>
      <c r="Q11" s="379">
        <f aca="true" t="shared" si="2" ref="Q11:Q16">SUM(O11:P11)</f>
        <v>0</v>
      </c>
    </row>
    <row r="12" spans="1:17" s="66" customFormat="1" ht="16.5" thickBot="1">
      <c r="A12" s="308">
        <v>2</v>
      </c>
      <c r="B12" s="907" t="s">
        <v>202</v>
      </c>
      <c r="C12" s="310">
        <v>1688</v>
      </c>
      <c r="D12" s="305"/>
      <c r="E12" s="305">
        <f>SUM(C12:D12)</f>
        <v>1688</v>
      </c>
      <c r="F12" s="310">
        <v>2700</v>
      </c>
      <c r="G12" s="305"/>
      <c r="H12" s="349">
        <f>SUM(F12:G12)</f>
        <v>2700</v>
      </c>
      <c r="I12" s="310"/>
      <c r="J12" s="305"/>
      <c r="K12" s="349">
        <f t="shared" si="0"/>
        <v>0</v>
      </c>
      <c r="L12" s="310"/>
      <c r="M12" s="305"/>
      <c r="N12" s="349">
        <f t="shared" si="1"/>
        <v>0</v>
      </c>
      <c r="O12" s="378"/>
      <c r="P12" s="378"/>
      <c r="Q12" s="379">
        <f t="shared" si="2"/>
        <v>0</v>
      </c>
    </row>
    <row r="13" spans="1:17" s="15" customFormat="1" ht="16.5" thickBot="1">
      <c r="A13" s="308">
        <v>3</v>
      </c>
      <c r="B13" s="296" t="s">
        <v>116</v>
      </c>
      <c r="C13" s="305">
        <v>1549285</v>
      </c>
      <c r="D13" s="305">
        <v>149890</v>
      </c>
      <c r="E13" s="305">
        <f>SUM(C13:D13)</f>
        <v>1699175</v>
      </c>
      <c r="F13" s="310">
        <v>1270</v>
      </c>
      <c r="G13" s="305"/>
      <c r="H13" s="349">
        <f>SUM(F13:G13)</f>
        <v>1270</v>
      </c>
      <c r="I13" s="310">
        <v>11253</v>
      </c>
      <c r="J13" s="305"/>
      <c r="K13" s="349">
        <f t="shared" si="0"/>
        <v>11253</v>
      </c>
      <c r="L13" s="305"/>
      <c r="M13" s="305"/>
      <c r="N13" s="349">
        <f t="shared" si="1"/>
        <v>0</v>
      </c>
      <c r="O13" s="305">
        <v>14057</v>
      </c>
      <c r="P13" s="378">
        <v>-391</v>
      </c>
      <c r="Q13" s="379">
        <f t="shared" si="2"/>
        <v>13666</v>
      </c>
    </row>
    <row r="14" spans="1:17" s="15" customFormat="1" ht="16.5" thickBot="1">
      <c r="A14" s="308">
        <v>4</v>
      </c>
      <c r="B14" s="296" t="s">
        <v>172</v>
      </c>
      <c r="C14" s="310"/>
      <c r="D14" s="305"/>
      <c r="E14" s="349">
        <f>SUM(C14:D14)</f>
        <v>0</v>
      </c>
      <c r="F14" s="307"/>
      <c r="G14" s="305"/>
      <c r="H14" s="309">
        <f>SUM(F14:G14)</f>
        <v>0</v>
      </c>
      <c r="I14" s="310"/>
      <c r="J14" s="305"/>
      <c r="K14" s="349">
        <f t="shared" si="0"/>
        <v>0</v>
      </c>
      <c r="L14" s="310"/>
      <c r="M14" s="305"/>
      <c r="N14" s="349">
        <f t="shared" si="1"/>
        <v>0</v>
      </c>
      <c r="O14" s="310"/>
      <c r="P14" s="305"/>
      <c r="Q14" s="349">
        <f t="shared" si="2"/>
        <v>0</v>
      </c>
    </row>
    <row r="15" spans="1:17" ht="15">
      <c r="A15" s="163" t="s">
        <v>98</v>
      </c>
      <c r="B15" s="152" t="s">
        <v>370</v>
      </c>
      <c r="C15" s="224"/>
      <c r="D15" s="224"/>
      <c r="E15" s="224">
        <f>C15+D15</f>
        <v>0</v>
      </c>
      <c r="F15" s="226"/>
      <c r="G15" s="224"/>
      <c r="H15" s="380">
        <f>F15+G15</f>
        <v>0</v>
      </c>
      <c r="I15" s="224"/>
      <c r="J15" s="224"/>
      <c r="K15" s="380">
        <f t="shared" si="0"/>
        <v>0</v>
      </c>
      <c r="L15" s="224"/>
      <c r="M15" s="224"/>
      <c r="N15" s="380">
        <f t="shared" si="1"/>
        <v>0</v>
      </c>
      <c r="O15" s="381"/>
      <c r="P15" s="381"/>
      <c r="Q15" s="382">
        <f t="shared" si="2"/>
        <v>0</v>
      </c>
    </row>
    <row r="16" spans="1:17" ht="15">
      <c r="A16" s="160" t="s">
        <v>99</v>
      </c>
      <c r="B16" s="156" t="s">
        <v>554</v>
      </c>
      <c r="C16" s="146"/>
      <c r="D16" s="146"/>
      <c r="E16" s="224">
        <f>C16+D16</f>
        <v>0</v>
      </c>
      <c r="F16" s="150"/>
      <c r="G16" s="146"/>
      <c r="H16" s="380">
        <f>F16+G16</f>
        <v>0</v>
      </c>
      <c r="I16" s="146"/>
      <c r="J16" s="146"/>
      <c r="K16" s="380">
        <f t="shared" si="0"/>
        <v>0</v>
      </c>
      <c r="L16" s="146"/>
      <c r="M16" s="146"/>
      <c r="N16" s="380">
        <f t="shared" si="1"/>
        <v>0</v>
      </c>
      <c r="O16" s="383"/>
      <c r="P16" s="383"/>
      <c r="Q16" s="382">
        <f t="shared" si="2"/>
        <v>0</v>
      </c>
    </row>
    <row r="17" spans="1:17" ht="15">
      <c r="A17" s="160" t="s">
        <v>100</v>
      </c>
      <c r="B17" s="156" t="s">
        <v>555</v>
      </c>
      <c r="C17" s="146"/>
      <c r="D17" s="146"/>
      <c r="E17" s="224">
        <f aca="true" t="shared" si="3" ref="E17:E22">C17+D17</f>
        <v>0</v>
      </c>
      <c r="F17" s="150"/>
      <c r="G17" s="146"/>
      <c r="H17" s="380">
        <f aca="true" t="shared" si="4" ref="H17:H22">F17+G17</f>
        <v>0</v>
      </c>
      <c r="I17" s="146"/>
      <c r="J17" s="146"/>
      <c r="K17" s="380">
        <f aca="true" t="shared" si="5" ref="K17:K22">SUM(I17:J17)</f>
        <v>0</v>
      </c>
      <c r="L17" s="146"/>
      <c r="M17" s="146"/>
      <c r="N17" s="380">
        <f aca="true" t="shared" si="6" ref="N17:N22">SUM(L17:M17)</f>
        <v>0</v>
      </c>
      <c r="O17" s="383"/>
      <c r="P17" s="383"/>
      <c r="Q17" s="382">
        <f aca="true" t="shared" si="7" ref="Q17:Q22">SUM(O17:P17)</f>
        <v>0</v>
      </c>
    </row>
    <row r="18" spans="1:17" ht="15">
      <c r="A18" s="160" t="s">
        <v>101</v>
      </c>
      <c r="B18" s="162" t="s">
        <v>371</v>
      </c>
      <c r="C18" s="298"/>
      <c r="D18" s="146"/>
      <c r="E18" s="238">
        <f t="shared" si="3"/>
        <v>0</v>
      </c>
      <c r="F18" s="881"/>
      <c r="G18" s="146"/>
      <c r="H18" s="227">
        <f t="shared" si="4"/>
        <v>0</v>
      </c>
      <c r="I18" s="146"/>
      <c r="J18" s="146"/>
      <c r="K18" s="380">
        <f t="shared" si="5"/>
        <v>0</v>
      </c>
      <c r="L18" s="146"/>
      <c r="M18" s="146"/>
      <c r="N18" s="380">
        <f t="shared" si="6"/>
        <v>0</v>
      </c>
      <c r="O18" s="383"/>
      <c r="P18" s="383"/>
      <c r="Q18" s="382">
        <f t="shared" si="7"/>
        <v>0</v>
      </c>
    </row>
    <row r="19" spans="1:17" ht="15">
      <c r="A19" s="155" t="s">
        <v>192</v>
      </c>
      <c r="B19" s="156" t="s">
        <v>556</v>
      </c>
      <c r="C19" s="881"/>
      <c r="D19" s="146"/>
      <c r="E19" s="238">
        <f>C19+D19</f>
        <v>0</v>
      </c>
      <c r="F19" s="881"/>
      <c r="G19" s="146"/>
      <c r="H19" s="227">
        <f>F19+G19</f>
        <v>0</v>
      </c>
      <c r="I19" s="146"/>
      <c r="J19" s="146"/>
      <c r="K19" s="380">
        <f>SUM(I19:J19)</f>
        <v>0</v>
      </c>
      <c r="L19" s="146"/>
      <c r="M19" s="146"/>
      <c r="N19" s="380">
        <f>SUM(L19:M19)</f>
        <v>0</v>
      </c>
      <c r="O19" s="383"/>
      <c r="P19" s="383"/>
      <c r="Q19" s="382">
        <f>SUM(O19:P19)</f>
        <v>0</v>
      </c>
    </row>
    <row r="20" spans="1:17" ht="15">
      <c r="A20" s="155" t="s">
        <v>327</v>
      </c>
      <c r="B20" s="156" t="s">
        <v>557</v>
      </c>
      <c r="C20" s="881"/>
      <c r="D20" s="146"/>
      <c r="E20" s="238">
        <f t="shared" si="3"/>
        <v>0</v>
      </c>
      <c r="F20" s="881"/>
      <c r="G20" s="146"/>
      <c r="H20" s="227">
        <f t="shared" si="4"/>
        <v>0</v>
      </c>
      <c r="I20" s="298"/>
      <c r="J20" s="146"/>
      <c r="K20" s="227">
        <f t="shared" si="5"/>
        <v>0</v>
      </c>
      <c r="L20" s="298"/>
      <c r="M20" s="146"/>
      <c r="N20" s="227">
        <f t="shared" si="6"/>
        <v>0</v>
      </c>
      <c r="O20" s="383"/>
      <c r="P20" s="383"/>
      <c r="Q20" s="382">
        <f t="shared" si="7"/>
        <v>0</v>
      </c>
    </row>
    <row r="21" spans="1:17" ht="15">
      <c r="A21" s="155" t="s">
        <v>328</v>
      </c>
      <c r="B21" s="162" t="s">
        <v>372</v>
      </c>
      <c r="C21" s="297"/>
      <c r="D21" s="224"/>
      <c r="E21" s="238">
        <f>C21+D21</f>
        <v>0</v>
      </c>
      <c r="F21" s="1070"/>
      <c r="G21" s="224"/>
      <c r="H21" s="227">
        <f t="shared" si="4"/>
        <v>0</v>
      </c>
      <c r="I21" s="297"/>
      <c r="J21" s="224"/>
      <c r="K21" s="227">
        <f t="shared" si="5"/>
        <v>0</v>
      </c>
      <c r="L21" s="297"/>
      <c r="M21" s="224"/>
      <c r="N21" s="227">
        <f t="shared" si="6"/>
        <v>0</v>
      </c>
      <c r="O21" s="1136"/>
      <c r="P21" s="383"/>
      <c r="Q21" s="1111">
        <f t="shared" si="7"/>
        <v>0</v>
      </c>
    </row>
    <row r="22" spans="1:17" ht="15" customHeight="1" thickBot="1">
      <c r="A22" s="16" t="s">
        <v>69</v>
      </c>
      <c r="B22" s="325" t="s">
        <v>373</v>
      </c>
      <c r="C22" s="299"/>
      <c r="D22" s="158"/>
      <c r="E22" s="238">
        <f t="shared" si="3"/>
        <v>0</v>
      </c>
      <c r="F22" s="882"/>
      <c r="G22" s="158"/>
      <c r="H22" s="227">
        <f t="shared" si="4"/>
        <v>0</v>
      </c>
      <c r="I22" s="861"/>
      <c r="J22" s="158"/>
      <c r="K22" s="227">
        <f t="shared" si="5"/>
        <v>0</v>
      </c>
      <c r="L22" s="299"/>
      <c r="M22" s="158"/>
      <c r="N22" s="227">
        <f t="shared" si="6"/>
        <v>0</v>
      </c>
      <c r="O22" s="1138"/>
      <c r="P22" s="384"/>
      <c r="Q22" s="1111">
        <f t="shared" si="7"/>
        <v>0</v>
      </c>
    </row>
    <row r="23" spans="1:17" s="15" customFormat="1" ht="16.5" thickBot="1">
      <c r="A23" s="308">
        <v>5</v>
      </c>
      <c r="B23" s="296" t="s">
        <v>171</v>
      </c>
      <c r="C23" s="338">
        <f aca="true" t="shared" si="8" ref="C23:Q23">SUM(C15:C22)</f>
        <v>0</v>
      </c>
      <c r="D23" s="305">
        <f t="shared" si="8"/>
        <v>0</v>
      </c>
      <c r="E23" s="311">
        <f t="shared" si="8"/>
        <v>0</v>
      </c>
      <c r="F23" s="321">
        <f t="shared" si="8"/>
        <v>0</v>
      </c>
      <c r="G23" s="305">
        <f t="shared" si="8"/>
        <v>0</v>
      </c>
      <c r="H23" s="321">
        <f t="shared" si="8"/>
        <v>0</v>
      </c>
      <c r="I23" s="338">
        <f t="shared" si="8"/>
        <v>0</v>
      </c>
      <c r="J23" s="305">
        <f t="shared" si="8"/>
        <v>0</v>
      </c>
      <c r="K23" s="311">
        <f t="shared" si="8"/>
        <v>0</v>
      </c>
      <c r="L23" s="338">
        <f t="shared" si="8"/>
        <v>0</v>
      </c>
      <c r="M23" s="305">
        <f t="shared" si="8"/>
        <v>0</v>
      </c>
      <c r="N23" s="311">
        <f t="shared" si="8"/>
        <v>0</v>
      </c>
      <c r="O23" s="338">
        <f t="shared" si="8"/>
        <v>0</v>
      </c>
      <c r="P23" s="305">
        <f t="shared" si="8"/>
        <v>0</v>
      </c>
      <c r="Q23" s="311">
        <f t="shared" si="8"/>
        <v>0</v>
      </c>
    </row>
    <row r="24" spans="1:17" ht="16.5" thickBot="1">
      <c r="A24" s="304">
        <v>6</v>
      </c>
      <c r="B24" s="296" t="s">
        <v>174</v>
      </c>
      <c r="C24" s="309">
        <v>1559727</v>
      </c>
      <c r="D24" s="305">
        <v>564957</v>
      </c>
      <c r="E24" s="307">
        <f aca="true" t="shared" si="9" ref="E24:E30">SUM(C24:D24)</f>
        <v>2124684</v>
      </c>
      <c r="F24" s="338"/>
      <c r="G24" s="305"/>
      <c r="H24" s="311">
        <f aca="true" t="shared" si="10" ref="H24:H30">SUM(F24:G24)</f>
        <v>0</v>
      </c>
      <c r="I24" s="309">
        <v>74670</v>
      </c>
      <c r="J24" s="305"/>
      <c r="K24" s="311">
        <f aca="true" t="shared" si="11" ref="K24:K30">SUM(I24:J24)</f>
        <v>74670</v>
      </c>
      <c r="L24" s="309"/>
      <c r="M24" s="305"/>
      <c r="N24" s="311">
        <f aca="true" t="shared" si="12" ref="N24:N30">SUM(L24:M24)</f>
        <v>0</v>
      </c>
      <c r="O24" s="338">
        <v>1276</v>
      </c>
      <c r="P24" s="378">
        <v>391</v>
      </c>
      <c r="Q24" s="1112">
        <f aca="true" t="shared" si="13" ref="Q24:Q30">SUM(O24:P24)</f>
        <v>1667</v>
      </c>
    </row>
    <row r="25" spans="1:17" s="15" customFormat="1" ht="16.5" thickBot="1">
      <c r="A25" s="304">
        <v>7</v>
      </c>
      <c r="B25" s="296" t="s">
        <v>421</v>
      </c>
      <c r="C25" s="309">
        <v>242020</v>
      </c>
      <c r="D25" s="305">
        <v>20866</v>
      </c>
      <c r="E25" s="307">
        <f t="shared" si="9"/>
        <v>262886</v>
      </c>
      <c r="F25" s="338"/>
      <c r="G25" s="305"/>
      <c r="H25" s="321">
        <f t="shared" si="10"/>
        <v>0</v>
      </c>
      <c r="I25" s="338"/>
      <c r="J25" s="305"/>
      <c r="K25" s="311">
        <f t="shared" si="11"/>
        <v>0</v>
      </c>
      <c r="L25" s="321"/>
      <c r="M25" s="305"/>
      <c r="N25" s="311">
        <f t="shared" si="12"/>
        <v>0</v>
      </c>
      <c r="O25" s="309"/>
      <c r="P25" s="378"/>
      <c r="Q25" s="1112">
        <f t="shared" si="13"/>
        <v>0</v>
      </c>
    </row>
    <row r="26" spans="1:17" ht="15">
      <c r="A26" s="163" t="s">
        <v>98</v>
      </c>
      <c r="B26" s="156" t="s">
        <v>560</v>
      </c>
      <c r="C26" s="297"/>
      <c r="D26" s="224"/>
      <c r="E26" s="238">
        <f t="shared" si="9"/>
        <v>0</v>
      </c>
      <c r="F26" s="1070"/>
      <c r="G26" s="224"/>
      <c r="H26" s="227">
        <f t="shared" si="10"/>
        <v>0</v>
      </c>
      <c r="I26" s="1070"/>
      <c r="J26" s="224"/>
      <c r="K26" s="227">
        <f t="shared" si="11"/>
        <v>0</v>
      </c>
      <c r="L26" s="297"/>
      <c r="M26" s="224"/>
      <c r="N26" s="227">
        <f t="shared" si="12"/>
        <v>0</v>
      </c>
      <c r="O26" s="297"/>
      <c r="P26" s="381"/>
      <c r="Q26" s="1111">
        <f t="shared" si="13"/>
        <v>0</v>
      </c>
    </row>
    <row r="27" spans="1:17" ht="15">
      <c r="A27" s="163" t="s">
        <v>99</v>
      </c>
      <c r="B27" s="156" t="s">
        <v>558</v>
      </c>
      <c r="C27" s="297"/>
      <c r="D27" s="224"/>
      <c r="E27" s="238">
        <f t="shared" si="9"/>
        <v>0</v>
      </c>
      <c r="F27" s="1070"/>
      <c r="G27" s="224"/>
      <c r="H27" s="227">
        <f t="shared" si="10"/>
        <v>0</v>
      </c>
      <c r="I27" s="1070"/>
      <c r="J27" s="224"/>
      <c r="K27" s="227">
        <f t="shared" si="11"/>
        <v>0</v>
      </c>
      <c r="L27" s="297"/>
      <c r="M27" s="224"/>
      <c r="N27" s="227">
        <f t="shared" si="12"/>
        <v>0</v>
      </c>
      <c r="O27" s="297"/>
      <c r="P27" s="381"/>
      <c r="Q27" s="1111">
        <f t="shared" si="13"/>
        <v>0</v>
      </c>
    </row>
    <row r="28" spans="1:17" ht="15">
      <c r="A28" s="163" t="s">
        <v>100</v>
      </c>
      <c r="B28" s="162" t="s">
        <v>374</v>
      </c>
      <c r="C28" s="297"/>
      <c r="D28" s="224"/>
      <c r="E28" s="238">
        <f t="shared" si="9"/>
        <v>0</v>
      </c>
      <c r="F28" s="1070"/>
      <c r="G28" s="224"/>
      <c r="H28" s="227">
        <f t="shared" si="10"/>
        <v>0</v>
      </c>
      <c r="I28" s="1070"/>
      <c r="J28" s="224"/>
      <c r="K28" s="227">
        <f t="shared" si="11"/>
        <v>0</v>
      </c>
      <c r="L28" s="297"/>
      <c r="M28" s="224"/>
      <c r="N28" s="227">
        <f t="shared" si="12"/>
        <v>0</v>
      </c>
      <c r="O28" s="297"/>
      <c r="P28" s="381"/>
      <c r="Q28" s="1111">
        <f t="shared" si="13"/>
        <v>0</v>
      </c>
    </row>
    <row r="29" spans="1:17" ht="15">
      <c r="A29" s="163" t="s">
        <v>101</v>
      </c>
      <c r="B29" s="156" t="s">
        <v>559</v>
      </c>
      <c r="C29" s="297"/>
      <c r="D29" s="224"/>
      <c r="E29" s="238">
        <f t="shared" si="9"/>
        <v>0</v>
      </c>
      <c r="F29" s="1070"/>
      <c r="G29" s="224"/>
      <c r="H29" s="227">
        <f t="shared" si="10"/>
        <v>0</v>
      </c>
      <c r="I29" s="1070"/>
      <c r="J29" s="224"/>
      <c r="K29" s="227">
        <f t="shared" si="11"/>
        <v>0</v>
      </c>
      <c r="L29" s="297"/>
      <c r="M29" s="224"/>
      <c r="N29" s="227">
        <f t="shared" si="12"/>
        <v>0</v>
      </c>
      <c r="O29" s="297"/>
      <c r="P29" s="381"/>
      <c r="Q29" s="1111">
        <f t="shared" si="13"/>
        <v>0</v>
      </c>
    </row>
    <row r="30" spans="1:17" ht="15.75" thickBot="1">
      <c r="A30" s="326" t="s">
        <v>192</v>
      </c>
      <c r="B30" s="162" t="s">
        <v>375</v>
      </c>
      <c r="C30" s="320"/>
      <c r="D30" s="312"/>
      <c r="E30" s="313">
        <f t="shared" si="9"/>
        <v>0</v>
      </c>
      <c r="F30" s="1071"/>
      <c r="G30" s="312"/>
      <c r="H30" s="315">
        <f t="shared" si="10"/>
        <v>0</v>
      </c>
      <c r="I30" s="1071"/>
      <c r="J30" s="312"/>
      <c r="K30" s="315">
        <f t="shared" si="11"/>
        <v>0</v>
      </c>
      <c r="L30" s="320"/>
      <c r="M30" s="312"/>
      <c r="N30" s="315">
        <f t="shared" si="12"/>
        <v>0</v>
      </c>
      <c r="O30" s="320"/>
      <c r="P30" s="387"/>
      <c r="Q30" s="1113">
        <f t="shared" si="13"/>
        <v>0</v>
      </c>
    </row>
    <row r="31" spans="1:17" s="15" customFormat="1" ht="16.5" thickBot="1">
      <c r="A31" s="304">
        <v>8</v>
      </c>
      <c r="B31" s="296" t="s">
        <v>173</v>
      </c>
      <c r="C31" s="338">
        <f aca="true" t="shared" si="14" ref="C31:Q31">SUM(C26:C30)</f>
        <v>0</v>
      </c>
      <c r="D31" s="305">
        <f t="shared" si="14"/>
        <v>0</v>
      </c>
      <c r="E31" s="311">
        <f t="shared" si="14"/>
        <v>0</v>
      </c>
      <c r="F31" s="321">
        <f t="shared" si="14"/>
        <v>0</v>
      </c>
      <c r="G31" s="305">
        <f t="shared" si="14"/>
        <v>0</v>
      </c>
      <c r="H31" s="321">
        <f t="shared" si="14"/>
        <v>0</v>
      </c>
      <c r="I31" s="338">
        <f t="shared" si="14"/>
        <v>0</v>
      </c>
      <c r="J31" s="305">
        <f t="shared" si="14"/>
        <v>0</v>
      </c>
      <c r="K31" s="311">
        <f t="shared" si="14"/>
        <v>0</v>
      </c>
      <c r="L31" s="338">
        <f t="shared" si="14"/>
        <v>0</v>
      </c>
      <c r="M31" s="305">
        <f t="shared" si="14"/>
        <v>0</v>
      </c>
      <c r="N31" s="321">
        <f t="shared" si="14"/>
        <v>0</v>
      </c>
      <c r="O31" s="338">
        <f t="shared" si="14"/>
        <v>0</v>
      </c>
      <c r="P31" s="305">
        <f t="shared" si="14"/>
        <v>0</v>
      </c>
      <c r="Q31" s="311">
        <f t="shared" si="14"/>
        <v>0</v>
      </c>
    </row>
    <row r="32" spans="1:17" ht="16.5" thickBot="1">
      <c r="A32" s="304">
        <v>9</v>
      </c>
      <c r="B32" s="296" t="s">
        <v>179</v>
      </c>
      <c r="C32" s="309"/>
      <c r="D32" s="305"/>
      <c r="E32" s="307">
        <f>SUM(C32:D32)</f>
        <v>0</v>
      </c>
      <c r="F32" s="338"/>
      <c r="G32" s="305"/>
      <c r="H32" s="311">
        <f>SUM(F32:G32)</f>
        <v>0</v>
      </c>
      <c r="I32" s="309"/>
      <c r="J32" s="305"/>
      <c r="K32" s="311">
        <f>SUM(I32:J32)</f>
        <v>0</v>
      </c>
      <c r="L32" s="309"/>
      <c r="M32" s="305"/>
      <c r="N32" s="311">
        <f>SUM(L32:M32)</f>
        <v>0</v>
      </c>
      <c r="O32" s="1124"/>
      <c r="P32" s="378"/>
      <c r="Q32" s="1112">
        <f>SUM(O32:P32)</f>
        <v>0</v>
      </c>
    </row>
    <row r="33" spans="1:21" s="36" customFormat="1" ht="16.5" thickBot="1">
      <c r="A33" s="358">
        <v>10</v>
      </c>
      <c r="B33" s="908"/>
      <c r="C33" s="1086"/>
      <c r="D33" s="366"/>
      <c r="E33" s="367">
        <f>SUM(C33:D33)</f>
        <v>0</v>
      </c>
      <c r="F33" s="288"/>
      <c r="G33" s="360"/>
      <c r="H33" s="1102">
        <f>SUM(F33:G33)</f>
        <v>0</v>
      </c>
      <c r="I33" s="165"/>
      <c r="J33" s="360"/>
      <c r="K33" s="1102">
        <f>SUM(I33:J33)</f>
        <v>0</v>
      </c>
      <c r="L33" s="165"/>
      <c r="M33" s="360"/>
      <c r="N33" s="1102">
        <f>SUM(L33:M33)</f>
        <v>0</v>
      </c>
      <c r="O33" s="165"/>
      <c r="P33" s="360"/>
      <c r="Q33" s="1102">
        <f>SUM(O33:P33)</f>
        <v>0</v>
      </c>
      <c r="R33" s="34"/>
      <c r="S33" s="34"/>
      <c r="T33" s="34"/>
      <c r="U33" s="34"/>
    </row>
    <row r="34" spans="1:96" s="37" customFormat="1" ht="17.25" thickBot="1" thickTop="1">
      <c r="A34" s="334" t="s">
        <v>108</v>
      </c>
      <c r="B34" s="357" t="s">
        <v>180</v>
      </c>
      <c r="C34" s="356">
        <f aca="true" t="shared" si="15" ref="C34:Q34">C11+C12+C13+C23+C14+C31+C25+C24+C32+C33</f>
        <v>3363438</v>
      </c>
      <c r="D34" s="335">
        <f t="shared" si="15"/>
        <v>735713</v>
      </c>
      <c r="E34" s="354">
        <f t="shared" si="15"/>
        <v>4099151</v>
      </c>
      <c r="F34" s="356">
        <f t="shared" si="15"/>
        <v>22470</v>
      </c>
      <c r="G34" s="335">
        <f t="shared" si="15"/>
        <v>0</v>
      </c>
      <c r="H34" s="354">
        <f t="shared" si="15"/>
        <v>22470</v>
      </c>
      <c r="I34" s="356">
        <f t="shared" si="15"/>
        <v>85923</v>
      </c>
      <c r="J34" s="335">
        <f t="shared" si="15"/>
        <v>0</v>
      </c>
      <c r="K34" s="354">
        <f t="shared" si="15"/>
        <v>85923</v>
      </c>
      <c r="L34" s="356">
        <f t="shared" si="15"/>
        <v>0</v>
      </c>
      <c r="M34" s="335">
        <f t="shared" si="15"/>
        <v>0</v>
      </c>
      <c r="N34" s="354">
        <f t="shared" si="15"/>
        <v>0</v>
      </c>
      <c r="O34" s="356">
        <f t="shared" si="15"/>
        <v>15333</v>
      </c>
      <c r="P34" s="335">
        <f t="shared" si="15"/>
        <v>0</v>
      </c>
      <c r="Q34" s="365">
        <f t="shared" si="15"/>
        <v>15333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</row>
    <row r="35" spans="1:96" ht="17.25" thickBot="1" thickTop="1">
      <c r="A35" s="151"/>
      <c r="B35" s="337" t="s">
        <v>131</v>
      </c>
      <c r="C35" s="1087"/>
      <c r="D35" s="364"/>
      <c r="E35" s="895"/>
      <c r="F35" s="863"/>
      <c r="G35" s="293"/>
      <c r="H35" s="1103"/>
      <c r="I35" s="910"/>
      <c r="J35" s="293"/>
      <c r="K35" s="1103"/>
      <c r="L35" s="910"/>
      <c r="M35" s="293"/>
      <c r="N35" s="1103"/>
      <c r="O35" s="1072"/>
      <c r="P35" s="293"/>
      <c r="Q35" s="1103"/>
      <c r="R35" s="26"/>
      <c r="S35" s="26"/>
      <c r="T35" s="26"/>
      <c r="U35" s="26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</row>
    <row r="36" spans="1:17" s="731" customFormat="1" ht="15">
      <c r="A36" s="738" t="s">
        <v>98</v>
      </c>
      <c r="B36" s="739" t="s">
        <v>376</v>
      </c>
      <c r="C36" s="1080"/>
      <c r="D36" s="740"/>
      <c r="E36" s="745">
        <f aca="true" t="shared" si="16" ref="E36:E44">SUM(C36:D36)</f>
        <v>0</v>
      </c>
      <c r="F36" s="744"/>
      <c r="G36" s="740"/>
      <c r="H36" s="745">
        <f>SUM(F36:G36)</f>
        <v>0</v>
      </c>
      <c r="I36" s="1080"/>
      <c r="J36" s="740"/>
      <c r="K36" s="745">
        <f>SUM(I36:J36)</f>
        <v>0</v>
      </c>
      <c r="L36" s="1080"/>
      <c r="M36" s="740"/>
      <c r="N36" s="745">
        <f>SUM(L36:M36)</f>
        <v>0</v>
      </c>
      <c r="O36" s="1126"/>
      <c r="P36" s="743"/>
      <c r="Q36" s="1114">
        <f>SUM(O36:P36)</f>
        <v>0</v>
      </c>
    </row>
    <row r="37" spans="1:17" s="731" customFormat="1" ht="15">
      <c r="A37" s="160" t="s">
        <v>99</v>
      </c>
      <c r="B37" s="156" t="s">
        <v>235</v>
      </c>
      <c r="C37" s="881"/>
      <c r="D37" s="146"/>
      <c r="E37" s="169">
        <f t="shared" si="16"/>
        <v>0</v>
      </c>
      <c r="F37" s="860"/>
      <c r="G37" s="146"/>
      <c r="H37" s="169">
        <f>SUM(F37:G37)</f>
        <v>0</v>
      </c>
      <c r="I37" s="881"/>
      <c r="J37" s="146"/>
      <c r="K37" s="169">
        <f>SUM(I37:J37)</f>
        <v>0</v>
      </c>
      <c r="L37" s="881"/>
      <c r="M37" s="146"/>
      <c r="N37" s="169">
        <f>SUM(L37:M37)</f>
        <v>0</v>
      </c>
      <c r="O37" s="1121"/>
      <c r="P37" s="383"/>
      <c r="Q37" s="1115">
        <f>SUM(O37:P37)</f>
        <v>0</v>
      </c>
    </row>
    <row r="38" spans="1:17" s="731" customFormat="1" ht="15">
      <c r="A38" s="326" t="s">
        <v>100</v>
      </c>
      <c r="B38" s="149" t="s">
        <v>377</v>
      </c>
      <c r="C38" s="1071"/>
      <c r="D38" s="312"/>
      <c r="E38" s="315">
        <f t="shared" si="16"/>
        <v>0</v>
      </c>
      <c r="F38" s="164"/>
      <c r="G38" s="312"/>
      <c r="H38" s="315">
        <f>SUM(F38:G38)</f>
        <v>0</v>
      </c>
      <c r="I38" s="1071"/>
      <c r="J38" s="312"/>
      <c r="K38" s="315">
        <f>SUM(I38:J38)</f>
        <v>0</v>
      </c>
      <c r="L38" s="1071"/>
      <c r="M38" s="312"/>
      <c r="N38" s="315">
        <f>SUM(L38:M38)</f>
        <v>0</v>
      </c>
      <c r="O38" s="1125"/>
      <c r="P38" s="387"/>
      <c r="Q38" s="1113">
        <f>SUM(O38:P38)</f>
        <v>0</v>
      </c>
    </row>
    <row r="39" spans="1:17" s="731" customFormat="1" ht="15.75" thickBot="1">
      <c r="A39" s="161" t="s">
        <v>101</v>
      </c>
      <c r="B39" s="162" t="s">
        <v>381</v>
      </c>
      <c r="C39" s="882"/>
      <c r="D39" s="158">
        <v>74882</v>
      </c>
      <c r="E39" s="237">
        <f t="shared" si="16"/>
        <v>74882</v>
      </c>
      <c r="F39" s="861">
        <v>15000</v>
      </c>
      <c r="G39" s="158"/>
      <c r="H39" s="237">
        <f>SUM(F39:G39)</f>
        <v>15000</v>
      </c>
      <c r="I39" s="882"/>
      <c r="J39" s="158"/>
      <c r="K39" s="237">
        <f>SUM(I39:J39)</f>
        <v>0</v>
      </c>
      <c r="L39" s="882"/>
      <c r="M39" s="158"/>
      <c r="N39" s="237">
        <f>SUM(L39:M39)</f>
        <v>0</v>
      </c>
      <c r="O39" s="1123"/>
      <c r="P39" s="384"/>
      <c r="Q39" s="1116">
        <f>SUM(O39:P39)</f>
        <v>0</v>
      </c>
    </row>
    <row r="40" spans="1:17" s="15" customFormat="1" ht="16.5" thickBot="1">
      <c r="A40" s="304">
        <v>1</v>
      </c>
      <c r="B40" s="296" t="s">
        <v>177</v>
      </c>
      <c r="C40" s="338">
        <f aca="true" t="shared" si="17" ref="C40:Q40">SUM(C36:C39)</f>
        <v>0</v>
      </c>
      <c r="D40" s="305">
        <f t="shared" si="17"/>
        <v>74882</v>
      </c>
      <c r="E40" s="311">
        <f t="shared" si="17"/>
        <v>74882</v>
      </c>
      <c r="F40" s="338">
        <f t="shared" si="17"/>
        <v>15000</v>
      </c>
      <c r="G40" s="305">
        <f t="shared" si="17"/>
        <v>0</v>
      </c>
      <c r="H40" s="311">
        <f t="shared" si="17"/>
        <v>15000</v>
      </c>
      <c r="I40" s="338">
        <f t="shared" si="17"/>
        <v>0</v>
      </c>
      <c r="J40" s="305">
        <f t="shared" si="17"/>
        <v>0</v>
      </c>
      <c r="K40" s="311">
        <f t="shared" si="17"/>
        <v>0</v>
      </c>
      <c r="L40" s="338">
        <f t="shared" si="17"/>
        <v>0</v>
      </c>
      <c r="M40" s="305">
        <f t="shared" si="17"/>
        <v>0</v>
      </c>
      <c r="N40" s="311">
        <f t="shared" si="17"/>
        <v>0</v>
      </c>
      <c r="O40" s="338">
        <f t="shared" si="17"/>
        <v>0</v>
      </c>
      <c r="P40" s="305">
        <f t="shared" si="17"/>
        <v>0</v>
      </c>
      <c r="Q40" s="311">
        <f t="shared" si="17"/>
        <v>0</v>
      </c>
    </row>
    <row r="41" spans="1:17" ht="15">
      <c r="A41" s="163" t="s">
        <v>98</v>
      </c>
      <c r="B41" s="152" t="s">
        <v>403</v>
      </c>
      <c r="C41" s="1070"/>
      <c r="D41" s="224"/>
      <c r="E41" s="227">
        <f t="shared" si="16"/>
        <v>0</v>
      </c>
      <c r="F41" s="862"/>
      <c r="G41" s="224"/>
      <c r="H41" s="227">
        <f>SUM(F41:G41)</f>
        <v>0</v>
      </c>
      <c r="I41" s="1070"/>
      <c r="J41" s="224"/>
      <c r="K41" s="227">
        <f>SUM(I41:J41)</f>
        <v>0</v>
      </c>
      <c r="L41" s="1070"/>
      <c r="M41" s="224"/>
      <c r="N41" s="227">
        <f>SUM(L41:M41)</f>
        <v>0</v>
      </c>
      <c r="O41" s="1122"/>
      <c r="P41" s="381"/>
      <c r="Q41" s="1111">
        <f>SUM(O41:P41)</f>
        <v>0</v>
      </c>
    </row>
    <row r="42" spans="1:17" ht="15">
      <c r="A42" s="160" t="s">
        <v>99</v>
      </c>
      <c r="B42" s="156" t="s">
        <v>378</v>
      </c>
      <c r="C42" s="881"/>
      <c r="D42" s="146"/>
      <c r="E42" s="169">
        <f t="shared" si="16"/>
        <v>0</v>
      </c>
      <c r="F42" s="860"/>
      <c r="G42" s="146"/>
      <c r="H42" s="169">
        <f>SUM(F42:G42)</f>
        <v>0</v>
      </c>
      <c r="I42" s="881"/>
      <c r="J42" s="146"/>
      <c r="K42" s="169">
        <f>SUM(I42:J42)</f>
        <v>0</v>
      </c>
      <c r="L42" s="881"/>
      <c r="M42" s="146"/>
      <c r="N42" s="169">
        <f>SUM(L42:M42)</f>
        <v>0</v>
      </c>
      <c r="O42" s="1121"/>
      <c r="P42" s="383"/>
      <c r="Q42" s="1115">
        <f>SUM(O42:P42)</f>
        <v>0</v>
      </c>
    </row>
    <row r="43" spans="1:17" ht="15">
      <c r="A43" s="160" t="s">
        <v>100</v>
      </c>
      <c r="B43" s="156" t="s">
        <v>379</v>
      </c>
      <c r="C43" s="881"/>
      <c r="D43" s="146"/>
      <c r="E43" s="169">
        <f t="shared" si="16"/>
        <v>0</v>
      </c>
      <c r="F43" s="860"/>
      <c r="G43" s="146"/>
      <c r="H43" s="169">
        <f>SUM(F43:G43)</f>
        <v>0</v>
      </c>
      <c r="I43" s="881"/>
      <c r="J43" s="146"/>
      <c r="K43" s="169">
        <f>SUM(I43:J43)</f>
        <v>0</v>
      </c>
      <c r="L43" s="881"/>
      <c r="M43" s="146"/>
      <c r="N43" s="169">
        <f>SUM(L43:M43)</f>
        <v>0</v>
      </c>
      <c r="O43" s="1121"/>
      <c r="P43" s="383"/>
      <c r="Q43" s="1115">
        <f>SUM(O43:P43)</f>
        <v>0</v>
      </c>
    </row>
    <row r="44" spans="1:17" ht="15.75" thickBot="1">
      <c r="A44" s="161" t="s">
        <v>101</v>
      </c>
      <c r="B44" s="162" t="s">
        <v>175</v>
      </c>
      <c r="C44" s="882"/>
      <c r="D44" s="158"/>
      <c r="E44" s="237">
        <f t="shared" si="16"/>
        <v>0</v>
      </c>
      <c r="F44" s="861"/>
      <c r="G44" s="158"/>
      <c r="H44" s="237">
        <f>SUM(F44:G44)</f>
        <v>0</v>
      </c>
      <c r="I44" s="882"/>
      <c r="J44" s="158"/>
      <c r="K44" s="237">
        <f>SUM(I44:J44)</f>
        <v>0</v>
      </c>
      <c r="L44" s="882"/>
      <c r="M44" s="158"/>
      <c r="N44" s="237">
        <f>SUM(L44:M44)</f>
        <v>0</v>
      </c>
      <c r="O44" s="1123"/>
      <c r="P44" s="384"/>
      <c r="Q44" s="1116">
        <f>SUM(O44:P44)</f>
        <v>0</v>
      </c>
    </row>
    <row r="45" spans="1:17" s="15" customFormat="1" ht="16.5" thickBot="1">
      <c r="A45" s="304">
        <v>2</v>
      </c>
      <c r="B45" s="296" t="s">
        <v>176</v>
      </c>
      <c r="C45" s="338">
        <f>SUM(C41:C44)</f>
        <v>0</v>
      </c>
      <c r="D45" s="305">
        <f aca="true" t="shared" si="18" ref="D45:Q45">SUM(D41:D44)</f>
        <v>0</v>
      </c>
      <c r="E45" s="307">
        <f t="shared" si="18"/>
        <v>0</v>
      </c>
      <c r="F45" s="338">
        <f t="shared" si="18"/>
        <v>0</v>
      </c>
      <c r="G45" s="305">
        <f t="shared" si="18"/>
        <v>0</v>
      </c>
      <c r="H45" s="307">
        <f t="shared" si="18"/>
        <v>0</v>
      </c>
      <c r="I45" s="338">
        <f t="shared" si="18"/>
        <v>0</v>
      </c>
      <c r="J45" s="305">
        <f t="shared" si="18"/>
        <v>0</v>
      </c>
      <c r="K45" s="307">
        <f t="shared" si="18"/>
        <v>0</v>
      </c>
      <c r="L45" s="338">
        <f t="shared" si="18"/>
        <v>0</v>
      </c>
      <c r="M45" s="305">
        <f t="shared" si="18"/>
        <v>0</v>
      </c>
      <c r="N45" s="321">
        <f t="shared" si="18"/>
        <v>0</v>
      </c>
      <c r="O45" s="338">
        <f t="shared" si="18"/>
        <v>0</v>
      </c>
      <c r="P45" s="305">
        <f t="shared" si="18"/>
        <v>0</v>
      </c>
      <c r="Q45" s="311">
        <f t="shared" si="18"/>
        <v>0</v>
      </c>
    </row>
    <row r="46" spans="1:17" s="15" customFormat="1" ht="16.5" thickBot="1">
      <c r="A46" s="304">
        <v>3</v>
      </c>
      <c r="B46" s="296" t="s">
        <v>254</v>
      </c>
      <c r="C46" s="338"/>
      <c r="D46" s="305"/>
      <c r="E46" s="307">
        <f>SUM(C46:D46)</f>
        <v>0</v>
      </c>
      <c r="F46" s="338"/>
      <c r="G46" s="305"/>
      <c r="H46" s="307">
        <f>SUM(F46:G46)</f>
        <v>0</v>
      </c>
      <c r="I46" s="338">
        <v>6483</v>
      </c>
      <c r="J46" s="305"/>
      <c r="K46" s="307">
        <f>SUM(I46:J46)</f>
        <v>6483</v>
      </c>
      <c r="L46" s="338"/>
      <c r="M46" s="305"/>
      <c r="N46" s="321">
        <f>SUM(L46:M46)</f>
        <v>0</v>
      </c>
      <c r="O46" s="338"/>
      <c r="P46" s="305"/>
      <c r="Q46" s="311">
        <f>SUM(O46:P46)</f>
        <v>0</v>
      </c>
    </row>
    <row r="47" spans="1:17" ht="16.5" thickBot="1">
      <c r="A47" s="304">
        <v>4</v>
      </c>
      <c r="B47" s="296" t="s">
        <v>275</v>
      </c>
      <c r="C47" s="338"/>
      <c r="D47" s="305"/>
      <c r="E47" s="307">
        <f>SUM(C47:D47)</f>
        <v>0</v>
      </c>
      <c r="F47" s="338"/>
      <c r="G47" s="305"/>
      <c r="H47" s="307">
        <f>SUM(F47:G47)</f>
        <v>0</v>
      </c>
      <c r="I47" s="338"/>
      <c r="J47" s="305"/>
      <c r="K47" s="307">
        <f>SUM(I47:J47)</f>
        <v>0</v>
      </c>
      <c r="L47" s="338"/>
      <c r="M47" s="305"/>
      <c r="N47" s="321">
        <f>SUM(L47:M47)</f>
        <v>0</v>
      </c>
      <c r="O47" s="338"/>
      <c r="P47" s="305"/>
      <c r="Q47" s="311">
        <f>SUM(O47:P47)</f>
        <v>0</v>
      </c>
    </row>
    <row r="48" spans="1:17" s="731" customFormat="1" ht="15">
      <c r="A48" s="163" t="s">
        <v>98</v>
      </c>
      <c r="B48" s="149" t="s">
        <v>281</v>
      </c>
      <c r="C48" s="1070"/>
      <c r="D48" s="224"/>
      <c r="E48" s="227">
        <f>SUM(C48:D48)</f>
        <v>0</v>
      </c>
      <c r="F48" s="862"/>
      <c r="G48" s="224"/>
      <c r="H48" s="227">
        <f>SUM(F48:G48)</f>
        <v>0</v>
      </c>
      <c r="I48" s="1070"/>
      <c r="J48" s="224"/>
      <c r="K48" s="227">
        <f>SUM(I48:J48)</f>
        <v>0</v>
      </c>
      <c r="L48" s="1070"/>
      <c r="M48" s="224"/>
      <c r="N48" s="227">
        <f>SUM(L48:M48)</f>
        <v>0</v>
      </c>
      <c r="O48" s="1122"/>
      <c r="P48" s="381"/>
      <c r="Q48" s="1111">
        <f>SUM(O48:P48)</f>
        <v>0</v>
      </c>
    </row>
    <row r="49" spans="1:17" ht="15">
      <c r="A49" s="161" t="s">
        <v>99</v>
      </c>
      <c r="B49" s="325" t="s">
        <v>380</v>
      </c>
      <c r="C49" s="881"/>
      <c r="D49" s="146"/>
      <c r="E49" s="169">
        <f>SUM(C49:D49)</f>
        <v>0</v>
      </c>
      <c r="F49" s="860"/>
      <c r="G49" s="146"/>
      <c r="H49" s="169">
        <f>SUM(F49:G49)</f>
        <v>0</v>
      </c>
      <c r="I49" s="881"/>
      <c r="J49" s="146"/>
      <c r="K49" s="169">
        <f>SUM(I49:J49)</f>
        <v>0</v>
      </c>
      <c r="L49" s="881"/>
      <c r="M49" s="146"/>
      <c r="N49" s="169">
        <f>SUM(L49:M49)</f>
        <v>0</v>
      </c>
      <c r="O49" s="1121"/>
      <c r="P49" s="383"/>
      <c r="Q49" s="1115">
        <f>SUM(O49:P49)</f>
        <v>0</v>
      </c>
    </row>
    <row r="50" spans="1:17" ht="15.75" thickBot="1">
      <c r="A50" s="161" t="s">
        <v>100</v>
      </c>
      <c r="B50" s="325" t="s">
        <v>413</v>
      </c>
      <c r="C50" s="881">
        <v>10000</v>
      </c>
      <c r="D50" s="146">
        <v>317343</v>
      </c>
      <c r="E50" s="169">
        <f>SUM(C50:D50)</f>
        <v>327343</v>
      </c>
      <c r="F50" s="860"/>
      <c r="G50" s="146"/>
      <c r="H50" s="169">
        <f>SUM(F50:G50)</f>
        <v>0</v>
      </c>
      <c r="I50" s="881"/>
      <c r="J50" s="146"/>
      <c r="K50" s="169">
        <f>SUM(I50:J50)</f>
        <v>0</v>
      </c>
      <c r="L50" s="881"/>
      <c r="M50" s="146"/>
      <c r="N50" s="169">
        <f>SUM(L50:M50)</f>
        <v>0</v>
      </c>
      <c r="O50" s="1121"/>
      <c r="P50" s="383"/>
      <c r="Q50" s="1115">
        <f>SUM(O50:P50)</f>
        <v>0</v>
      </c>
    </row>
    <row r="51" spans="1:17" s="15" customFormat="1" ht="16.5" thickBot="1">
      <c r="A51" s="304">
        <v>5</v>
      </c>
      <c r="B51" s="296" t="s">
        <v>178</v>
      </c>
      <c r="C51" s="338">
        <f>SUM(C48:C50)</f>
        <v>10000</v>
      </c>
      <c r="D51" s="305">
        <f>SUM(D48:D50)</f>
        <v>317343</v>
      </c>
      <c r="E51" s="307">
        <f aca="true" t="shared" si="19" ref="E51:Q51">SUM(E48:E50)</f>
        <v>327343</v>
      </c>
      <c r="F51" s="338">
        <f t="shared" si="19"/>
        <v>0</v>
      </c>
      <c r="G51" s="305">
        <f t="shared" si="19"/>
        <v>0</v>
      </c>
      <c r="H51" s="307">
        <f t="shared" si="19"/>
        <v>0</v>
      </c>
      <c r="I51" s="338">
        <f t="shared" si="19"/>
        <v>0</v>
      </c>
      <c r="J51" s="305">
        <f t="shared" si="19"/>
        <v>0</v>
      </c>
      <c r="K51" s="307">
        <f t="shared" si="19"/>
        <v>0</v>
      </c>
      <c r="L51" s="338">
        <f t="shared" si="19"/>
        <v>0</v>
      </c>
      <c r="M51" s="305">
        <f t="shared" si="19"/>
        <v>0</v>
      </c>
      <c r="N51" s="307">
        <f t="shared" si="19"/>
        <v>0</v>
      </c>
      <c r="O51" s="338">
        <f t="shared" si="19"/>
        <v>0</v>
      </c>
      <c r="P51" s="305">
        <f t="shared" si="19"/>
        <v>0</v>
      </c>
      <c r="Q51" s="311">
        <f t="shared" si="19"/>
        <v>0</v>
      </c>
    </row>
    <row r="52" spans="1:17" s="15" customFormat="1" ht="16.5" thickBot="1">
      <c r="A52" s="734">
        <v>6</v>
      </c>
      <c r="B52" s="735" t="s">
        <v>285</v>
      </c>
      <c r="C52" s="1073"/>
      <c r="D52" s="330"/>
      <c r="E52" s="323">
        <f>SUM(C52:D52)</f>
        <v>0</v>
      </c>
      <c r="F52" s="324"/>
      <c r="G52" s="330"/>
      <c r="H52" s="323">
        <f>SUM(F52:G52)</f>
        <v>0</v>
      </c>
      <c r="I52" s="1079">
        <v>13794</v>
      </c>
      <c r="J52" s="330"/>
      <c r="K52" s="323">
        <f>SUM(I52:J52)</f>
        <v>13794</v>
      </c>
      <c r="L52" s="1079"/>
      <c r="M52" s="330"/>
      <c r="N52" s="323">
        <f>SUM(L52:M52)</f>
        <v>0</v>
      </c>
      <c r="O52" s="1127"/>
      <c r="P52" s="728"/>
      <c r="Q52" s="1117">
        <f>SUM(O52:P52)</f>
        <v>0</v>
      </c>
    </row>
    <row r="53" spans="1:17" ht="15">
      <c r="A53" s="144" t="s">
        <v>98</v>
      </c>
      <c r="B53" s="145" t="s">
        <v>382</v>
      </c>
      <c r="C53" s="1074"/>
      <c r="D53" s="147"/>
      <c r="E53" s="203">
        <f>SUM(C53:D53)</f>
        <v>0</v>
      </c>
      <c r="F53" s="864"/>
      <c r="G53" s="147"/>
      <c r="H53" s="203">
        <f>SUM(F53:G53)</f>
        <v>0</v>
      </c>
      <c r="I53" s="1074"/>
      <c r="J53" s="147"/>
      <c r="K53" s="203">
        <f>SUM(I53:J53)</f>
        <v>0</v>
      </c>
      <c r="L53" s="1074"/>
      <c r="M53" s="147"/>
      <c r="N53" s="203">
        <f>SUM(L53:M53)</f>
        <v>0</v>
      </c>
      <c r="O53" s="1128"/>
      <c r="P53" s="392"/>
      <c r="Q53" s="1118">
        <f>SUM(O53:P53)</f>
        <v>0</v>
      </c>
    </row>
    <row r="54" spans="1:17" ht="15.75" thickBot="1">
      <c r="A54" s="326" t="s">
        <v>99</v>
      </c>
      <c r="B54" s="149" t="s">
        <v>383</v>
      </c>
      <c r="C54" s="1071"/>
      <c r="D54" s="312"/>
      <c r="E54" s="315">
        <f>SUM(C54:D54)</f>
        <v>0</v>
      </c>
      <c r="F54" s="164"/>
      <c r="G54" s="312"/>
      <c r="H54" s="315">
        <f>SUM(F54:G54)</f>
        <v>0</v>
      </c>
      <c r="I54" s="1071"/>
      <c r="J54" s="312"/>
      <c r="K54" s="315">
        <f>SUM(I54:J54)</f>
        <v>0</v>
      </c>
      <c r="L54" s="1071"/>
      <c r="M54" s="312"/>
      <c r="N54" s="315">
        <f>SUM(L54:M54)</f>
        <v>0</v>
      </c>
      <c r="O54" s="1125"/>
      <c r="P54" s="387"/>
      <c r="Q54" s="1113">
        <f>SUM(O54:P54)</f>
        <v>0</v>
      </c>
    </row>
    <row r="55" spans="1:17" s="15" customFormat="1" ht="17.25" customHeight="1" thickBot="1">
      <c r="A55" s="304">
        <v>7</v>
      </c>
      <c r="B55" s="296" t="s">
        <v>181</v>
      </c>
      <c r="C55" s="338">
        <f>SUM(C53:C54)</f>
        <v>0</v>
      </c>
      <c r="D55" s="305">
        <f aca="true" t="shared" si="20" ref="D55:Q55">SUM(D53:D54)</f>
        <v>0</v>
      </c>
      <c r="E55" s="307">
        <f t="shared" si="20"/>
        <v>0</v>
      </c>
      <c r="F55" s="338">
        <f t="shared" si="20"/>
        <v>0</v>
      </c>
      <c r="G55" s="305">
        <f t="shared" si="20"/>
        <v>0</v>
      </c>
      <c r="H55" s="307">
        <f t="shared" si="20"/>
        <v>0</v>
      </c>
      <c r="I55" s="338">
        <f t="shared" si="20"/>
        <v>0</v>
      </c>
      <c r="J55" s="305">
        <f t="shared" si="20"/>
        <v>0</v>
      </c>
      <c r="K55" s="307">
        <f t="shared" si="20"/>
        <v>0</v>
      </c>
      <c r="L55" s="338">
        <f t="shared" si="20"/>
        <v>0</v>
      </c>
      <c r="M55" s="305">
        <f t="shared" si="20"/>
        <v>0</v>
      </c>
      <c r="N55" s="307">
        <f t="shared" si="20"/>
        <v>0</v>
      </c>
      <c r="O55" s="1081">
        <f t="shared" si="20"/>
        <v>0</v>
      </c>
      <c r="P55" s="1083">
        <f t="shared" si="20"/>
        <v>0</v>
      </c>
      <c r="Q55" s="1085">
        <f t="shared" si="20"/>
        <v>0</v>
      </c>
    </row>
    <row r="56" spans="1:17" s="66" customFormat="1" ht="19.5" customHeight="1" thickBot="1">
      <c r="A56" s="691">
        <v>8</v>
      </c>
      <c r="B56" s="692" t="s">
        <v>46</v>
      </c>
      <c r="C56" s="1106">
        <f>C34-C40-C45-C46-C47-C51-C52-C55-C57-C58-C59</f>
        <v>3353438</v>
      </c>
      <c r="D56" s="1107">
        <f>D34-D40-D45-D46-D47-D51-D52-D55-D57-D58-D59</f>
        <v>343488</v>
      </c>
      <c r="E56" s="1104">
        <f aca="true" t="shared" si="21" ref="E56:Q56">E34-E40-E45-E46-E47-E51-E52-E55-E57-E58-E59</f>
        <v>3696926</v>
      </c>
      <c r="F56" s="1106">
        <f t="shared" si="21"/>
        <v>7470</v>
      </c>
      <c r="G56" s="1107">
        <f t="shared" si="21"/>
        <v>0</v>
      </c>
      <c r="H56" s="1104">
        <f t="shared" si="21"/>
        <v>7470</v>
      </c>
      <c r="I56" s="1106">
        <f t="shared" si="21"/>
        <v>65646</v>
      </c>
      <c r="J56" s="1107">
        <f t="shared" si="21"/>
        <v>0</v>
      </c>
      <c r="K56" s="1104">
        <f t="shared" si="21"/>
        <v>65646</v>
      </c>
      <c r="L56" s="1106">
        <f t="shared" si="21"/>
        <v>0</v>
      </c>
      <c r="M56" s="1107">
        <f t="shared" si="21"/>
        <v>0</v>
      </c>
      <c r="N56" s="1104">
        <f t="shared" si="21"/>
        <v>0</v>
      </c>
      <c r="O56" s="1129">
        <f t="shared" si="21"/>
        <v>15333</v>
      </c>
      <c r="P56" s="1131">
        <f t="shared" si="21"/>
        <v>0</v>
      </c>
      <c r="Q56" s="1119">
        <f t="shared" si="21"/>
        <v>15333</v>
      </c>
    </row>
    <row r="57" spans="1:17" s="15" customFormat="1" ht="15.75">
      <c r="A57" s="327" t="s">
        <v>385</v>
      </c>
      <c r="B57" s="328" t="s">
        <v>184</v>
      </c>
      <c r="C57" s="1076"/>
      <c r="D57" s="318"/>
      <c r="E57" s="1105">
        <f>SUM(C57:D57)</f>
        <v>0</v>
      </c>
      <c r="F57" s="865"/>
      <c r="G57" s="318"/>
      <c r="H57" s="1105">
        <f>SUM(F57:G57)</f>
        <v>0</v>
      </c>
      <c r="I57" s="1076"/>
      <c r="J57" s="318"/>
      <c r="K57" s="1105">
        <f>SUM(I57:J57)</f>
        <v>0</v>
      </c>
      <c r="L57" s="1076"/>
      <c r="M57" s="318"/>
      <c r="N57" s="1105">
        <f>SUM(L57:M57)</f>
        <v>0</v>
      </c>
      <c r="O57" s="1130"/>
      <c r="P57" s="395"/>
      <c r="Q57" s="1120">
        <f>SUM(O57:P57)</f>
        <v>0</v>
      </c>
    </row>
    <row r="58" spans="1:17" s="15" customFormat="1" ht="15.75">
      <c r="A58" s="327" t="s">
        <v>183</v>
      </c>
      <c r="B58" s="328" t="s">
        <v>384</v>
      </c>
      <c r="C58" s="317"/>
      <c r="D58" s="318"/>
      <c r="E58" s="393">
        <f>SUM(C58:D58)</f>
        <v>0</v>
      </c>
      <c r="F58" s="322"/>
      <c r="G58" s="318"/>
      <c r="H58" s="393">
        <f>SUM(F58:G58)</f>
        <v>0</v>
      </c>
      <c r="I58" s="1076"/>
      <c r="J58" s="318"/>
      <c r="K58" s="1105">
        <f>SUM(I58:J58)</f>
        <v>0</v>
      </c>
      <c r="L58" s="1076"/>
      <c r="M58" s="318"/>
      <c r="N58" s="1105">
        <f>SUM(L58:M58)</f>
        <v>0</v>
      </c>
      <c r="O58" s="1130"/>
      <c r="P58" s="395"/>
      <c r="Q58" s="1120">
        <f>SUM(O58:P58)</f>
        <v>0</v>
      </c>
    </row>
    <row r="59" spans="1:17" s="15" customFormat="1" ht="16.5" thickBot="1">
      <c r="A59" s="342">
        <v>10</v>
      </c>
      <c r="B59" s="343"/>
      <c r="C59" s="344"/>
      <c r="D59" s="345"/>
      <c r="E59" s="397">
        <f>SUM(C59:D59)</f>
        <v>0</v>
      </c>
      <c r="F59" s="347"/>
      <c r="G59" s="345"/>
      <c r="H59" s="398">
        <f>SUM(F59:G59)</f>
        <v>0</v>
      </c>
      <c r="I59" s="344"/>
      <c r="J59" s="345"/>
      <c r="K59" s="398">
        <f>SUM(I59:J59)</f>
        <v>0</v>
      </c>
      <c r="L59" s="344"/>
      <c r="M59" s="345"/>
      <c r="N59" s="398">
        <f>SUM(L59:M59)</f>
        <v>0</v>
      </c>
      <c r="O59" s="399"/>
      <c r="P59" s="400"/>
      <c r="Q59" s="401">
        <f>SUM(O59:P59)</f>
        <v>0</v>
      </c>
    </row>
    <row r="60" spans="1:17" s="34" customFormat="1" ht="17.25" thickBot="1" thickTop="1">
      <c r="A60" s="334" t="s">
        <v>109</v>
      </c>
      <c r="B60" s="336" t="s">
        <v>182</v>
      </c>
      <c r="C60" s="748">
        <f>C40+C45+C46+C47+C51+C52+C55+C56+C57+C58+C59</f>
        <v>3363438</v>
      </c>
      <c r="D60" s="749">
        <f aca="true" t="shared" si="22" ref="D60:Q60">D40+D45+D46+D47+D51+D52+D55+D56+D57+D58+D59</f>
        <v>735713</v>
      </c>
      <c r="E60" s="747">
        <f t="shared" si="22"/>
        <v>4099151</v>
      </c>
      <c r="F60" s="355">
        <f t="shared" si="22"/>
        <v>22470</v>
      </c>
      <c r="G60" s="335">
        <f t="shared" si="22"/>
        <v>0</v>
      </c>
      <c r="H60" s="747">
        <f t="shared" si="22"/>
        <v>22470</v>
      </c>
      <c r="I60" s="748">
        <f t="shared" si="22"/>
        <v>85923</v>
      </c>
      <c r="J60" s="749">
        <f t="shared" si="22"/>
        <v>0</v>
      </c>
      <c r="K60" s="747">
        <f t="shared" si="22"/>
        <v>85923</v>
      </c>
      <c r="L60" s="355">
        <f t="shared" si="22"/>
        <v>0</v>
      </c>
      <c r="M60" s="335">
        <f t="shared" si="22"/>
        <v>0</v>
      </c>
      <c r="N60" s="747">
        <f t="shared" si="22"/>
        <v>0</v>
      </c>
      <c r="O60" s="355">
        <f t="shared" si="22"/>
        <v>15333</v>
      </c>
      <c r="P60" s="335">
        <f t="shared" si="22"/>
        <v>0</v>
      </c>
      <c r="Q60" s="365">
        <f t="shared" si="22"/>
        <v>15333</v>
      </c>
    </row>
    <row r="61" spans="1:17" ht="13.5" customHeight="1" thickBot="1" thickTop="1">
      <c r="A61" s="170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402"/>
      <c r="P61" s="402"/>
      <c r="Q61" s="402"/>
    </row>
    <row r="62" spans="1:17" ht="16.5" thickBot="1" thickTop="1">
      <c r="A62" s="174"/>
      <c r="B62" s="175" t="s">
        <v>593</v>
      </c>
      <c r="C62" s="204">
        <v>0</v>
      </c>
      <c r="D62" s="205"/>
      <c r="E62" s="912">
        <v>0</v>
      </c>
      <c r="F62" s="913"/>
      <c r="G62" s="403"/>
      <c r="H62" s="404">
        <f>SUM(F62:G62)</f>
        <v>0</v>
      </c>
      <c r="I62" s="913"/>
      <c r="J62" s="403"/>
      <c r="K62" s="404">
        <f>SUM(I62:J62)</f>
        <v>0</v>
      </c>
      <c r="L62" s="204"/>
      <c r="M62" s="403"/>
      <c r="N62" s="404">
        <f>SUM(L62:M62)</f>
        <v>0</v>
      </c>
      <c r="O62" s="406"/>
      <c r="P62" s="914"/>
      <c r="Q62" s="408">
        <f>SUM(O62:P62)</f>
        <v>0</v>
      </c>
    </row>
    <row r="63" spans="1:17" ht="16.5" thickBot="1" thickTop="1">
      <c r="A63" s="174"/>
      <c r="B63" s="175" t="s">
        <v>594</v>
      </c>
      <c r="C63" s="204"/>
      <c r="D63" s="205"/>
      <c r="E63" s="912">
        <v>0</v>
      </c>
      <c r="F63" s="913">
        <v>10</v>
      </c>
      <c r="G63" s="403"/>
      <c r="H63" s="404">
        <f>SUM(F63:G63)</f>
        <v>10</v>
      </c>
      <c r="I63" s="913"/>
      <c r="J63" s="403"/>
      <c r="K63" s="404">
        <f>SUM(I63:J63)</f>
        <v>0</v>
      </c>
      <c r="L63" s="204"/>
      <c r="M63" s="403"/>
      <c r="N63" s="404">
        <f>SUM(L63:M63)</f>
        <v>0</v>
      </c>
      <c r="O63" s="406"/>
      <c r="P63" s="914"/>
      <c r="Q63" s="408">
        <f>SUM(O63:P63)</f>
        <v>0</v>
      </c>
    </row>
    <row r="64" ht="16.5" thickTop="1">
      <c r="A64" s="409"/>
    </row>
    <row r="65" ht="15.75">
      <c r="A65" s="409"/>
    </row>
  </sheetData>
  <sheetProtection/>
  <mergeCells count="7">
    <mergeCell ref="A4:Q4"/>
    <mergeCell ref="A5:Q5"/>
    <mergeCell ref="C7:E7"/>
    <mergeCell ref="F7:H7"/>
    <mergeCell ref="I7:K7"/>
    <mergeCell ref="L7:N7"/>
    <mergeCell ref="O7:Q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XXII. ker. Önkormányzat</dc:creator>
  <cp:keywords/>
  <dc:description/>
  <cp:lastModifiedBy>Kisfaludi Emese</cp:lastModifiedBy>
  <cp:lastPrinted>2020-11-12T14:11:26Z</cp:lastPrinted>
  <dcterms:created xsi:type="dcterms:W3CDTF">2001-11-27T10:09:29Z</dcterms:created>
  <dcterms:modified xsi:type="dcterms:W3CDTF">2020-11-12T16:36:54Z</dcterms:modified>
  <cp:category/>
  <cp:version/>
  <cp:contentType/>
  <cp:contentStatus/>
</cp:coreProperties>
</file>