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49" i="1"/>
  <c r="C48"/>
  <c r="O47"/>
  <c r="M47"/>
  <c r="M50" s="1"/>
  <c r="I47"/>
  <c r="E47"/>
  <c r="E50" s="1"/>
  <c r="D47"/>
  <c r="C46"/>
  <c r="C45"/>
  <c r="C44"/>
  <c r="C43"/>
  <c r="O42"/>
  <c r="N42"/>
  <c r="N47" s="1"/>
  <c r="M42"/>
  <c r="L42"/>
  <c r="L47" s="1"/>
  <c r="K42"/>
  <c r="J42"/>
  <c r="I42"/>
  <c r="H42"/>
  <c r="H47" s="1"/>
  <c r="G42"/>
  <c r="F42"/>
  <c r="F47" s="1"/>
  <c r="K41"/>
  <c r="K47" s="1"/>
  <c r="K50" s="1"/>
  <c r="J41"/>
  <c r="J47" s="1"/>
  <c r="G41"/>
  <c r="G47" s="1"/>
  <c r="G50" s="1"/>
  <c r="C39"/>
  <c r="C38"/>
  <c r="O37"/>
  <c r="N37"/>
  <c r="M37"/>
  <c r="L37"/>
  <c r="K37"/>
  <c r="J37"/>
  <c r="I37"/>
  <c r="H37"/>
  <c r="G37"/>
  <c r="F37"/>
  <c r="E37"/>
  <c r="D37"/>
  <c r="C37" s="1"/>
  <c r="O36"/>
  <c r="N36"/>
  <c r="M36"/>
  <c r="M40" s="1"/>
  <c r="L36"/>
  <c r="K36"/>
  <c r="K40" s="1"/>
  <c r="J36"/>
  <c r="I36"/>
  <c r="I40" s="1"/>
  <c r="H36"/>
  <c r="G36"/>
  <c r="G40" s="1"/>
  <c r="F36"/>
  <c r="E36"/>
  <c r="E40" s="1"/>
  <c r="D36"/>
  <c r="C36"/>
  <c r="O35"/>
  <c r="N35"/>
  <c r="M35"/>
  <c r="L35"/>
  <c r="K35"/>
  <c r="J35"/>
  <c r="I35"/>
  <c r="H35"/>
  <c r="G35"/>
  <c r="F35"/>
  <c r="E35"/>
  <c r="D35"/>
  <c r="C35" s="1"/>
  <c r="O34"/>
  <c r="O40" s="1"/>
  <c r="N34"/>
  <c r="N40" s="1"/>
  <c r="L34"/>
  <c r="L40" s="1"/>
  <c r="K34"/>
  <c r="J34"/>
  <c r="J40" s="1"/>
  <c r="I34"/>
  <c r="H34"/>
  <c r="H40" s="1"/>
  <c r="G34"/>
  <c r="F34"/>
  <c r="F40" s="1"/>
  <c r="E34"/>
  <c r="D34"/>
  <c r="C34" s="1"/>
  <c r="D33"/>
  <c r="C33" s="1"/>
  <c r="D32"/>
  <c r="D40" s="1"/>
  <c r="D50" s="1"/>
  <c r="C22"/>
  <c r="C21"/>
  <c r="O20"/>
  <c r="N20"/>
  <c r="M20"/>
  <c r="L20"/>
  <c r="K20"/>
  <c r="J20"/>
  <c r="I20"/>
  <c r="H20"/>
  <c r="G20"/>
  <c r="F20"/>
  <c r="E20"/>
  <c r="D20"/>
  <c r="C19"/>
  <c r="C18"/>
  <c r="C17"/>
  <c r="C16"/>
  <c r="C20" s="1"/>
  <c r="C13"/>
  <c r="C12"/>
  <c r="C11"/>
  <c r="C10"/>
  <c r="O9"/>
  <c r="N9"/>
  <c r="M9"/>
  <c r="L9"/>
  <c r="K9"/>
  <c r="J9"/>
  <c r="I9"/>
  <c r="H9"/>
  <c r="G9"/>
  <c r="F9"/>
  <c r="E9"/>
  <c r="D9"/>
  <c r="C9" s="1"/>
  <c r="O8"/>
  <c r="O14" s="1"/>
  <c r="O23" s="1"/>
  <c r="N8"/>
  <c r="N14" s="1"/>
  <c r="N23" s="1"/>
  <c r="M8"/>
  <c r="M14" s="1"/>
  <c r="M23" s="1"/>
  <c r="L8"/>
  <c r="L14" s="1"/>
  <c r="L23" s="1"/>
  <c r="K8"/>
  <c r="K14" s="1"/>
  <c r="K23" s="1"/>
  <c r="J8"/>
  <c r="J14" s="1"/>
  <c r="J23" s="1"/>
  <c r="I8"/>
  <c r="I14" s="1"/>
  <c r="I23" s="1"/>
  <c r="H8"/>
  <c r="H14" s="1"/>
  <c r="H23" s="1"/>
  <c r="G8"/>
  <c r="G14" s="1"/>
  <c r="G23" s="1"/>
  <c r="F8"/>
  <c r="F14" s="1"/>
  <c r="F23" s="1"/>
  <c r="E8"/>
  <c r="E14" s="1"/>
  <c r="E23" s="1"/>
  <c r="D8"/>
  <c r="D14" s="1"/>
  <c r="D23" s="1"/>
  <c r="C8"/>
  <c r="C14" l="1"/>
  <c r="C23" s="1"/>
  <c r="J50"/>
  <c r="F50"/>
  <c r="H50"/>
  <c r="L50"/>
  <c r="N50"/>
  <c r="I50"/>
  <c r="O50"/>
  <c r="C32"/>
  <c r="C40" s="1"/>
  <c r="C41"/>
  <c r="C47" s="1"/>
  <c r="C50" s="1"/>
  <c r="C42"/>
</calcChain>
</file>

<file path=xl/sharedStrings.xml><?xml version="1.0" encoding="utf-8"?>
<sst xmlns="http://schemas.openxmlformats.org/spreadsheetml/2006/main" count="102" uniqueCount="85">
  <si>
    <t xml:space="preserve">  Önkormányzat</t>
  </si>
  <si>
    <t>2018. évi várható bevételi előirányzatainak teljesüléséről</t>
  </si>
  <si>
    <t xml:space="preserve">Előirányzat-felhasználási ütemterv </t>
  </si>
  <si>
    <t>Ft</t>
  </si>
  <si>
    <t>Bevételek</t>
  </si>
  <si>
    <t>2018. 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</si>
  <si>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</si>
  <si>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</si>
  <si>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</si>
  <si>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</si>
  <si>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</si>
  <si>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</si>
  <si>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</si>
  <si>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</si>
  <si>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</si>
  <si>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</si>
  <si>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</si>
  <si>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</si>
  <si>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</t>
  </si>
  <si>
    <t>Működési  bevételek</t>
  </si>
  <si>
    <t>2.</t>
  </si>
  <si>
    <t>Közhatalmi bevételek</t>
  </si>
  <si>
    <t>Önkormányzatok működési támogatása</t>
  </si>
  <si>
    <t>4.</t>
  </si>
  <si>
    <t>Egyéb működési célú támogatás ÁHT-n belülről</t>
  </si>
  <si>
    <t>5.</t>
  </si>
  <si>
    <t>Működési célú visszatérítendő támogatások</t>
  </si>
  <si>
    <t>6.</t>
  </si>
  <si>
    <t>Elvonások és befizetések bevételei</t>
  </si>
  <si>
    <t>7.</t>
  </si>
  <si>
    <t xml:space="preserve">Működési bevételek </t>
  </si>
  <si>
    <t>8.</t>
  </si>
  <si>
    <t xml:space="preserve">Felhalmozási bevételek    </t>
  </si>
  <si>
    <t>9.</t>
  </si>
  <si>
    <t>Felhalmozási célú kölcsönök visszatér. ÁHT-n kívülről</t>
  </si>
  <si>
    <t>10.</t>
  </si>
  <si>
    <t>Egyéb felhalmozási célú tám. bevételei ÁHT-n belülről</t>
  </si>
  <si>
    <t>11.</t>
  </si>
  <si>
    <t xml:space="preserve">Egyéb felhalmozási célú átvett pénzeszköz </t>
  </si>
  <si>
    <t>12.</t>
  </si>
  <si>
    <t>13.</t>
  </si>
  <si>
    <t>Hitelek, kölcsönök bevételei</t>
  </si>
  <si>
    <t>14.</t>
  </si>
  <si>
    <t>Finanszírozási bevételek</t>
  </si>
  <si>
    <t>15.</t>
  </si>
  <si>
    <t xml:space="preserve">Összes bevétel </t>
  </si>
  <si>
    <t xml:space="preserve"> </t>
  </si>
  <si>
    <t>2018. évi várható kiadási előirányzatainak teljesüléséről</t>
  </si>
  <si>
    <t>Kiadások</t>
  </si>
  <si>
    <t>16.</t>
  </si>
  <si>
    <t>Személyi juttatások</t>
  </si>
  <si>
    <t>17.</t>
  </si>
  <si>
    <t>Munkaadókat terhelő járulékok és szoc hozzájárulási adó</t>
  </si>
  <si>
    <t>18.</t>
  </si>
  <si>
    <t>Dologi kiadások</t>
  </si>
  <si>
    <t>19.</t>
  </si>
  <si>
    <t>Egyéb működési célú tám. ÁHT-n belülre</t>
  </si>
  <si>
    <t>20.</t>
  </si>
  <si>
    <t>Egyéb működési célú támogatás Áht-n kívülre</t>
  </si>
  <si>
    <t>21.</t>
  </si>
  <si>
    <t>Ellátottak pénzbeli juttatásai</t>
  </si>
  <si>
    <t>22.</t>
  </si>
  <si>
    <t>23.</t>
  </si>
  <si>
    <t>Tartalékok</t>
  </si>
  <si>
    <t>24.</t>
  </si>
  <si>
    <t xml:space="preserve">Működési kiadások </t>
  </si>
  <si>
    <t>25.</t>
  </si>
  <si>
    <t>Felújítások</t>
  </si>
  <si>
    <t>26.</t>
  </si>
  <si>
    <t>Beruházások</t>
  </si>
  <si>
    <t>Részesedések bszerzése</t>
  </si>
  <si>
    <t>27.</t>
  </si>
  <si>
    <t>Egyéb felhalmozási célú tám.ÁHT-n belülre</t>
  </si>
  <si>
    <t>28.</t>
  </si>
  <si>
    <t>Felhalmozási célú visszatérítendőkölcsön ÁHT-n kívülre</t>
  </si>
  <si>
    <t>29.</t>
  </si>
  <si>
    <t>Egyéb felhalmozási célú tám.ÁHT-n kívülre</t>
  </si>
  <si>
    <t>30.</t>
  </si>
  <si>
    <t xml:space="preserve">Felhalmozási kiadások összesen </t>
  </si>
  <si>
    <t>31.</t>
  </si>
  <si>
    <t>Hitelelek, kölcsönök tőkeösszegének törlesztése</t>
  </si>
  <si>
    <t>32.</t>
  </si>
  <si>
    <t>Finanszírozási kiadások</t>
  </si>
  <si>
    <t>33.</t>
  </si>
  <si>
    <t xml:space="preserve">Összes kiadás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</si>
</sst>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 shrinkToFi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shrinkToFit="1"/>
    </xf>
    <xf numFmtId="3" fontId="3" fillId="0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 shrinkToFit="1"/>
    </xf>
    <xf numFmtId="3" fontId="3" fillId="0" borderId="13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 shrinkToFi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0" fontId="5" fillId="2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3" fontId="3" fillId="2" borderId="28" xfId="0" applyNumberFormat="1" applyFont="1" applyFill="1" applyBorder="1" applyAlignment="1">
      <alignment vertical="center" wrapText="1"/>
    </xf>
    <xf numFmtId="3" fontId="3" fillId="2" borderId="29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3" fontId="3" fillId="4" borderId="32" xfId="0" applyNumberFormat="1" applyFont="1" applyFill="1" applyBorder="1" applyAlignment="1">
      <alignment vertical="center" wrapText="1"/>
    </xf>
    <xf numFmtId="3" fontId="3" fillId="0" borderId="33" xfId="0" applyNumberFormat="1" applyFont="1" applyFill="1" applyBorder="1" applyAlignment="1">
      <alignment vertical="center" wrapText="1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E1" workbookViewId="0">
      <selection sqref="A1:R52"/>
    </sheetView>
  </sheetViews>
  <sheetFormatPr defaultRowHeight="15"/>
  <cols>
    <col min="3" max="3" width="14.85546875" customWidth="1"/>
    <col min="4" max="4" width="15.140625" customWidth="1"/>
    <col min="5" max="5" width="14.5703125" customWidth="1"/>
    <col min="6" max="6" width="15.140625" customWidth="1"/>
    <col min="7" max="8" width="16" customWidth="1"/>
    <col min="9" max="9" width="17.140625" customWidth="1"/>
    <col min="10" max="11" width="16.28515625" customWidth="1"/>
    <col min="12" max="12" width="17" customWidth="1"/>
    <col min="13" max="13" width="18.28515625" customWidth="1"/>
    <col min="14" max="14" width="17.140625" customWidth="1"/>
    <col min="15" max="15" width="17.5703125" customWidth="1"/>
  </cols>
  <sheetData>
    <row r="1" spans="1:18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</row>
    <row r="2" spans="1:18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</row>
    <row r="3" spans="1:18" ht="2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</row>
    <row r="4" spans="1:18">
      <c r="A4" s="5"/>
      <c r="B4" s="6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2"/>
      <c r="Q4" s="2"/>
      <c r="R4" s="2"/>
    </row>
    <row r="5" spans="1:18" ht="15.75" thickBot="1">
      <c r="A5" s="9"/>
      <c r="B5" s="10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11"/>
      <c r="O5" s="13" t="s">
        <v>3</v>
      </c>
      <c r="P5" s="2"/>
      <c r="Q5" s="2"/>
      <c r="R5" s="2"/>
    </row>
    <row r="6" spans="1:18" ht="29.25" thickBot="1">
      <c r="A6" s="14"/>
      <c r="B6" s="14" t="s">
        <v>4</v>
      </c>
      <c r="C6" s="15" t="s">
        <v>5</v>
      </c>
      <c r="D6" s="16" t="s">
        <v>6</v>
      </c>
      <c r="E6" s="17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9" t="s">
        <v>17</v>
      </c>
      <c r="P6" s="2"/>
      <c r="Q6" s="2"/>
      <c r="R6" s="2"/>
    </row>
    <row r="7" spans="1:18" ht="15.75" thickBot="1">
      <c r="A7" s="14">
        <v>1</v>
      </c>
      <c r="B7" s="14">
        <v>2</v>
      </c>
      <c r="C7" s="15">
        <v>3</v>
      </c>
      <c r="D7" s="16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9">
        <v>15</v>
      </c>
      <c r="P7" s="2"/>
      <c r="Q7" s="2"/>
      <c r="R7" s="2"/>
    </row>
    <row r="8" spans="1:18" ht="25.5">
      <c r="A8" s="20" t="s">
        <v>18</v>
      </c>
      <c r="B8" s="21" t="s">
        <v>19</v>
      </c>
      <c r="C8" s="22">
        <f t="shared" ref="C8:C13" si="0">SUM(D8:O8)</f>
        <v>145858500</v>
      </c>
      <c r="D8" s="23">
        <f>142858500/12</f>
        <v>11904875</v>
      </c>
      <c r="E8" s="23">
        <f t="shared" ref="E8:O8" si="1">142858500/12</f>
        <v>11904875</v>
      </c>
      <c r="F8" s="23">
        <f>142858500/12</f>
        <v>11904875</v>
      </c>
      <c r="G8" s="23">
        <f t="shared" si="1"/>
        <v>11904875</v>
      </c>
      <c r="H8" s="23">
        <f>142858500/12+1000000</f>
        <v>12904875</v>
      </c>
      <c r="I8" s="23">
        <f t="shared" si="1"/>
        <v>11904875</v>
      </c>
      <c r="J8" s="23">
        <f>142858500/12+1000000</f>
        <v>12904875</v>
      </c>
      <c r="K8" s="23">
        <f t="shared" si="1"/>
        <v>11904875</v>
      </c>
      <c r="L8" s="23">
        <f>142858500/12+1000000</f>
        <v>12904875</v>
      </c>
      <c r="M8" s="23">
        <f t="shared" si="1"/>
        <v>11904875</v>
      </c>
      <c r="N8" s="23">
        <f t="shared" si="1"/>
        <v>11904875</v>
      </c>
      <c r="O8" s="23">
        <f t="shared" si="1"/>
        <v>11904875</v>
      </c>
      <c r="P8" s="2"/>
      <c r="Q8" s="2"/>
      <c r="R8" s="2"/>
    </row>
    <row r="9" spans="1:18" ht="38.25">
      <c r="A9" s="24" t="s">
        <v>20</v>
      </c>
      <c r="B9" s="25" t="s">
        <v>21</v>
      </c>
      <c r="C9" s="26">
        <f t="shared" si="0"/>
        <v>454000000</v>
      </c>
      <c r="D9" s="27">
        <f>118000000/12-1000000</f>
        <v>8833333.333333334</v>
      </c>
      <c r="E9" s="27">
        <f>118000000/12+2000000</f>
        <v>11833333.333333334</v>
      </c>
      <c r="F9" s="27">
        <f>118000000/12+166500000</f>
        <v>176333333.33333334</v>
      </c>
      <c r="G9" s="27">
        <f>118000000/12+1000000</f>
        <v>10833333.333333334</v>
      </c>
      <c r="H9" s="27">
        <f>118000000/12</f>
        <v>9833333.333333334</v>
      </c>
      <c r="I9" s="27">
        <f>118000000/12</f>
        <v>9833333.333333334</v>
      </c>
      <c r="J9" s="27">
        <f>118000000/12</f>
        <v>9833333.333333334</v>
      </c>
      <c r="K9" s="27">
        <f>118000000/12+2000000</f>
        <v>11833333.333333334</v>
      </c>
      <c r="L9" s="27">
        <f>118000000/12+166500000</f>
        <v>176333333.33333334</v>
      </c>
      <c r="M9" s="27">
        <f>118000000/12+1000000</f>
        <v>10833333.333333334</v>
      </c>
      <c r="N9" s="27">
        <f>118000000/12-1000000</f>
        <v>8833333.333333334</v>
      </c>
      <c r="O9" s="27">
        <f>118000000/12-1000000</f>
        <v>8833333.333333334</v>
      </c>
      <c r="P9" s="2"/>
      <c r="Q9" s="2"/>
      <c r="R9" s="2"/>
    </row>
    <row r="10" spans="1:18" ht="63.75">
      <c r="A10" s="24">
        <v>3</v>
      </c>
      <c r="B10" s="25" t="s">
        <v>22</v>
      </c>
      <c r="C10" s="26">
        <f t="shared" si="0"/>
        <v>413564935</v>
      </c>
      <c r="D10" s="27">
        <v>34463745</v>
      </c>
      <c r="E10" s="27">
        <v>34463745</v>
      </c>
      <c r="F10" s="27">
        <v>34463745</v>
      </c>
      <c r="G10" s="27">
        <v>34463740</v>
      </c>
      <c r="H10" s="27">
        <v>34463745</v>
      </c>
      <c r="I10" s="27">
        <v>34463745</v>
      </c>
      <c r="J10" s="27">
        <v>34463745</v>
      </c>
      <c r="K10" s="27">
        <v>34463745</v>
      </c>
      <c r="L10" s="27">
        <v>34463745</v>
      </c>
      <c r="M10" s="27">
        <v>34463745</v>
      </c>
      <c r="N10" s="27">
        <v>34463745</v>
      </c>
      <c r="O10" s="27">
        <v>34463745</v>
      </c>
      <c r="P10" s="2"/>
      <c r="Q10" s="2"/>
      <c r="R10" s="2"/>
    </row>
    <row r="11" spans="1:18">
      <c r="A11" s="24" t="s">
        <v>23</v>
      </c>
      <c r="B11" s="28" t="s">
        <v>24</v>
      </c>
      <c r="C11" s="26">
        <f t="shared" si="0"/>
        <v>831503610</v>
      </c>
      <c r="D11" s="27"/>
      <c r="E11" s="29"/>
      <c r="F11" s="29">
        <v>350000000</v>
      </c>
      <c r="G11" s="29">
        <v>16567451</v>
      </c>
      <c r="H11" s="29"/>
      <c r="I11" s="29"/>
      <c r="J11" s="29">
        <v>264000000</v>
      </c>
      <c r="K11" s="29"/>
      <c r="L11" s="29"/>
      <c r="M11" s="29"/>
      <c r="N11" s="29">
        <v>200936159</v>
      </c>
      <c r="O11" s="30"/>
      <c r="P11" s="2"/>
      <c r="Q11" s="2"/>
      <c r="R11" s="2"/>
    </row>
    <row r="12" spans="1:18" ht="76.5">
      <c r="A12" s="24" t="s">
        <v>25</v>
      </c>
      <c r="B12" s="31" t="s">
        <v>26</v>
      </c>
      <c r="C12" s="26">
        <f t="shared" si="0"/>
        <v>3000000</v>
      </c>
      <c r="D12" s="27"/>
      <c r="E12" s="27"/>
      <c r="F12" s="27">
        <v>2000000</v>
      </c>
      <c r="G12" s="27"/>
      <c r="H12" s="27"/>
      <c r="I12" s="27"/>
      <c r="J12" s="27"/>
      <c r="K12" s="27"/>
      <c r="L12" s="27"/>
      <c r="M12" s="27"/>
      <c r="N12" s="27">
        <v>1000000</v>
      </c>
      <c r="O12" s="30"/>
      <c r="P12" s="2"/>
      <c r="Q12" s="2"/>
      <c r="R12" s="2"/>
    </row>
    <row r="13" spans="1:18" ht="64.5" thickBot="1">
      <c r="A13" s="24" t="s">
        <v>27</v>
      </c>
      <c r="B13" s="25" t="s">
        <v>28</v>
      </c>
      <c r="C13" s="26">
        <f t="shared" si="0"/>
        <v>0</v>
      </c>
      <c r="D13" s="27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"/>
      <c r="Q13" s="2"/>
      <c r="R13" s="2"/>
    </row>
    <row r="14" spans="1:18" ht="51.75" thickBot="1">
      <c r="A14" s="24" t="s">
        <v>29</v>
      </c>
      <c r="B14" s="33" t="s">
        <v>30</v>
      </c>
      <c r="C14" s="34">
        <f t="shared" ref="C14:O14" si="2">SUM(C8:C13)</f>
        <v>1847927045</v>
      </c>
      <c r="D14" s="35">
        <f t="shared" si="2"/>
        <v>55201953.333333336</v>
      </c>
      <c r="E14" s="35">
        <f t="shared" si="2"/>
        <v>58201953.333333336</v>
      </c>
      <c r="F14" s="35">
        <f t="shared" si="2"/>
        <v>574701953.33333337</v>
      </c>
      <c r="G14" s="35">
        <f t="shared" si="2"/>
        <v>73769399.333333343</v>
      </c>
      <c r="H14" s="35">
        <f t="shared" si="2"/>
        <v>57201953.333333336</v>
      </c>
      <c r="I14" s="35">
        <f t="shared" si="2"/>
        <v>56201953.333333336</v>
      </c>
      <c r="J14" s="35">
        <f t="shared" si="2"/>
        <v>321201953.33333331</v>
      </c>
      <c r="K14" s="35">
        <f t="shared" si="2"/>
        <v>58201953.333333336</v>
      </c>
      <c r="L14" s="35">
        <f t="shared" si="2"/>
        <v>223701953.33333334</v>
      </c>
      <c r="M14" s="35">
        <f t="shared" si="2"/>
        <v>57201953.333333336</v>
      </c>
      <c r="N14" s="35">
        <f t="shared" si="2"/>
        <v>257138112.33333334</v>
      </c>
      <c r="O14" s="35">
        <f t="shared" si="2"/>
        <v>55201953.333333336</v>
      </c>
      <c r="P14" s="2"/>
      <c r="Q14" s="2"/>
      <c r="R14" s="2"/>
    </row>
    <row r="15" spans="1:18">
      <c r="A15" s="24"/>
      <c r="B15" s="21"/>
      <c r="C15" s="36"/>
      <c r="D15" s="23"/>
      <c r="E15" s="37"/>
      <c r="F15" s="38"/>
      <c r="G15" s="11"/>
      <c r="H15" s="11"/>
      <c r="I15" s="11"/>
      <c r="J15" s="11"/>
      <c r="K15" s="11"/>
      <c r="L15" s="11"/>
      <c r="M15" s="39"/>
      <c r="N15" s="39"/>
      <c r="O15" s="40"/>
      <c r="P15" s="2"/>
      <c r="Q15" s="2"/>
      <c r="R15" s="2"/>
    </row>
    <row r="16" spans="1:18">
      <c r="A16" s="24" t="s">
        <v>31</v>
      </c>
      <c r="B16" s="28" t="s">
        <v>32</v>
      </c>
      <c r="C16" s="26">
        <f>SUM(D16:O16)</f>
        <v>4775000</v>
      </c>
      <c r="D16" s="27">
        <v>4775000</v>
      </c>
      <c r="E16" s="27"/>
      <c r="F16" s="27"/>
      <c r="G16" s="27"/>
      <c r="H16" s="27"/>
      <c r="I16" s="27">
        <v>0</v>
      </c>
      <c r="J16" s="27"/>
      <c r="K16" s="27"/>
      <c r="L16" s="27"/>
      <c r="M16" s="27"/>
      <c r="N16" s="27"/>
      <c r="O16" s="30"/>
      <c r="P16" s="2"/>
      <c r="Q16" s="2"/>
      <c r="R16" s="2"/>
    </row>
    <row r="17" spans="1:18">
      <c r="A17" s="24" t="s">
        <v>33</v>
      </c>
      <c r="B17" s="28" t="s">
        <v>34</v>
      </c>
      <c r="C17" s="26">
        <f>SUM(D17:O17)</f>
        <v>0</v>
      </c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2"/>
      <c r="Q17" s="2"/>
      <c r="R17" s="2"/>
    </row>
    <row r="18" spans="1:18">
      <c r="A18" s="24" t="s">
        <v>35</v>
      </c>
      <c r="B18" s="28" t="s">
        <v>36</v>
      </c>
      <c r="C18" s="26">
        <f>SUM(D18:O18)</f>
        <v>1549850287</v>
      </c>
      <c r="D18" s="27">
        <v>1000000000</v>
      </c>
      <c r="E18" s="32"/>
      <c r="F18" s="29">
        <v>183283429</v>
      </c>
      <c r="G18" s="29"/>
      <c r="H18" s="29"/>
      <c r="I18" s="29"/>
      <c r="J18" s="29">
        <v>183283429</v>
      </c>
      <c r="K18" s="29"/>
      <c r="L18" s="29"/>
      <c r="M18" s="29"/>
      <c r="N18" s="29">
        <v>183283429</v>
      </c>
      <c r="O18" s="30"/>
      <c r="P18" s="2"/>
      <c r="Q18" s="2"/>
      <c r="R18" s="2"/>
    </row>
    <row r="19" spans="1:18" ht="15.75" thickBot="1">
      <c r="A19" s="24" t="s">
        <v>37</v>
      </c>
      <c r="B19" s="41" t="s">
        <v>38</v>
      </c>
      <c r="C19" s="26">
        <f>SUM(D19:O19)</f>
        <v>0</v>
      </c>
      <c r="D19" s="27"/>
      <c r="E19" s="32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2"/>
      <c r="Q19" s="2"/>
      <c r="R19" s="2"/>
    </row>
    <row r="20" spans="1:18" ht="51.75" thickBot="1">
      <c r="A20" s="24" t="s">
        <v>39</v>
      </c>
      <c r="B20" s="33" t="s">
        <v>32</v>
      </c>
      <c r="C20" s="34">
        <f t="shared" ref="C20:O20" si="3">SUM(C16:C19)</f>
        <v>1554625287</v>
      </c>
      <c r="D20" s="35">
        <f t="shared" si="3"/>
        <v>1004775000</v>
      </c>
      <c r="E20" s="35">
        <f t="shared" si="3"/>
        <v>0</v>
      </c>
      <c r="F20" s="35">
        <f t="shared" si="3"/>
        <v>183283429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183283429</v>
      </c>
      <c r="K20" s="35">
        <f t="shared" si="3"/>
        <v>0</v>
      </c>
      <c r="L20" s="35">
        <f t="shared" si="3"/>
        <v>0</v>
      </c>
      <c r="M20" s="35">
        <f t="shared" si="3"/>
        <v>0</v>
      </c>
      <c r="N20" s="35">
        <f t="shared" si="3"/>
        <v>183283429</v>
      </c>
      <c r="O20" s="35">
        <f t="shared" si="3"/>
        <v>0</v>
      </c>
      <c r="P20" s="2"/>
      <c r="Q20" s="2"/>
      <c r="R20" s="2"/>
    </row>
    <row r="21" spans="1:18" ht="51">
      <c r="A21" s="24" t="s">
        <v>40</v>
      </c>
      <c r="B21" s="42" t="s">
        <v>41</v>
      </c>
      <c r="C21" s="26">
        <f>SUM(D21:O21)</f>
        <v>0</v>
      </c>
      <c r="D21" s="43"/>
      <c r="E21" s="44"/>
      <c r="F21" s="45"/>
      <c r="G21" s="39"/>
      <c r="H21" s="39"/>
      <c r="I21" s="39"/>
      <c r="J21" s="39"/>
      <c r="K21" s="39"/>
      <c r="L21" s="39"/>
      <c r="M21" s="45"/>
      <c r="N21" s="45"/>
      <c r="O21" s="46"/>
      <c r="P21" s="2"/>
      <c r="Q21" s="2"/>
      <c r="R21" s="2"/>
    </row>
    <row r="22" spans="1:18" ht="39" thickBot="1">
      <c r="A22" s="24" t="s">
        <v>42</v>
      </c>
      <c r="B22" s="47" t="s">
        <v>43</v>
      </c>
      <c r="C22" s="26">
        <f>SUM(D22:O22)</f>
        <v>1150473070</v>
      </c>
      <c r="D22" s="43">
        <v>1150473070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2"/>
      <c r="Q22" s="2"/>
      <c r="R22" s="2"/>
    </row>
    <row r="23" spans="1:18" ht="26.25" thickBot="1">
      <c r="A23" s="24" t="s">
        <v>44</v>
      </c>
      <c r="B23" s="48" t="s">
        <v>45</v>
      </c>
      <c r="C23" s="49">
        <f>SUM(C14+C20+C21+C22)</f>
        <v>4553025402</v>
      </c>
      <c r="D23" s="50">
        <f>SUM(D14+D20+D21+D22)</f>
        <v>2210450023.3333335</v>
      </c>
      <c r="E23" s="50">
        <f>SUM(E14+E20+E21+E22)</f>
        <v>58201953.333333336</v>
      </c>
      <c r="F23" s="50">
        <f>SUM(F14+F20+F21+F22)</f>
        <v>757985382.33333337</v>
      </c>
      <c r="G23" s="50">
        <f t="shared" ref="G23:M23" si="4">SUM(G14+G20+G21+G22)</f>
        <v>73769399.333333343</v>
      </c>
      <c r="H23" s="50">
        <f t="shared" si="4"/>
        <v>57201953.333333336</v>
      </c>
      <c r="I23" s="50">
        <f t="shared" si="4"/>
        <v>56201953.333333336</v>
      </c>
      <c r="J23" s="50">
        <f t="shared" si="4"/>
        <v>504485382.33333331</v>
      </c>
      <c r="K23" s="50">
        <f t="shared" si="4"/>
        <v>58201953.333333336</v>
      </c>
      <c r="L23" s="51">
        <f t="shared" si="4"/>
        <v>223701953.33333334</v>
      </c>
      <c r="M23" s="50">
        <f t="shared" si="4"/>
        <v>57201953.333333336</v>
      </c>
      <c r="N23" s="50">
        <f>SUM(N14+N20+N21+N22)</f>
        <v>440421541.33333337</v>
      </c>
      <c r="O23" s="50">
        <f>SUM(O14+O20+O21+O22)</f>
        <v>55201953.333333336</v>
      </c>
      <c r="P23" s="2"/>
      <c r="Q23" s="2"/>
      <c r="R23" s="2"/>
    </row>
    <row r="24" spans="1:18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"/>
      <c r="Q24" s="2"/>
      <c r="R24" s="2"/>
    </row>
    <row r="25" spans="1:18">
      <c r="A25" s="9"/>
      <c r="B25" s="10" t="s">
        <v>46</v>
      </c>
      <c r="C25" s="11"/>
      <c r="D25" s="11"/>
      <c r="E25" s="12"/>
      <c r="F25" s="11"/>
      <c r="G25" s="11"/>
      <c r="H25" s="11"/>
      <c r="I25" s="11"/>
      <c r="J25" s="11"/>
      <c r="K25" s="11"/>
      <c r="L25" s="54"/>
      <c r="M25" s="11"/>
      <c r="N25" s="11"/>
      <c r="O25" s="54"/>
      <c r="P25" s="2"/>
      <c r="Q25" s="2"/>
      <c r="R25" s="2"/>
    </row>
    <row r="26" spans="1:18" ht="20.25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</row>
    <row r="27" spans="1:18" ht="20.25">
      <c r="A27" s="3" t="s">
        <v>47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R27" s="2"/>
    </row>
    <row r="28" spans="1:18" ht="20.25">
      <c r="A28" s="3" t="s">
        <v>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2"/>
    </row>
    <row r="29" spans="1:18" ht="15.75" thickBot="1">
      <c r="A29" s="9"/>
      <c r="B29" s="10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"/>
      <c r="Q29" s="2"/>
      <c r="R29" s="2"/>
    </row>
    <row r="30" spans="1:18" ht="29.25" thickBot="1">
      <c r="A30" s="14"/>
      <c r="B30" s="55" t="s">
        <v>48</v>
      </c>
      <c r="C30" s="15" t="s">
        <v>5</v>
      </c>
      <c r="D30" s="16" t="s">
        <v>6</v>
      </c>
      <c r="E30" s="17" t="s">
        <v>7</v>
      </c>
      <c r="F30" s="18" t="s">
        <v>8</v>
      </c>
      <c r="G30" s="18" t="s">
        <v>9</v>
      </c>
      <c r="H30" s="18" t="s">
        <v>10</v>
      </c>
      <c r="I30" s="18" t="s">
        <v>11</v>
      </c>
      <c r="J30" s="18" t="s">
        <v>12</v>
      </c>
      <c r="K30" s="18" t="s">
        <v>13</v>
      </c>
      <c r="L30" s="18" t="s">
        <v>14</v>
      </c>
      <c r="M30" s="18" t="s">
        <v>15</v>
      </c>
      <c r="N30" s="18" t="s">
        <v>16</v>
      </c>
      <c r="O30" s="19" t="s">
        <v>17</v>
      </c>
      <c r="P30" s="2"/>
      <c r="Q30" s="2"/>
      <c r="R30" s="2"/>
    </row>
    <row r="31" spans="1:18" ht="15.75" thickBot="1">
      <c r="A31" s="14">
        <v>1</v>
      </c>
      <c r="B31" s="55">
        <v>2</v>
      </c>
      <c r="C31" s="15">
        <v>3</v>
      </c>
      <c r="D31" s="16">
        <v>4</v>
      </c>
      <c r="E31" s="17">
        <v>5</v>
      </c>
      <c r="F31" s="18">
        <v>6</v>
      </c>
      <c r="G31" s="18">
        <v>7</v>
      </c>
      <c r="H31" s="18">
        <v>8</v>
      </c>
      <c r="I31" s="18">
        <v>9</v>
      </c>
      <c r="J31" s="18">
        <v>10</v>
      </c>
      <c r="K31" s="18">
        <v>11</v>
      </c>
      <c r="L31" s="18">
        <v>12</v>
      </c>
      <c r="M31" s="18">
        <v>13</v>
      </c>
      <c r="N31" s="18">
        <v>14</v>
      </c>
      <c r="O31" s="19">
        <v>15</v>
      </c>
      <c r="P31" s="2"/>
      <c r="Q31" s="2"/>
      <c r="R31" s="2"/>
    </row>
    <row r="32" spans="1:18" ht="25.5">
      <c r="A32" s="56" t="s">
        <v>49</v>
      </c>
      <c r="B32" s="57" t="s">
        <v>50</v>
      </c>
      <c r="C32" s="26">
        <f>SUM(D32:O32)</f>
        <v>439132273.41666663</v>
      </c>
      <c r="D32" s="23">
        <f>7000000+425183537/12</f>
        <v>42431961.416666664</v>
      </c>
      <c r="E32" s="23">
        <v>36063665</v>
      </c>
      <c r="F32" s="23">
        <v>36063665</v>
      </c>
      <c r="G32" s="23">
        <v>36063665</v>
      </c>
      <c r="H32" s="23">
        <v>36063665</v>
      </c>
      <c r="I32" s="23">
        <v>36063665</v>
      </c>
      <c r="J32" s="23">
        <v>36063665</v>
      </c>
      <c r="K32" s="23">
        <v>36063665</v>
      </c>
      <c r="L32" s="23">
        <v>36063665</v>
      </c>
      <c r="M32" s="23">
        <v>36063665</v>
      </c>
      <c r="N32" s="23">
        <v>36063662</v>
      </c>
      <c r="O32" s="23">
        <v>36063665</v>
      </c>
      <c r="P32" s="2"/>
      <c r="Q32" s="2"/>
      <c r="R32" s="2"/>
    </row>
    <row r="33" spans="1:18" ht="89.25">
      <c r="A33" s="56" t="s">
        <v>51</v>
      </c>
      <c r="B33" s="58" t="s">
        <v>52</v>
      </c>
      <c r="C33" s="26">
        <f>SUM(D33:O33)</f>
        <v>94223194</v>
      </c>
      <c r="D33" s="27">
        <f>1540000+91480236/12</f>
        <v>9163353</v>
      </c>
      <c r="E33" s="27">
        <v>7732713</v>
      </c>
      <c r="F33" s="27">
        <v>7732713</v>
      </c>
      <c r="G33" s="27">
        <v>7732713</v>
      </c>
      <c r="H33" s="27">
        <v>7732713</v>
      </c>
      <c r="I33" s="27">
        <v>7732713</v>
      </c>
      <c r="J33" s="27">
        <v>7732713</v>
      </c>
      <c r="K33" s="27">
        <v>7732713</v>
      </c>
      <c r="L33" s="27">
        <v>7732713</v>
      </c>
      <c r="M33" s="27">
        <v>7732713</v>
      </c>
      <c r="N33" s="27">
        <v>7732711</v>
      </c>
      <c r="O33" s="27">
        <v>7732713</v>
      </c>
      <c r="P33" s="2"/>
      <c r="Q33" s="2"/>
      <c r="R33" s="2"/>
    </row>
    <row r="34" spans="1:18" ht="25.5">
      <c r="A34" s="56" t="s">
        <v>53</v>
      </c>
      <c r="B34" s="58" t="s">
        <v>54</v>
      </c>
      <c r="C34" s="26">
        <f>SUM(D34:O34)</f>
        <v>1049354985.5</v>
      </c>
      <c r="D34" s="27">
        <f>313188990/12-3150000-1200000</f>
        <v>21749082.5</v>
      </c>
      <c r="E34" s="27">
        <f>313188990/12-1700000</f>
        <v>24399082.5</v>
      </c>
      <c r="F34" s="27">
        <f>25800500+285125650</f>
        <v>310926150</v>
      </c>
      <c r="G34" s="27">
        <f>24625800+126870500</f>
        <v>151496300</v>
      </c>
      <c r="H34" s="27">
        <f>25350500+7270034</f>
        <v>32620534</v>
      </c>
      <c r="I34" s="27">
        <f>313188990/12+1500000+7000000</f>
        <v>34599082.5</v>
      </c>
      <c r="J34" s="27">
        <f>313188990/12+3500000+88560700</f>
        <v>118159782.5</v>
      </c>
      <c r="K34" s="27">
        <f>28629500+75258600</f>
        <v>103888100</v>
      </c>
      <c r="L34" s="27">
        <f>313188990/12+3549083+3000000+8000000</f>
        <v>40648165.5</v>
      </c>
      <c r="M34" s="27">
        <v>25087495</v>
      </c>
      <c r="N34" s="27">
        <f>23950700+78580012-1800000</f>
        <v>100730712</v>
      </c>
      <c r="O34" s="27">
        <f>22550000+62500499</f>
        <v>85050499</v>
      </c>
      <c r="P34" s="2"/>
      <c r="Q34" s="2"/>
      <c r="R34" s="2"/>
    </row>
    <row r="35" spans="1:18" ht="63.75">
      <c r="A35" s="56" t="s">
        <v>55</v>
      </c>
      <c r="B35" s="59" t="s">
        <v>56</v>
      </c>
      <c r="C35" s="26">
        <f t="shared" ref="C35:C41" si="5">SUM(D35:O35)</f>
        <v>192656620</v>
      </c>
      <c r="D35" s="27">
        <f>171279987/12</f>
        <v>14273332.25</v>
      </c>
      <c r="E35" s="27">
        <f>171279987/12</f>
        <v>14273332.25</v>
      </c>
      <c r="F35" s="27">
        <f>171279987/12+3885303</f>
        <v>18158635.25</v>
      </c>
      <c r="G35" s="27">
        <f>171279987/12+3000000</f>
        <v>17273332.25</v>
      </c>
      <c r="H35" s="27">
        <f>171279987/12+3000000</f>
        <v>17273332.25</v>
      </c>
      <c r="I35" s="27">
        <f>171279987/12+1800000</f>
        <v>16073332.25</v>
      </c>
      <c r="J35" s="27">
        <f>171279987/12+1600000</f>
        <v>15873332.25</v>
      </c>
      <c r="K35" s="27">
        <f>171279987/12+3885304</f>
        <v>18158636.25</v>
      </c>
      <c r="L35" s="27">
        <f>171279987/12+2000000</f>
        <v>16273332.25</v>
      </c>
      <c r="M35" s="27">
        <f>171279987/12+1000000</f>
        <v>15273332.25</v>
      </c>
      <c r="N35" s="27">
        <f>171279987/12+1206026</f>
        <v>15479358.25</v>
      </c>
      <c r="O35" s="27">
        <f>171279987/12</f>
        <v>14273332.25</v>
      </c>
      <c r="P35" s="2"/>
      <c r="Q35" s="2"/>
      <c r="R35" s="2"/>
    </row>
    <row r="36" spans="1:18" ht="76.5">
      <c r="A36" s="56" t="s">
        <v>57</v>
      </c>
      <c r="B36" s="60" t="s">
        <v>58</v>
      </c>
      <c r="C36" s="26">
        <f t="shared" si="5"/>
        <v>216336559.99999997</v>
      </c>
      <c r="D36" s="27">
        <f>138400000/12+31436560/12</f>
        <v>14153046.666666668</v>
      </c>
      <c r="E36" s="27">
        <f>138400000/12+31436560/12+9000000/6+1100000</f>
        <v>16753046.666666668</v>
      </c>
      <c r="F36" s="27">
        <f>138400000/12+31436560/12+4900000</f>
        <v>19053046.666666668</v>
      </c>
      <c r="G36" s="27">
        <f>138400000/12+31436560/12+9000000/6</f>
        <v>15653046.666666668</v>
      </c>
      <c r="H36" s="27">
        <f>138400000/12+31436560/12+1000000</f>
        <v>15153046.666666668</v>
      </c>
      <c r="I36" s="27">
        <f>138400000/12+31436560/12+9000000/6+100000</f>
        <v>15753046.666666668</v>
      </c>
      <c r="J36" s="27">
        <f>138400000/12+31436560/12+5750000</f>
        <v>19903046.666666668</v>
      </c>
      <c r="K36" s="27">
        <f>138400000/12+31436560/12+9000000/6+11000000</f>
        <v>26653046.666666668</v>
      </c>
      <c r="L36" s="27">
        <f>138400000/12+31436560/12+2000000+8350000</f>
        <v>24503046.666666668</v>
      </c>
      <c r="M36" s="27">
        <f>138400000/12+31436560/12+9000000/6</f>
        <v>15653046.666666668</v>
      </c>
      <c r="N36" s="27">
        <f>138400000/12+31436560/12+1500000+1800000</f>
        <v>17453046.666666668</v>
      </c>
      <c r="O36" s="27">
        <f>138400000/12+31436560/12+9000000/6</f>
        <v>15653046.666666668</v>
      </c>
      <c r="P36" s="2"/>
      <c r="Q36" s="2"/>
      <c r="R36" s="2"/>
    </row>
    <row r="37" spans="1:18" ht="38.25">
      <c r="A37" s="56" t="s">
        <v>59</v>
      </c>
      <c r="B37" s="61" t="s">
        <v>60</v>
      </c>
      <c r="C37" s="26">
        <f t="shared" si="5"/>
        <v>8550000</v>
      </c>
      <c r="D37" s="27">
        <f>5550000/12</f>
        <v>462500</v>
      </c>
      <c r="E37" s="27">
        <f t="shared" ref="E37:N37" si="6">5550000/12</f>
        <v>462500</v>
      </c>
      <c r="F37" s="27">
        <f t="shared" si="6"/>
        <v>462500</v>
      </c>
      <c r="G37" s="27">
        <f t="shared" si="6"/>
        <v>462500</v>
      </c>
      <c r="H37" s="27">
        <f t="shared" si="6"/>
        <v>462500</v>
      </c>
      <c r="I37" s="27">
        <f t="shared" si="6"/>
        <v>462500</v>
      </c>
      <c r="J37" s="27">
        <f t="shared" si="6"/>
        <v>462500</v>
      </c>
      <c r="K37" s="27">
        <f t="shared" si="6"/>
        <v>462500</v>
      </c>
      <c r="L37" s="27">
        <f t="shared" si="6"/>
        <v>462500</v>
      </c>
      <c r="M37" s="27">
        <f t="shared" si="6"/>
        <v>462500</v>
      </c>
      <c r="N37" s="27">
        <f t="shared" si="6"/>
        <v>462500</v>
      </c>
      <c r="O37" s="27">
        <f>5550000/12+3000000</f>
        <v>3462500</v>
      </c>
      <c r="P37" s="2"/>
      <c r="Q37" s="2"/>
      <c r="R37" s="2"/>
    </row>
    <row r="38" spans="1:18" ht="76.5">
      <c r="A38" s="56" t="s">
        <v>61</v>
      </c>
      <c r="B38" s="58" t="s">
        <v>26</v>
      </c>
      <c r="C38" s="26">
        <f t="shared" si="5"/>
        <v>3000000</v>
      </c>
      <c r="D38" s="62">
        <v>2000000</v>
      </c>
      <c r="E38" s="29"/>
      <c r="F38" s="29"/>
      <c r="G38" s="29"/>
      <c r="H38" s="29"/>
      <c r="I38" s="29">
        <v>1000000</v>
      </c>
      <c r="J38" s="29"/>
      <c r="K38" s="29"/>
      <c r="L38" s="29"/>
      <c r="M38" s="29"/>
      <c r="N38" s="29"/>
      <c r="O38" s="30"/>
      <c r="P38" s="2"/>
      <c r="Q38" s="2"/>
      <c r="R38" s="2"/>
    </row>
    <row r="39" spans="1:18" ht="26.25" thickBot="1">
      <c r="A39" s="56" t="s">
        <v>62</v>
      </c>
      <c r="B39" s="63" t="s">
        <v>63</v>
      </c>
      <c r="C39" s="26">
        <f t="shared" si="5"/>
        <v>10000000</v>
      </c>
      <c r="D39" s="64">
        <v>10000000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2"/>
      <c r="Q39" s="2"/>
      <c r="R39" s="2"/>
    </row>
    <row r="40" spans="1:18" ht="39" thickBot="1">
      <c r="A40" s="56" t="s">
        <v>64</v>
      </c>
      <c r="B40" s="67" t="s">
        <v>65</v>
      </c>
      <c r="C40" s="34">
        <f t="shared" ref="C40:O40" si="7">SUM(C32:C39)</f>
        <v>2013253632.9166665</v>
      </c>
      <c r="D40" s="35">
        <f t="shared" si="7"/>
        <v>114233275.83333333</v>
      </c>
      <c r="E40" s="35">
        <f t="shared" si="7"/>
        <v>99684339.416666672</v>
      </c>
      <c r="F40" s="35">
        <f t="shared" si="7"/>
        <v>392396709.91666669</v>
      </c>
      <c r="G40" s="35">
        <f t="shared" si="7"/>
        <v>228681556.91666666</v>
      </c>
      <c r="H40" s="35">
        <f t="shared" si="7"/>
        <v>109305790.91666667</v>
      </c>
      <c r="I40" s="35">
        <f t="shared" si="7"/>
        <v>111684339.41666667</v>
      </c>
      <c r="J40" s="35">
        <f t="shared" si="7"/>
        <v>198195039.41666666</v>
      </c>
      <c r="K40" s="35">
        <f t="shared" si="7"/>
        <v>192958660.91666666</v>
      </c>
      <c r="L40" s="35">
        <f t="shared" si="7"/>
        <v>125683422.41666667</v>
      </c>
      <c r="M40" s="35">
        <f t="shared" si="7"/>
        <v>100272751.91666667</v>
      </c>
      <c r="N40" s="35">
        <f t="shared" si="7"/>
        <v>177921989.91666666</v>
      </c>
      <c r="O40" s="35">
        <f t="shared" si="7"/>
        <v>162235755.91666666</v>
      </c>
      <c r="P40" s="2"/>
      <c r="Q40" s="2"/>
      <c r="R40" s="2"/>
    </row>
    <row r="41" spans="1:18" ht="25.5">
      <c r="A41" s="56" t="s">
        <v>66</v>
      </c>
      <c r="B41" s="57" t="s">
        <v>67</v>
      </c>
      <c r="C41" s="26">
        <f t="shared" si="5"/>
        <v>503253166</v>
      </c>
      <c r="D41" s="23">
        <v>1200000</v>
      </c>
      <c r="E41" s="37">
        <v>35800450</v>
      </c>
      <c r="F41" s="39"/>
      <c r="G41" s="39">
        <f>73957800-1500000</f>
        <v>72457800</v>
      </c>
      <c r="H41" s="39"/>
      <c r="I41" s="39">
        <v>45870300</v>
      </c>
      <c r="J41" s="39">
        <f>154129700-2326500</f>
        <v>151803200</v>
      </c>
      <c r="K41" s="39">
        <f>345685900-223321965</f>
        <v>122363935</v>
      </c>
      <c r="L41" s="39">
        <v>26042200</v>
      </c>
      <c r="M41" s="39"/>
      <c r="N41" s="39">
        <v>47715281</v>
      </c>
      <c r="O41" s="40"/>
      <c r="P41" s="2"/>
      <c r="Q41" s="2"/>
      <c r="R41" s="2"/>
    </row>
    <row r="42" spans="1:18" ht="25.5">
      <c r="A42" s="56" t="s">
        <v>68</v>
      </c>
      <c r="B42" s="58" t="s">
        <v>69</v>
      </c>
      <c r="C42" s="26">
        <f>SUM(D42:O42)</f>
        <v>2013134746</v>
      </c>
      <c r="D42" s="27">
        <v>6784000</v>
      </c>
      <c r="E42" s="27">
        <v>4590500</v>
      </c>
      <c r="F42" s="27">
        <f>7150900</f>
        <v>7150900</v>
      </c>
      <c r="G42" s="27">
        <f>6870365+359500650</f>
        <v>366371015</v>
      </c>
      <c r="H42" s="27">
        <f>8741600+565890500-100000000</f>
        <v>474632100</v>
      </c>
      <c r="I42" s="27">
        <f>10850740</f>
        <v>10850740</v>
      </c>
      <c r="J42" s="27">
        <f>10630500+397800450-38747444</f>
        <v>369683506</v>
      </c>
      <c r="K42" s="27">
        <f>6120800+223321965</f>
        <v>229442765</v>
      </c>
      <c r="L42" s="11">
        <f>55000000+1701945</f>
        <v>56701945</v>
      </c>
      <c r="M42" s="29">
        <f>8500750+100546125</f>
        <v>109046875</v>
      </c>
      <c r="N42" s="27">
        <f>6907000+100000000</f>
        <v>106907000</v>
      </c>
      <c r="O42" s="30">
        <f>3560900+267412500</f>
        <v>270973400</v>
      </c>
      <c r="P42" s="2"/>
      <c r="Q42" s="2"/>
      <c r="R42" s="2"/>
    </row>
    <row r="43" spans="1:18" ht="38.25">
      <c r="A43" s="56"/>
      <c r="B43" s="58" t="s">
        <v>70</v>
      </c>
      <c r="C43" s="26">
        <f>SUM(D43:O43)</f>
        <v>0</v>
      </c>
      <c r="D43" s="27"/>
      <c r="E43" s="27"/>
      <c r="F43" s="27"/>
      <c r="G43" s="27"/>
      <c r="H43" s="27"/>
      <c r="I43" s="27"/>
      <c r="J43" s="27"/>
      <c r="K43" s="27"/>
      <c r="L43" s="11"/>
      <c r="M43" s="29"/>
      <c r="N43" s="27"/>
      <c r="O43" s="30"/>
      <c r="P43" s="2"/>
      <c r="Q43" s="2"/>
      <c r="R43" s="2"/>
    </row>
    <row r="44" spans="1:18" ht="63.75">
      <c r="A44" s="56" t="s">
        <v>71</v>
      </c>
      <c r="B44" s="61" t="s">
        <v>72</v>
      </c>
      <c r="C44" s="26">
        <f>SUM(D44:O44)</f>
        <v>0</v>
      </c>
      <c r="D44" s="27"/>
      <c r="E44" s="32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2"/>
      <c r="Q44" s="2"/>
      <c r="R44" s="2"/>
    </row>
    <row r="45" spans="1:18" ht="76.5">
      <c r="A45" s="56" t="s">
        <v>73</v>
      </c>
      <c r="B45" s="61" t="s">
        <v>74</v>
      </c>
      <c r="C45" s="26">
        <f>SUM(D45:O45)</f>
        <v>0</v>
      </c>
      <c r="D45" s="27"/>
      <c r="E45" s="32"/>
      <c r="F45" s="29"/>
      <c r="G45" s="29"/>
      <c r="H45" s="29"/>
      <c r="I45" s="29"/>
      <c r="J45" s="29"/>
      <c r="K45" s="29"/>
      <c r="L45" s="29"/>
      <c r="M45" s="29"/>
      <c r="N45" s="29"/>
      <c r="O45" s="30"/>
      <c r="P45" s="2"/>
      <c r="Q45" s="2"/>
      <c r="R45" s="2"/>
    </row>
    <row r="46" spans="1:18" ht="64.5" thickBot="1">
      <c r="A46" s="56" t="s">
        <v>75</v>
      </c>
      <c r="B46" s="61" t="s">
        <v>76</v>
      </c>
      <c r="C46" s="26">
        <f>SUM(D46:O46)</f>
        <v>8810000</v>
      </c>
      <c r="D46" s="27"/>
      <c r="E46" s="32"/>
      <c r="F46" s="29">
        <v>3060000</v>
      </c>
      <c r="G46" s="29"/>
      <c r="H46" s="29"/>
      <c r="I46" s="29"/>
      <c r="J46" s="29">
        <v>5750000</v>
      </c>
      <c r="K46" s="29"/>
      <c r="L46" s="29"/>
      <c r="M46" s="29"/>
      <c r="N46" s="29"/>
      <c r="O46" s="30"/>
      <c r="P46" s="2"/>
      <c r="Q46" s="2"/>
      <c r="R46" s="2"/>
    </row>
    <row r="47" spans="1:18" ht="51.75" thickBot="1">
      <c r="A47" s="56" t="s">
        <v>77</v>
      </c>
      <c r="B47" s="68" t="s">
        <v>78</v>
      </c>
      <c r="C47" s="34">
        <f t="shared" ref="C47:O47" si="8">SUM(C41:C46)</f>
        <v>2525197912</v>
      </c>
      <c r="D47" s="69">
        <f t="shared" si="8"/>
        <v>7984000</v>
      </c>
      <c r="E47" s="69">
        <f t="shared" si="8"/>
        <v>40390950</v>
      </c>
      <c r="F47" s="69">
        <f t="shared" si="8"/>
        <v>10210900</v>
      </c>
      <c r="G47" s="69">
        <f t="shared" si="8"/>
        <v>438828815</v>
      </c>
      <c r="H47" s="69">
        <f t="shared" si="8"/>
        <v>474632100</v>
      </c>
      <c r="I47" s="69">
        <f t="shared" si="8"/>
        <v>56721040</v>
      </c>
      <c r="J47" s="69">
        <f t="shared" si="8"/>
        <v>527236706</v>
      </c>
      <c r="K47" s="69">
        <f t="shared" si="8"/>
        <v>351806700</v>
      </c>
      <c r="L47" s="69">
        <f t="shared" si="8"/>
        <v>82744145</v>
      </c>
      <c r="M47" s="69">
        <f t="shared" si="8"/>
        <v>109046875</v>
      </c>
      <c r="N47" s="69">
        <f t="shared" si="8"/>
        <v>154622281</v>
      </c>
      <c r="O47" s="70">
        <f t="shared" si="8"/>
        <v>270973400</v>
      </c>
      <c r="P47" s="2"/>
      <c r="Q47" s="2"/>
      <c r="R47" s="2"/>
    </row>
    <row r="48" spans="1:18" ht="89.25">
      <c r="A48" s="56" t="s">
        <v>79</v>
      </c>
      <c r="B48" s="71" t="s">
        <v>80</v>
      </c>
      <c r="C48" s="22">
        <f>SUM(D48:O48)</f>
        <v>0</v>
      </c>
      <c r="D48" s="27"/>
      <c r="E48" s="32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2"/>
      <c r="Q48" s="2"/>
      <c r="R48" s="2"/>
    </row>
    <row r="49" spans="1:18" ht="39" thickBot="1">
      <c r="A49" s="56" t="s">
        <v>81</v>
      </c>
      <c r="B49" s="72" t="s">
        <v>82</v>
      </c>
      <c r="C49" s="73">
        <f>SUM(D49:O49)</f>
        <v>14573857</v>
      </c>
      <c r="D49" s="27">
        <v>14573857</v>
      </c>
      <c r="E49" s="32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2"/>
      <c r="Q49" s="2"/>
      <c r="R49" s="2"/>
    </row>
    <row r="50" spans="1:18" ht="26.25" thickBot="1">
      <c r="A50" s="56" t="s">
        <v>83</v>
      </c>
      <c r="B50" s="74" t="s">
        <v>84</v>
      </c>
      <c r="C50" s="49">
        <f>C47+C48+C40+C49</f>
        <v>4553025401.916666</v>
      </c>
      <c r="D50" s="75">
        <f t="shared" ref="D50:O50" si="9">D47+D48+D40+D49</f>
        <v>136791132.83333331</v>
      </c>
      <c r="E50" s="75">
        <f t="shared" si="9"/>
        <v>140075289.41666669</v>
      </c>
      <c r="F50" s="75">
        <f t="shared" si="9"/>
        <v>402607609.91666669</v>
      </c>
      <c r="G50" s="75">
        <f t="shared" si="9"/>
        <v>667510371.91666663</v>
      </c>
      <c r="H50" s="75">
        <f t="shared" si="9"/>
        <v>583937890.91666663</v>
      </c>
      <c r="I50" s="75">
        <f t="shared" si="9"/>
        <v>168405379.41666669</v>
      </c>
      <c r="J50" s="75">
        <f t="shared" si="9"/>
        <v>725431745.41666663</v>
      </c>
      <c r="K50" s="75">
        <f t="shared" si="9"/>
        <v>544765360.91666663</v>
      </c>
      <c r="L50" s="75">
        <f t="shared" si="9"/>
        <v>208427567.41666669</v>
      </c>
      <c r="M50" s="75">
        <f t="shared" si="9"/>
        <v>209319626.91666669</v>
      </c>
      <c r="N50" s="75">
        <f t="shared" si="9"/>
        <v>332544270.91666663</v>
      </c>
      <c r="O50" s="75">
        <f t="shared" si="9"/>
        <v>433209155.91666663</v>
      </c>
      <c r="P50" s="76"/>
      <c r="Q50" s="2"/>
      <c r="R50" s="2"/>
    </row>
    <row r="51" spans="1:18">
      <c r="A51" s="9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2"/>
      <c r="Q51" s="2"/>
      <c r="R51" s="2"/>
    </row>
    <row r="52" spans="1:18"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2"/>
      <c r="Q52" s="2"/>
      <c r="R52" s="2"/>
    </row>
  </sheetData>
  <mergeCells count="6">
    <mergeCell ref="A1:O1"/>
    <mergeCell ref="A2:O2"/>
    <mergeCell ref="A3:O3"/>
    <mergeCell ref="A26:O26"/>
    <mergeCell ref="A27:O27"/>
    <mergeCell ref="A28:O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2018-10-10T13:29:02Z</dcterms:created>
  <dcterms:modified xsi:type="dcterms:W3CDTF">2018-10-10T13:29:36Z</dcterms:modified>
</cp:coreProperties>
</file>