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beruházás" sheetId="7" r:id="rId7"/>
    <sheet name="7.mell.felújítás" sheetId="8" r:id="rId8"/>
    <sheet name="8.mell. - közgazd.mérleg" sheetId="9" r:id="rId9"/>
    <sheet name="9.mell. -ei.felh.ütemt." sheetId="10" r:id="rId10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<sst xmlns="http://schemas.openxmlformats.org/spreadsheetml/2006/main" count="682" uniqueCount="405">
  <si>
    <t>Megnevezés</t>
  </si>
  <si>
    <t>Ft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</si>
  <si>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</si>
  <si>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</si>
  <si>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</si>
  <si>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</si>
  <si>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</si>
  <si>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</si>
  <si>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</si>
  <si>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</si>
  <si>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</si>
  <si>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</si>
  <si>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</si>
  <si>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</si>
  <si>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</si>
  <si>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</si>
  <si>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</si>
  <si>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</si>
  <si>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</si>
  <si>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</si>
  <si>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</si>
  <si>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</si>
  <si>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</si>
  <si>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</si>
  <si>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</si>
  <si>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</si>
  <si>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</si>
  <si>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</si>
  <si>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</si>
  <si>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</si>
  <si>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</si>
  <si>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</si>
  <si>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</si>
  <si>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</si>
  <si>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</si>
  <si>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</si>
  <si>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</si>
  <si>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</si>
  <si>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</si>
  <si>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</si>
  <si>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</si>
  <si>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</si>
  <si>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</si>
  <si>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</si>
  <si>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</si>
  <si>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</si>
  <si>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</si>
  <si>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</si>
  <si>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</si>
  <si>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</si>
  <si>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</si>
  <si>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</si>
  <si>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</si>
  <si>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</si>
  <si>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</si>
  <si>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</si>
  <si>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</si>
  <si>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</si>
  <si>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</si>
  <si>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</si>
  <si>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</si>
  <si>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</si>
  <si>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</si>
  <si>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</si>
  <si>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</si>
  <si>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</si>
  <si>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</si>
  <si>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</si>
  <si>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</si>
  <si>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</si>
  <si>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</si>
  <si>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</si>
  <si>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</si>
  <si>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</si>
  <si>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</si>
  <si>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</si>
  <si>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</si>
  <si>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</si>
  <si>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</si>
  <si>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</si>
  <si>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</si>
  <si>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</si>
  <si>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</si>
  <si>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</si>
  <si>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</si>
  <si>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</si>
  <si>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</si>
  <si>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</si>
  <si>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</si>
  <si>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</si>
  <si>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</si>
  <si>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</si>
  <si>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</si>
  <si>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</si>
  <si>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</si>
  <si>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</si>
  <si>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</si>
  <si>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</si>
  <si>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</si>
  <si>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</si>
  <si>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</si>
  <si>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</si>
  <si>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</si>
  <si>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</si>
  <si>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</si>
  <si>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</si>
  <si>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</si>
  <si>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</si>
  <si>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</si>
  <si>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</si>
  <si>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</si>
  <si>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</si>
  <si>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</si>
  <si>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</si>
  <si>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</si>
  <si>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</si>
  <si>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</si>
  <si>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</si>
  <si>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</si>
  <si>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</si>
  <si>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</si>
  <si>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</si>
  <si>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</si>
  <si>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</si>
  <si>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</si>
  <si>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</si>
  <si>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</si>
  <si>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</si>
  <si>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</si>
  <si>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</si>
  <si>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</si>
  <si>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</si>
  <si>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</si>
  <si>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</si>
  <si>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</si>
  <si>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</si>
  <si>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</si>
  <si>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</si>
  <si>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</si>
  <si>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</si>
  <si>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</si>
  <si>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</si>
  <si>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</si>
  <si>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</si>
  <si>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</si>
  <si>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</si>
  <si>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</si>
  <si>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</si>
  <si>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</si>
  <si>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</si>
  <si>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</si>
  <si>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</si>
  <si>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</si>
  <si>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</si>
  <si>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</si>
  <si>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</si>
  <si>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</si>
  <si>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</si>
  <si>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</si>
  <si>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</si>
  <si>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</si>
  <si>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</si>
  <si>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</si>
  <si>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</si>
  <si>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</si>
  <si>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</si>
  <si>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</si>
  <si>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</si>
  <si>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</si>
  <si>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</si>
  <si>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</si>
  <si>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</si>
  <si>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</si>
  <si>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</si>
  <si>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</si>
  <si>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</si>
  <si>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</si>
  <si>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</si>
  <si>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</si>
  <si>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</si>
  <si>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</si>
  <si>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</si>
  <si>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</si>
  <si>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</si>
  <si>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</si>
  <si>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</si>
  <si>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</si>
  <si>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</si>
  <si>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</si>
  <si>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</si>
  <si>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</si>
  <si>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</si>
  <si>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</si>
  <si>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</si>
  <si>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</si>
  <si>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</si>
  <si>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</si>
  <si>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</si>
  <si>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</si>
  <si>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</si>
  <si>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</si>
  <si>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</si>
  <si>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</si>
  <si>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</si>
  <si>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</si>
  <si>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</si>
  <si>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</si>
  <si>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</si>
  <si>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</si>
  <si>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</si>
  <si>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</si>
  <si>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</si>
  <si>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</si>
  <si>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</si>
  <si>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</si>
  <si>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</si>
  <si>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</si>
  <si>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</si>
  <si>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</si>
  <si>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</si>
  <si>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</si>
  <si>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</si>
  <si>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</si>
  <si>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</si>
  <si>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</si>
  <si>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</si>
  <si>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</si>
  <si>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</si>
  <si>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</si>
  <si>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</si>
  <si>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</si>
  <si>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</si>
  <si>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</si>
  <si>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</si>
  <si>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</si>
  <si>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</si>
  <si>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</si>
  <si>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</si>
  <si>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</si>
  <si>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</si>
  <si>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</si>
  <si>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</si>
  <si>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</si>
  <si>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</si>
  <si>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</si>
  <si>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</si>
  <si>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</si>
  <si>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</si>
  <si>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</si>
  <si>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</si>
  <si>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</si>
  <si>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</si>
  <si>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</si>
  <si>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</si>
  <si>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</si>
  <si>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</si>
  <si>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</si>
  <si>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</si>
  <si>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</si>
  <si>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KÖLTSÉGVETÉSI (MŰKÖDÉSI ÉS FELHALMOZÁSI) MÉRLEGE</t>
  </si>
  <si>
    <t>Bögöt község Önkormányzata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</si>
  <si>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</si>
  <si>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</si>
  <si>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</si>
  <si>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</si>
  <si>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</si>
  <si>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</si>
  <si>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</si>
  <si>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</si>
  <si>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</si>
  <si>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</si>
  <si>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</si>
  <si>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</si>
  <si>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</si>
  <si>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</si>
  <si>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</si>
  <si>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</si>
  <si>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</si>
  <si>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</si>
  <si>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</si>
  <si>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 xml:space="preserve">Összesen: </t>
  </si>
  <si>
    <t>FELÚJÍTÁSI KIADÁSOK</t>
  </si>
  <si>
    <t>FELÚJÍTÁSOK ÖSSZESEN:</t>
  </si>
  <si>
    <t>045160 Közutak, hidak, alagutak üzemeltetése fenntartása</t>
  </si>
  <si>
    <t>2017. év</t>
  </si>
  <si>
    <t>( Ft-ban)</t>
  </si>
  <si>
    <t>Kiszámlázott és ért.termékek és szolgáltatások ÁFÁ-ja</t>
  </si>
  <si>
    <t>ÁFA visszatérülés teljesítése</t>
  </si>
  <si>
    <t>Adósságkonszolidációban nem részesült önkormányzatok 2016.évben kiutalt támogatásának összege</t>
  </si>
  <si>
    <t xml:space="preserve"> Ft</t>
  </si>
  <si>
    <t>018030</t>
  </si>
  <si>
    <t>Támogatási célú finanszírozási műveletek</t>
  </si>
  <si>
    <t>Ft-ban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</si>
  <si>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</si>
  <si>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</si>
  <si>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</si>
  <si>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</si>
  <si>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</si>
  <si>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</si>
  <si>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</si>
  <si>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ebből: KEHOP pályázati támogatás összege:</t>
  </si>
  <si>
    <t xml:space="preserve">           10%-os önerő pályázat összege</t>
  </si>
  <si>
    <t>Egyéb építméy felújítása</t>
  </si>
  <si>
    <t>Felújítási célú előzetesen felszámított le nem vonható általános forgalmi adó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</si>
  <si>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</si>
  <si>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</si>
  <si>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</si>
  <si>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</si>
  <si>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</si>
  <si>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</si>
  <si>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</si>
  <si>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</si>
  <si>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</si>
  <si>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</si>
  <si>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</si>
  <si>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</si>
  <si>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</si>
  <si>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</si>
  <si>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</si>
  <si>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</si>
  <si>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</si>
  <si>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</si>
  <si>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</si>
  <si>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</si>
  <si>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</si>
  <si>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</si>
  <si>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</si>
  <si>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</si>
  <si>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</si>
  <si>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</si>
  <si>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</si>
  <si>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</si>
  <si>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</si>
  <si>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1.1</t>
  </si>
  <si>
    <t>1.1.1.1.</t>
  </si>
  <si>
    <t>2018. év</t>
  </si>
  <si>
    <t>2018 év</t>
  </si>
  <si>
    <t>Polgármesteri illetmény támogatása</t>
  </si>
  <si>
    <t>alacsony összegű fejlesztések támoagatása 2017-ben kiutalt összeg</t>
  </si>
  <si>
    <t>2018. évre</t>
  </si>
  <si>
    <t>(Ft-ban)</t>
  </si>
  <si>
    <t xml:space="preserve">2018. évi 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</si>
  <si>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</si>
  <si>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</si>
  <si>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</si>
  <si>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2017.évi alacsony összegű fejlesztések pályázati támogatásának összege</t>
  </si>
  <si>
    <t>- Kossuth, Petőfi és Vasút utcák kátyúzása</t>
  </si>
  <si>
    <t>1.1.2.1.</t>
  </si>
  <si>
    <t>- Vasút és Assisi Szent Ferenc utca aszfaltozása</t>
  </si>
  <si>
    <t>2068/2017.(XII.28.) Korm.hat. alapján helyi önkormányzatok működési célú kiegészítő támogatása</t>
  </si>
  <si>
    <t>Közfoglalkoztatottak 2017-ben kiutalt támogatási előlege</t>
  </si>
  <si>
    <t>041233</t>
  </si>
  <si>
    <t>Hosszabb időtartamú közfoglalkoztatás</t>
  </si>
  <si>
    <t>094260</t>
  </si>
  <si>
    <t>Hallgtói és oktatói ösztöndíjak egyéb juttatások</t>
  </si>
  <si>
    <t>2017. évbe elnyert helyi önkormányzatok működési célú kiegészítő támogatása (2068/2017.(XII.28.)Korm.hat.) pályázatból</t>
  </si>
  <si>
    <t>Útburkolat felújításra ( Assisi Szent Ferenc u.)</t>
  </si>
  <si>
    <t>2017.évi maradvány igénybevétel</t>
  </si>
  <si>
    <t>Közfoglalkoztatás támogatása</t>
  </si>
  <si>
    <t>2. melléklet  a  2/2018. (II.13.) önkormányzati rendelethez</t>
  </si>
  <si>
    <t>3. melléklet  a  2/2018. (II.13.) önkormányzati rendelethez</t>
  </si>
  <si>
    <t>4. melléklet  a  2/2018. (II.13.) önkormányzati rendelethez</t>
  </si>
  <si>
    <t>5. melléklet  a  2/2018. (II.13.) önkormányzati rendelethez</t>
  </si>
  <si>
    <t>10.melléklet a 2/2018. (II.13.) önkormányzati rendelethez</t>
  </si>
  <si>
    <t>9 sz. melléklet a  2/2018.(II.13.) sz. önkormányzati rendelethez</t>
  </si>
  <si>
    <t>11. melléklet a 2/2018. (II.13.) önkormányzati rendelethez</t>
  </si>
  <si>
    <t>1. melléklet  a  2/2018. (II.13.) önkormányzati rendelethez</t>
  </si>
  <si>
    <t>tervezett  előirányzat            ( Ft)</t>
  </si>
  <si>
    <t>2.1</t>
  </si>
  <si>
    <t>Nyári diákmunka támogatása</t>
  </si>
  <si>
    <t>V.      FELHALMOZÁSI CÉLÚ ÁTVETT PÉNZESZKÖZÖK</t>
  </si>
  <si>
    <t xml:space="preserve">1. </t>
  </si>
  <si>
    <t>Egyéb felhalmozási célú átvett pénzszközök</t>
  </si>
  <si>
    <t>FELHALMOZÁSI CÉLÚ ÁTVETT PÉNZESZKÖZÖK ÖSSZESEN:</t>
  </si>
  <si>
    <t>013350 Önkormányzati vagyonnal való gazdálkodással kapcsolatos feladatok</t>
  </si>
  <si>
    <t>Bögöt, Deák Ferenc utcában lévő kereszt felújítása</t>
  </si>
  <si>
    <t>2.1.1</t>
  </si>
  <si>
    <t>8 sz. melléklet a  2/2018.(II.13.) sz. önkormányzati rendelethez</t>
  </si>
  <si>
    <t>BERUHÁZÁSI KIADÁSOK</t>
  </si>
  <si>
    <t>063020 Víztermelés-,  kezelés-, ellátás</t>
  </si>
  <si>
    <t>Porpác,Bögöt ívóvízminőség-javtása pályázat építési munkák költségei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</si>
  <si>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</si>
  <si>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</si>
  <si>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</si>
  <si>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</si>
  <si>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Klímaberendezés vásárlása</t>
  </si>
  <si>
    <t>011130  Önkormányzatok és önkormányzati hivatalok jogalkotó és általános igazgatási tevékenysége</t>
  </si>
  <si>
    <t>3.1.</t>
  </si>
  <si>
    <t>3.2.</t>
  </si>
  <si>
    <t>tervezett  előirányzat     ( Ft)</t>
  </si>
  <si>
    <t>3.sz. módosítása</t>
  </si>
  <si>
    <t>066020 Város- és községgazdálkodási egyéb szolgáltatások</t>
  </si>
  <si>
    <t>3.3.</t>
  </si>
  <si>
    <t>4.1.</t>
  </si>
  <si>
    <t>Kültéri tároló építése</t>
  </si>
  <si>
    <t>4.2.</t>
  </si>
  <si>
    <t>1. melléklet a 8/2018. (XI.27.) önkormányzati rendelethez</t>
  </si>
  <si>
    <t>2. melléklet a 8/2018. (XI.27.) önkormányzati rendelethez</t>
  </si>
  <si>
    <t>3. melléklet a 8/2018. (XI.27.) önkormányzati rendelethez</t>
  </si>
  <si>
    <t>4. melléklet a 8/2018. (XI.27.) önkormányzati rendelethez</t>
  </si>
  <si>
    <t>5. melléklet a 8/2018. (XI.27.) önkormányzati rendelethez</t>
  </si>
  <si>
    <t>6. melléklet a 8/2018. (XI.27.) önkormányzati rendelethez</t>
  </si>
  <si>
    <t>7. melléklet a 8/2018. (XI.27.) önkormányzati rendelethez</t>
  </si>
  <si>
    <t>8.melléklet a 8/2018. (XI.27.) önkormányzati rendelethez</t>
  </si>
  <si>
    <t>9. melléklet a 8/2018. (XI.27.)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</si>
</sst>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  <numFmt numFmtId="181" formatCode="[$¥€-2]\ #\ ##,000_);[Red]\([$€-2]\ #\ ##,000\)"/>
  </numFmts>
  <fonts count="6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8" xfId="57" applyFont="1" applyBorder="1" applyAlignment="1">
      <alignment horizontal="right"/>
      <protection/>
    </xf>
    <xf numFmtId="0" fontId="10" fillId="0" borderId="18" xfId="57" applyFont="1" applyBorder="1" applyAlignment="1">
      <alignment/>
      <protection/>
    </xf>
    <xf numFmtId="168" fontId="10" fillId="0" borderId="18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7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9" xfId="58" applyFont="1" applyBorder="1" applyAlignment="1">
      <alignment horizontal="right"/>
      <protection/>
    </xf>
    <xf numFmtId="0" fontId="6" fillId="0" borderId="19" xfId="58" applyFont="1" applyBorder="1">
      <alignment/>
      <protection/>
    </xf>
    <xf numFmtId="168" fontId="6" fillId="0" borderId="19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6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0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2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0" fontId="8" fillId="0" borderId="24" xfId="60" applyFont="1" applyBorder="1">
      <alignment/>
      <protection/>
    </xf>
    <xf numFmtId="0" fontId="8" fillId="0" borderId="19" xfId="60" applyFont="1" applyBorder="1">
      <alignment/>
      <protection/>
    </xf>
    <xf numFmtId="168" fontId="4" fillId="0" borderId="19" xfId="40" applyNumberFormat="1" applyFont="1" applyBorder="1" applyAlignment="1">
      <alignment/>
    </xf>
    <xf numFmtId="0" fontId="9" fillId="0" borderId="25" xfId="59" applyFont="1" applyBorder="1" applyAlignment="1" quotePrefix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24" xfId="59" applyFont="1" applyBorder="1">
      <alignment/>
      <protection/>
    </xf>
    <xf numFmtId="0" fontId="8" fillId="0" borderId="19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168" fontId="10" fillId="0" borderId="18" xfId="40" applyNumberFormat="1" applyFont="1" applyBorder="1" applyAlignment="1">
      <alignment/>
    </xf>
    <xf numFmtId="168" fontId="10" fillId="0" borderId="23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21" fillId="0" borderId="18" xfId="40" applyNumberFormat="1" applyFont="1" applyFill="1" applyBorder="1" applyAlignment="1">
      <alignment/>
    </xf>
    <xf numFmtId="168" fontId="21" fillId="0" borderId="38" xfId="40" applyNumberFormat="1" applyFont="1" applyFill="1" applyBorder="1" applyAlignment="1">
      <alignment/>
    </xf>
    <xf numFmtId="168" fontId="10" fillId="0" borderId="18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6" fillId="0" borderId="24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6" fillId="0" borderId="18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2" fillId="0" borderId="0" xfId="0" applyFont="1" applyAlignment="1">
      <alignment/>
    </xf>
    <xf numFmtId="3" fontId="0" fillId="0" borderId="0" xfId="0" applyNumberForma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5" xfId="59" applyFont="1" applyBorder="1" applyAlignment="1">
      <alignment horizontal="left" vertical="center" wrapText="1"/>
      <protection/>
    </xf>
    <xf numFmtId="3" fontId="9" fillId="0" borderId="47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9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8" fillId="0" borderId="24" xfId="59" applyNumberFormat="1" applyFont="1" applyBorder="1" applyAlignment="1">
      <alignment horizontal="right"/>
      <protection/>
    </xf>
    <xf numFmtId="3" fontId="9" fillId="0" borderId="38" xfId="59" applyNumberFormat="1" applyFont="1" applyBorder="1">
      <alignment/>
      <protection/>
    </xf>
    <xf numFmtId="3" fontId="9" fillId="0" borderId="23" xfId="59" applyNumberFormat="1" applyFont="1" applyBorder="1">
      <alignment/>
      <protection/>
    </xf>
    <xf numFmtId="3" fontId="9" fillId="0" borderId="47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18" xfId="60" applyNumberFormat="1" applyFont="1" applyBorder="1">
      <alignment/>
      <protection/>
    </xf>
    <xf numFmtId="3" fontId="14" fillId="0" borderId="17" xfId="59" applyNumberFormat="1" applyFont="1" applyBorder="1" applyAlignment="1">
      <alignment horizontal="right"/>
      <protection/>
    </xf>
    <xf numFmtId="3" fontId="14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3" fontId="14" fillId="0" borderId="48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8" fillId="0" borderId="19" xfId="59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5" fillId="0" borderId="0" xfId="40" applyNumberFormat="1" applyFont="1" applyAlignment="1">
      <alignment wrapText="1"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5" fillId="0" borderId="0" xfId="4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3" fontId="10" fillId="0" borderId="0" xfId="57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0" xfId="40" applyNumberFormat="1" applyFont="1" applyBorder="1" applyAlignment="1">
      <alignment/>
    </xf>
    <xf numFmtId="0" fontId="9" fillId="0" borderId="19" xfId="59" applyFont="1" applyBorder="1" applyAlignment="1">
      <alignment horizontal="left" wrapText="1"/>
      <protection/>
    </xf>
    <xf numFmtId="168" fontId="19" fillId="0" borderId="0" xfId="40" applyNumberFormat="1" applyFont="1" applyAlignment="1">
      <alignment horizontal="right"/>
    </xf>
    <xf numFmtId="0" fontId="9" fillId="0" borderId="15" xfId="60" applyFont="1" applyBorder="1" applyAlignment="1">
      <alignment wrapText="1"/>
      <protection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3" fontId="9" fillId="0" borderId="53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8" fontId="16" fillId="0" borderId="0" xfId="40" applyNumberFormat="1" applyFont="1" applyAlignment="1">
      <alignment horizontal="right"/>
    </xf>
    <xf numFmtId="16" fontId="0" fillId="0" borderId="0" xfId="0" applyNumberFormat="1" applyAlignment="1" quotePrefix="1">
      <alignment/>
    </xf>
    <xf numFmtId="3" fontId="10" fillId="0" borderId="0" xfId="4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 quotePrefix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6" fillId="0" borderId="0" xfId="0" applyFont="1" applyAlignment="1" quotePrefix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53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59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7" applyFont="1" applyBorder="1" applyAlignment="1">
      <alignment horizontal="left" vertical="center"/>
      <protection/>
    </xf>
    <xf numFmtId="0" fontId="2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57" applyFont="1" applyAlignment="1">
      <alignment horizontal="center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6" xfId="57" applyFont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1" xfId="57" applyFont="1" applyBorder="1" applyAlignment="1">
      <alignment horizontal="center" textRotation="255"/>
      <protection/>
    </xf>
    <xf numFmtId="0" fontId="19" fillId="0" borderId="12" xfId="57" applyFont="1" applyBorder="1" applyAlignment="1">
      <alignment horizontal="center" textRotation="255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168" fontId="16" fillId="0" borderId="57" xfId="40" applyNumberFormat="1" applyFont="1" applyBorder="1" applyAlignment="1">
      <alignment horizontal="center"/>
    </xf>
    <xf numFmtId="168" fontId="16" fillId="0" borderId="58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54" xfId="40" applyNumberFormat="1" applyFont="1" applyBorder="1" applyAlignment="1">
      <alignment horizontal="center"/>
    </xf>
    <xf numFmtId="168" fontId="16" fillId="0" borderId="20" xfId="40" applyNumberFormat="1" applyFont="1" applyBorder="1" applyAlignment="1">
      <alignment horizontal="center"/>
    </xf>
    <xf numFmtId="168" fontId="16" fillId="0" borderId="30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168" fontId="16" fillId="0" borderId="34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6" xfId="4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9" fillId="0" borderId="10" xfId="60" applyFont="1" applyBorder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wrapText="1"/>
      <protection/>
    </xf>
    <xf numFmtId="0" fontId="9" fillId="0" borderId="57" xfId="57" applyFont="1" applyBorder="1" applyAlignment="1">
      <alignment horizontal="center" wrapText="1"/>
      <protection/>
    </xf>
    <xf numFmtId="0" fontId="9" fillId="0" borderId="58" xfId="57" applyFont="1" applyBorder="1" applyAlignment="1">
      <alignment horizontal="center" wrapText="1"/>
      <protection/>
    </xf>
    <xf numFmtId="44" fontId="9" fillId="0" borderId="24" xfId="62" applyFont="1" applyBorder="1" applyAlignment="1">
      <alignment horizontal="center"/>
    </xf>
    <xf numFmtId="44" fontId="9" fillId="0" borderId="57" xfId="62" applyFont="1" applyBorder="1" applyAlignment="1">
      <alignment horizontal="center"/>
    </xf>
    <xf numFmtId="44" fontId="9" fillId="0" borderId="58" xfId="62" applyFont="1" applyBorder="1" applyAlignment="1">
      <alignment horizontal="center"/>
    </xf>
    <xf numFmtId="0" fontId="7" fillId="0" borderId="0" xfId="60" applyFont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1" xfId="57" applyFont="1" applyBorder="1" applyAlignment="1">
      <alignment horizontal="center" textRotation="255"/>
      <protection/>
    </xf>
    <xf numFmtId="0" fontId="9" fillId="0" borderId="12" xfId="57" applyFont="1" applyBorder="1" applyAlignment="1">
      <alignment horizontal="center" textRotation="255"/>
      <protection/>
    </xf>
    <xf numFmtId="0" fontId="9" fillId="0" borderId="13" xfId="57" applyFont="1" applyBorder="1" applyAlignment="1">
      <alignment horizontal="center" textRotation="255"/>
      <protection/>
    </xf>
    <xf numFmtId="0" fontId="9" fillId="0" borderId="24" xfId="57" applyFont="1" applyBorder="1" applyAlignment="1">
      <alignment horizontal="center"/>
      <protection/>
    </xf>
    <xf numFmtId="0" fontId="9" fillId="0" borderId="57" xfId="57" applyFont="1" applyBorder="1" applyAlignment="1">
      <alignment horizontal="center"/>
      <protection/>
    </xf>
    <xf numFmtId="0" fontId="9" fillId="0" borderId="58" xfId="57" applyFont="1" applyBorder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56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7" fillId="0" borderId="24" xfId="57" applyFont="1" applyBorder="1" applyAlignment="1">
      <alignment horizontal="center"/>
      <protection/>
    </xf>
    <xf numFmtId="0" fontId="7" fillId="0" borderId="58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57" applyFont="1" applyBorder="1" applyAlignment="1">
      <alignment horizontal="center" textRotation="255"/>
      <protection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4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21" fillId="0" borderId="0" xfId="0" applyFont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tabSelected="1" zoomScalePageLayoutView="0" workbookViewId="0" topLeftCell="E31">
      <selection activeCell="M61" sqref="M61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21" t="s">
        <v>260</v>
      </c>
      <c r="O42" s="321"/>
      <c r="P42" s="321"/>
      <c r="Q42" s="321"/>
      <c r="R42" s="321"/>
      <c r="S42" s="321"/>
      <c r="T42" s="321"/>
      <c r="U42" s="321"/>
      <c r="V42" s="321"/>
    </row>
    <row r="43" spans="14:21" ht="22.5">
      <c r="N43" s="321"/>
      <c r="O43" s="321"/>
      <c r="P43" s="321"/>
      <c r="Q43" s="321"/>
      <c r="R43" s="321"/>
      <c r="S43" s="321"/>
      <c r="T43" s="321"/>
      <c r="U43" s="321"/>
    </row>
    <row r="44" spans="14:22" ht="22.5">
      <c r="N44" s="321" t="s">
        <v>341</v>
      </c>
      <c r="O44" s="321"/>
      <c r="P44" s="321"/>
      <c r="Q44" s="321"/>
      <c r="R44" s="321"/>
      <c r="S44" s="321"/>
      <c r="T44" s="321"/>
      <c r="U44" s="321"/>
      <c r="V44" s="321"/>
    </row>
    <row r="45" spans="14:22" ht="22.5">
      <c r="N45" s="321" t="s">
        <v>261</v>
      </c>
      <c r="O45" s="321"/>
      <c r="P45" s="321"/>
      <c r="Q45" s="321"/>
      <c r="R45" s="321"/>
      <c r="S45" s="321"/>
      <c r="T45" s="321"/>
      <c r="U45" s="321"/>
      <c r="V45" s="321"/>
    </row>
    <row r="47" spans="17:19" ht="12.75">
      <c r="Q47" s="322" t="s">
        <v>390</v>
      </c>
      <c r="R47" s="323"/>
      <c r="S47" s="323"/>
    </row>
    <row r="48" spans="17:19" ht="12.75">
      <c r="Q48" s="323"/>
      <c r="R48" s="323"/>
      <c r="S48" s="323"/>
    </row>
    <row r="50" spans="17:19" ht="21" customHeight="1">
      <c r="Q50" s="322"/>
      <c r="R50" s="322"/>
      <c r="S50" s="322"/>
    </row>
    <row r="53" spans="14:16" s="140" customFormat="1" ht="15.75">
      <c r="N53" s="206"/>
      <c r="O53" s="13"/>
      <c r="P53" s="15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0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" width="5.125" style="21" customWidth="1"/>
    <col min="2" max="2" width="43.625" style="21" customWidth="1"/>
    <col min="3" max="14" width="15.375" style="16" customWidth="1"/>
    <col min="15" max="15" width="18.875" style="16" customWidth="1"/>
    <col min="16" max="16" width="12.625" style="21" bestFit="1" customWidth="1"/>
    <col min="17" max="16384" width="9.125" style="21" customWidth="1"/>
  </cols>
  <sheetData>
    <row r="1" spans="1:15" ht="15.75">
      <c r="A1" s="382" t="s">
        <v>404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3:15" s="204" customFormat="1" ht="15.7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54" customFormat="1" ht="15.75">
      <c r="A3" s="54" t="s">
        <v>365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05"/>
    </row>
    <row r="4" ht="15.75">
      <c r="O4" s="205"/>
    </row>
    <row r="5" spans="2:15" ht="15.75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2:15" ht="15.75"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</row>
    <row r="7" spans="2:15" ht="15.75">
      <c r="B7" s="327" t="s">
        <v>251</v>
      </c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</row>
    <row r="8" spans="2:15" ht="15.75">
      <c r="B8" s="327" t="s">
        <v>205</v>
      </c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2:15" ht="15.75">
      <c r="B9" s="327" t="s">
        <v>335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3:15" ht="16.5" thickBot="1">
      <c r="C10" s="17"/>
      <c r="D10" s="17"/>
      <c r="E10" s="17"/>
      <c r="F10" s="153"/>
      <c r="G10" s="17"/>
      <c r="H10" s="17"/>
      <c r="I10" s="17"/>
      <c r="J10" s="17"/>
      <c r="O10" s="154" t="s">
        <v>285</v>
      </c>
    </row>
    <row r="11" spans="1:15" ht="15.75">
      <c r="A11" s="155" t="s">
        <v>18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8" t="s">
        <v>206</v>
      </c>
      <c r="D12" s="166" t="s">
        <v>207</v>
      </c>
      <c r="E12" s="167" t="s">
        <v>208</v>
      </c>
      <c r="F12" s="168" t="s">
        <v>209</v>
      </c>
      <c r="G12" s="168" t="s">
        <v>210</v>
      </c>
      <c r="H12" s="168" t="s">
        <v>211</v>
      </c>
      <c r="I12" s="168" t="s">
        <v>212</v>
      </c>
      <c r="J12" s="168" t="s">
        <v>213</v>
      </c>
      <c r="K12" s="168" t="s">
        <v>214</v>
      </c>
      <c r="L12" s="168" t="s">
        <v>215</v>
      </c>
      <c r="M12" s="168" t="s">
        <v>216</v>
      </c>
      <c r="N12" s="167" t="s">
        <v>217</v>
      </c>
      <c r="O12" s="98" t="s">
        <v>202</v>
      </c>
    </row>
    <row r="13" spans="1:15" ht="16.5" thickBot="1">
      <c r="A13" s="169" t="s">
        <v>19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218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20</v>
      </c>
      <c r="B15" s="176" t="s">
        <v>219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220</v>
      </c>
      <c r="C16" s="177">
        <f>883825+16093</f>
        <v>899918</v>
      </c>
      <c r="D16" s="177">
        <f>1773000+15764</f>
        <v>1788764</v>
      </c>
      <c r="E16" s="177">
        <f aca="true" t="shared" si="0" ref="E16:J16">1773000+15763</f>
        <v>1788763</v>
      </c>
      <c r="F16" s="177">
        <f t="shared" si="0"/>
        <v>1788763</v>
      </c>
      <c r="G16" s="177">
        <f t="shared" si="0"/>
        <v>1788763</v>
      </c>
      <c r="H16" s="177">
        <f t="shared" si="0"/>
        <v>1788763</v>
      </c>
      <c r="I16" s="177">
        <f t="shared" si="0"/>
        <v>1788763</v>
      </c>
      <c r="J16" s="177">
        <f t="shared" si="0"/>
        <v>1788763</v>
      </c>
      <c r="K16" s="177">
        <f>1773000+15763</f>
        <v>1788763</v>
      </c>
      <c r="L16" s="177">
        <f>1773000+15763</f>
        <v>1788763</v>
      </c>
      <c r="M16" s="177">
        <v>1773000</v>
      </c>
      <c r="N16" s="177">
        <v>1773000</v>
      </c>
      <c r="O16" s="178">
        <f>SUM(C16:N16)</f>
        <v>20544786</v>
      </c>
    </row>
    <row r="17" spans="1:15" ht="28.5" customHeight="1">
      <c r="A17" s="175"/>
      <c r="B17" s="176" t="s">
        <v>221</v>
      </c>
      <c r="C17" s="177"/>
      <c r="D17" s="177"/>
      <c r="E17" s="177"/>
      <c r="F17" s="177">
        <v>314822</v>
      </c>
      <c r="G17" s="177">
        <v>198827</v>
      </c>
      <c r="H17" s="177">
        <v>198827</v>
      </c>
      <c r="I17" s="177">
        <v>182580</v>
      </c>
      <c r="J17" s="177">
        <f>23200+198827</f>
        <v>222027</v>
      </c>
      <c r="K17" s="177">
        <f>198827+247366</f>
        <v>446193</v>
      </c>
      <c r="L17" s="177">
        <f>198827+287391</f>
        <v>486218</v>
      </c>
      <c r="M17" s="177">
        <f>23200+198827</f>
        <v>222027</v>
      </c>
      <c r="N17" s="177">
        <v>198827</v>
      </c>
      <c r="O17" s="178">
        <f>SUM(C17:N17)</f>
        <v>2470348</v>
      </c>
    </row>
    <row r="18" spans="1:15" ht="28.5" customHeight="1">
      <c r="A18" s="175" t="s">
        <v>14</v>
      </c>
      <c r="B18" s="176" t="s">
        <v>222</v>
      </c>
      <c r="C18" s="177"/>
      <c r="D18" s="177">
        <v>12595865</v>
      </c>
      <c r="E18" s="177"/>
      <c r="F18" s="177"/>
      <c r="G18" s="177"/>
      <c r="H18" s="177">
        <v>44196293</v>
      </c>
      <c r="I18" s="177"/>
      <c r="J18" s="177"/>
      <c r="K18" s="177"/>
      <c r="L18" s="177"/>
      <c r="M18" s="177"/>
      <c r="N18" s="177">
        <v>43293052</v>
      </c>
      <c r="O18" s="178">
        <f aca="true" t="shared" si="1" ref="O18:O28">SUM(C18:N18)</f>
        <v>100085210</v>
      </c>
    </row>
    <row r="19" spans="1:15" ht="15.75">
      <c r="A19" s="175" t="s">
        <v>21</v>
      </c>
      <c r="B19" s="176" t="s">
        <v>223</v>
      </c>
      <c r="C19" s="177">
        <v>23000</v>
      </c>
      <c r="D19" s="177">
        <v>83000</v>
      </c>
      <c r="E19" s="177">
        <v>415000</v>
      </c>
      <c r="F19" s="177">
        <v>69000</v>
      </c>
      <c r="G19" s="177">
        <v>64000</v>
      </c>
      <c r="H19" s="177">
        <v>24000</v>
      </c>
      <c r="I19" s="177">
        <v>9000</v>
      </c>
      <c r="J19" s="177">
        <v>120000</v>
      </c>
      <c r="K19" s="177">
        <v>410000</v>
      </c>
      <c r="L19" s="177">
        <v>22000</v>
      </c>
      <c r="M19" s="177">
        <v>184000</v>
      </c>
      <c r="N19" s="177">
        <v>72000</v>
      </c>
      <c r="O19" s="178">
        <f t="shared" si="1"/>
        <v>1495000</v>
      </c>
    </row>
    <row r="20" spans="1:17" ht="15.75">
      <c r="A20" s="175" t="s">
        <v>59</v>
      </c>
      <c r="B20" s="176" t="s">
        <v>224</v>
      </c>
      <c r="C20" s="177">
        <v>72753</v>
      </c>
      <c r="D20" s="177">
        <v>72753</v>
      </c>
      <c r="E20" s="177">
        <v>72753</v>
      </c>
      <c r="F20" s="177">
        <v>72753</v>
      </c>
      <c r="G20" s="177">
        <v>72753</v>
      </c>
      <c r="H20" s="177">
        <v>72753</v>
      </c>
      <c r="I20" s="177">
        <v>72753</v>
      </c>
      <c r="J20" s="177">
        <v>72753</v>
      </c>
      <c r="K20" s="177">
        <v>72753</v>
      </c>
      <c r="L20" s="177">
        <v>72753</v>
      </c>
      <c r="M20" s="177">
        <v>72753</v>
      </c>
      <c r="N20" s="177">
        <f>23694876+144812</f>
        <v>23839688</v>
      </c>
      <c r="O20" s="178">
        <f t="shared" si="1"/>
        <v>24639971</v>
      </c>
      <c r="P20" s="200"/>
      <c r="Q20" s="200"/>
    </row>
    <row r="21" spans="1:15" ht="15.75">
      <c r="A21" s="175" t="s">
        <v>60</v>
      </c>
      <c r="B21" s="179" t="s">
        <v>225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1"/>
        <v>0</v>
      </c>
    </row>
    <row r="22" spans="1:15" ht="15.75">
      <c r="A22" s="175" t="s">
        <v>65</v>
      </c>
      <c r="B22" s="179" t="s">
        <v>143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1"/>
        <v>0</v>
      </c>
    </row>
    <row r="23" spans="1:15" ht="31.5">
      <c r="A23" s="175"/>
      <c r="B23" s="176" t="s">
        <v>226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1"/>
        <v>0</v>
      </c>
    </row>
    <row r="24" spans="1:15" ht="17.25" customHeight="1">
      <c r="A24" s="175"/>
      <c r="B24" s="176" t="s">
        <v>227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1"/>
        <v>0</v>
      </c>
    </row>
    <row r="25" spans="1:15" ht="15.75">
      <c r="A25" s="175" t="s">
        <v>149</v>
      </c>
      <c r="B25" s="179" t="s">
        <v>228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1"/>
        <v>0</v>
      </c>
    </row>
    <row r="26" spans="1:15" ht="47.25">
      <c r="A26" s="175"/>
      <c r="B26" s="198" t="s">
        <v>229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78">
        <f t="shared" si="1"/>
        <v>0</v>
      </c>
    </row>
    <row r="27" spans="1:15" ht="15.75">
      <c r="A27" s="175"/>
      <c r="B27" s="176" t="s">
        <v>230</v>
      </c>
      <c r="C27" s="183"/>
      <c r="D27" s="183"/>
      <c r="E27" s="183"/>
      <c r="F27" s="183"/>
      <c r="G27" s="183"/>
      <c r="H27" s="183"/>
      <c r="I27" s="183">
        <v>150000</v>
      </c>
      <c r="J27" s="183"/>
      <c r="K27" s="183"/>
      <c r="L27" s="183"/>
      <c r="M27" s="183"/>
      <c r="N27" s="184"/>
      <c r="O27" s="178">
        <f t="shared" si="1"/>
        <v>150000</v>
      </c>
    </row>
    <row r="28" spans="1:15" ht="15.75">
      <c r="A28" s="175" t="s">
        <v>151</v>
      </c>
      <c r="B28" s="179" t="s">
        <v>231</v>
      </c>
      <c r="C28" s="183">
        <v>2655590</v>
      </c>
      <c r="D28" s="183"/>
      <c r="E28" s="183"/>
      <c r="F28" s="183"/>
      <c r="G28" s="183">
        <f>7366061+739032+50000</f>
        <v>8155093</v>
      </c>
      <c r="H28" s="183"/>
      <c r="I28" s="183"/>
      <c r="J28" s="183"/>
      <c r="K28" s="183"/>
      <c r="L28" s="183"/>
      <c r="M28" s="183"/>
      <c r="N28" s="184"/>
      <c r="O28" s="178">
        <f t="shared" si="1"/>
        <v>10810683</v>
      </c>
    </row>
    <row r="29" spans="1:15" ht="16.5" thickBot="1">
      <c r="A29" s="185" t="s">
        <v>153</v>
      </c>
      <c r="B29" s="186" t="s">
        <v>232</v>
      </c>
      <c r="C29" s="183"/>
      <c r="D29" s="183">
        <f>C48</f>
        <v>1051109</v>
      </c>
      <c r="E29" s="183">
        <f aca="true" t="shared" si="2" ref="E29:N29">D48</f>
        <v>13841915</v>
      </c>
      <c r="F29" s="183">
        <f t="shared" si="2"/>
        <v>14313257</v>
      </c>
      <c r="G29" s="183">
        <f t="shared" si="2"/>
        <v>13706169</v>
      </c>
      <c r="H29" s="183">
        <f t="shared" si="2"/>
        <v>16285878</v>
      </c>
      <c r="I29" s="183">
        <f t="shared" si="2"/>
        <v>45188228</v>
      </c>
      <c r="J29" s="183">
        <f t="shared" si="2"/>
        <v>45228150</v>
      </c>
      <c r="K29" s="183">
        <f t="shared" si="2"/>
        <v>45252652</v>
      </c>
      <c r="L29" s="183">
        <f t="shared" si="2"/>
        <v>749196</v>
      </c>
      <c r="M29" s="183">
        <f t="shared" si="2"/>
        <v>1001572</v>
      </c>
      <c r="N29" s="183">
        <f t="shared" si="2"/>
        <v>170304</v>
      </c>
      <c r="O29" s="178"/>
    </row>
    <row r="30" spans="1:16" s="13" customFormat="1" ht="27.75" customHeight="1" thickBot="1">
      <c r="A30" s="187"/>
      <c r="B30" s="187" t="s">
        <v>233</v>
      </c>
      <c r="C30" s="188">
        <f aca="true" t="shared" si="3" ref="C30:N30">SUM(C16:C29)</f>
        <v>3651261</v>
      </c>
      <c r="D30" s="188">
        <f t="shared" si="3"/>
        <v>15591491</v>
      </c>
      <c r="E30" s="188">
        <f t="shared" si="3"/>
        <v>16118431</v>
      </c>
      <c r="F30" s="188">
        <f t="shared" si="3"/>
        <v>16558595</v>
      </c>
      <c r="G30" s="188">
        <f t="shared" si="3"/>
        <v>23985605</v>
      </c>
      <c r="H30" s="188">
        <f t="shared" si="3"/>
        <v>62566514</v>
      </c>
      <c r="I30" s="188">
        <f t="shared" si="3"/>
        <v>47391324</v>
      </c>
      <c r="J30" s="188">
        <f t="shared" si="3"/>
        <v>47431693</v>
      </c>
      <c r="K30" s="188">
        <f t="shared" si="3"/>
        <v>47970361</v>
      </c>
      <c r="L30" s="188">
        <f t="shared" si="3"/>
        <v>3118930</v>
      </c>
      <c r="M30" s="188">
        <f t="shared" si="3"/>
        <v>3253352</v>
      </c>
      <c r="N30" s="188">
        <f t="shared" si="3"/>
        <v>69346871</v>
      </c>
      <c r="O30" s="189">
        <f>SUM(O15:O29)</f>
        <v>160195998</v>
      </c>
      <c r="P30" s="65"/>
    </row>
    <row r="31" spans="1:15" ht="15.75">
      <c r="A31" s="190"/>
      <c r="B31" s="191" t="s">
        <v>234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6" ht="15.75">
      <c r="A32" s="175" t="s">
        <v>159</v>
      </c>
      <c r="B32" s="179" t="s">
        <v>109</v>
      </c>
      <c r="C32" s="177">
        <f>381300+282671+13181+287</f>
        <v>677439</v>
      </c>
      <c r="D32" s="177">
        <f>633712+13191+95766</f>
        <v>742669</v>
      </c>
      <c r="E32" s="177">
        <f>633712+13191+95765</f>
        <v>742668</v>
      </c>
      <c r="F32" s="177">
        <f>633713+13191+95765</f>
        <v>742669</v>
      </c>
      <c r="G32" s="177">
        <f>633712+181163</f>
        <v>814875</v>
      </c>
      <c r="H32" s="177">
        <f>633713+152786</f>
        <v>786499</v>
      </c>
      <c r="I32" s="177">
        <f>633712+181163-6223</f>
        <v>808652</v>
      </c>
      <c r="J32" s="177">
        <f>633713+181163+4</f>
        <v>814880</v>
      </c>
      <c r="K32" s="177">
        <f>633712+181163+207000+13191</f>
        <v>1035066</v>
      </c>
      <c r="L32" s="177">
        <f>633713+181163+130928+13191</f>
        <v>958995</v>
      </c>
      <c r="M32" s="177">
        <f>633712+181163+130928</f>
        <v>945803</v>
      </c>
      <c r="N32" s="177">
        <f>633713+181163</f>
        <v>814876</v>
      </c>
      <c r="O32" s="178">
        <f aca="true" t="shared" si="4" ref="O32:O46">SUM(C32:N32)</f>
        <v>9885091</v>
      </c>
      <c r="P32" s="200"/>
    </row>
    <row r="33" spans="1:15" ht="31.5">
      <c r="A33" s="175" t="s">
        <v>161</v>
      </c>
      <c r="B33" s="198" t="s">
        <v>235</v>
      </c>
      <c r="C33" s="177">
        <f>149956+10+2572</f>
        <v>152538</v>
      </c>
      <c r="D33" s="177">
        <f>149956+2573+9175</f>
        <v>161704</v>
      </c>
      <c r="E33" s="177">
        <f>149956+2572+9175</f>
        <v>161703</v>
      </c>
      <c r="F33" s="177">
        <f>149956+9175+2576+50</f>
        <v>161757</v>
      </c>
      <c r="G33" s="177">
        <f>149956+17663</f>
        <v>167619</v>
      </c>
      <c r="H33" s="177">
        <f>149956+17663-5718</f>
        <v>161901</v>
      </c>
      <c r="I33" s="177">
        <f>149956+17663</f>
        <v>167619</v>
      </c>
      <c r="J33" s="177">
        <f>149956+29764</f>
        <v>179720</v>
      </c>
      <c r="K33" s="177">
        <f>149956+17663+10288+40366</f>
        <v>218273</v>
      </c>
      <c r="L33" s="177">
        <f>149956+17663+2572+12767</f>
        <v>182958</v>
      </c>
      <c r="M33" s="177">
        <f>149956+17663+2572+12768</f>
        <v>182959</v>
      </c>
      <c r="N33" s="177">
        <f>149956+17663</f>
        <v>167619</v>
      </c>
      <c r="O33" s="178">
        <f t="shared" si="4"/>
        <v>2066370</v>
      </c>
    </row>
    <row r="34" spans="1:17" ht="15.75">
      <c r="A34" s="175" t="s">
        <v>163</v>
      </c>
      <c r="B34" s="179" t="s">
        <v>111</v>
      </c>
      <c r="C34" s="177">
        <f>796000+84202</f>
        <v>880202</v>
      </c>
      <c r="D34" s="177">
        <f>730000+84203</f>
        <v>814203</v>
      </c>
      <c r="E34" s="177">
        <f>752600+84203</f>
        <v>836803</v>
      </c>
      <c r="F34" s="177">
        <f>856000+50000</f>
        <v>906000</v>
      </c>
      <c r="G34" s="177">
        <f>720000+84203</f>
        <v>804203</v>
      </c>
      <c r="H34" s="177">
        <f>654000+84203+40640+50800</f>
        <v>829643</v>
      </c>
      <c r="I34" s="177">
        <f>671700+84203-50000</f>
        <v>705903</v>
      </c>
      <c r="J34" s="177">
        <f>722000+84203+64738</f>
        <v>870941</v>
      </c>
      <c r="K34" s="177">
        <f>732000+84203+74930</f>
        <v>891133</v>
      </c>
      <c r="L34" s="177">
        <f>752000+84202+84203</f>
        <v>920405</v>
      </c>
      <c r="M34" s="177">
        <f>820429+84202</f>
        <v>904631</v>
      </c>
      <c r="N34" s="177">
        <f>24935890+84201</f>
        <v>25020091</v>
      </c>
      <c r="O34" s="178">
        <f t="shared" si="4"/>
        <v>34384158</v>
      </c>
      <c r="Q34" s="209"/>
    </row>
    <row r="35" spans="1:15" ht="15.75">
      <c r="A35" s="175" t="s">
        <v>168</v>
      </c>
      <c r="B35" s="179" t="s">
        <v>112</v>
      </c>
      <c r="C35" s="177">
        <v>21000</v>
      </c>
      <c r="D35" s="177">
        <v>21000</v>
      </c>
      <c r="E35" s="177">
        <v>21000</v>
      </c>
      <c r="F35" s="177">
        <v>21000</v>
      </c>
      <c r="G35" s="177">
        <v>21000</v>
      </c>
      <c r="H35" s="177">
        <v>21000</v>
      </c>
      <c r="I35" s="177">
        <v>21000</v>
      </c>
      <c r="J35" s="177">
        <v>251000</v>
      </c>
      <c r="K35" s="177">
        <v>67400</v>
      </c>
      <c r="L35" s="177">
        <v>21000</v>
      </c>
      <c r="M35" s="177">
        <v>395000</v>
      </c>
      <c r="N35" s="177">
        <v>540000</v>
      </c>
      <c r="O35" s="178">
        <f t="shared" si="4"/>
        <v>1421400</v>
      </c>
    </row>
    <row r="36" spans="1:15" ht="15.75">
      <c r="A36" s="175" t="s">
        <v>170</v>
      </c>
      <c r="B36" s="179" t="s">
        <v>236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6" ht="15.75">
      <c r="A37" s="175"/>
      <c r="B37" s="179" t="s">
        <v>238</v>
      </c>
      <c r="C37" s="177">
        <f>41000+12500</f>
        <v>53500</v>
      </c>
      <c r="D37" s="177">
        <f>10000</f>
        <v>10000</v>
      </c>
      <c r="E37" s="177">
        <f>43000</f>
        <v>43000</v>
      </c>
      <c r="F37" s="177">
        <f>21000</f>
        <v>21000</v>
      </c>
      <c r="G37" s="177">
        <v>46000</v>
      </c>
      <c r="H37" s="177">
        <v>21540</v>
      </c>
      <c r="I37" s="177"/>
      <c r="J37" s="177">
        <f>12500+50000</f>
        <v>62500</v>
      </c>
      <c r="K37" s="177">
        <f>43000</f>
        <v>43000</v>
      </c>
      <c r="L37" s="177">
        <v>34000</v>
      </c>
      <c r="M37" s="177"/>
      <c r="N37" s="177"/>
      <c r="O37" s="178">
        <f t="shared" si="4"/>
        <v>334540</v>
      </c>
      <c r="P37" s="200"/>
    </row>
    <row r="38" spans="1:15" ht="15.75">
      <c r="A38" s="175" t="s">
        <v>172</v>
      </c>
      <c r="B38" s="179" t="s">
        <v>115</v>
      </c>
      <c r="C38" s="177"/>
      <c r="D38" s="177"/>
      <c r="E38" s="177"/>
      <c r="F38" s="177"/>
      <c r="G38" s="177"/>
      <c r="H38" s="177"/>
      <c r="I38" s="177">
        <v>460000</v>
      </c>
      <c r="J38" s="177"/>
      <c r="K38" s="177">
        <f>250000+44196293</f>
        <v>44446293</v>
      </c>
      <c r="L38" s="177"/>
      <c r="M38" s="177">
        <f>131000+500000+23655</f>
        <v>654655</v>
      </c>
      <c r="N38" s="177">
        <v>42804285</v>
      </c>
      <c r="O38" s="178">
        <f t="shared" si="4"/>
        <v>88365233</v>
      </c>
    </row>
    <row r="39" spans="1:15" ht="15.75">
      <c r="A39" s="175" t="s">
        <v>180</v>
      </c>
      <c r="B39" s="179" t="s">
        <v>38</v>
      </c>
      <c r="C39" s="177"/>
      <c r="D39" s="177"/>
      <c r="E39" s="177"/>
      <c r="F39" s="177">
        <v>1000000</v>
      </c>
      <c r="G39" s="177"/>
      <c r="H39" s="177">
        <f>14818665+739032+6</f>
        <v>15557703</v>
      </c>
      <c r="I39" s="177"/>
      <c r="J39" s="177"/>
      <c r="K39" s="177">
        <v>520000</v>
      </c>
      <c r="L39" s="177"/>
      <c r="M39" s="177"/>
      <c r="N39" s="177"/>
      <c r="O39" s="178">
        <f t="shared" si="4"/>
        <v>17077703</v>
      </c>
    </row>
    <row r="40" spans="1:15" ht="20.25" customHeight="1">
      <c r="A40" s="175" t="s">
        <v>183</v>
      </c>
      <c r="B40" s="179" t="s">
        <v>173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>
        <f t="shared" si="4"/>
        <v>0</v>
      </c>
    </row>
    <row r="41" spans="1:15" ht="20.25" customHeight="1">
      <c r="A41" s="175"/>
      <c r="B41" s="179" t="s">
        <v>237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4"/>
        <v>0</v>
      </c>
    </row>
    <row r="42" spans="1:15" ht="15.75">
      <c r="A42" s="175"/>
      <c r="B42" s="179" t="s">
        <v>238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4"/>
        <v>0</v>
      </c>
    </row>
    <row r="43" spans="1:15" ht="15.75">
      <c r="A43" s="175" t="s">
        <v>184</v>
      </c>
      <c r="B43" s="179" t="s">
        <v>108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>
        <f t="shared" si="4"/>
        <v>0</v>
      </c>
    </row>
    <row r="44" spans="1:15" ht="15.75">
      <c r="A44" s="175"/>
      <c r="B44" s="179" t="s">
        <v>275</v>
      </c>
      <c r="C44" s="177">
        <v>815473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4"/>
        <v>815473</v>
      </c>
    </row>
    <row r="45" spans="1:15" ht="15.75">
      <c r="A45" s="175"/>
      <c r="B45" s="179" t="s">
        <v>239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4"/>
        <v>0</v>
      </c>
    </row>
    <row r="46" spans="1:16" ht="16.5" thickBot="1">
      <c r="A46" s="175" t="s">
        <v>240</v>
      </c>
      <c r="B46" s="179" t="s">
        <v>241</v>
      </c>
      <c r="C46" s="177"/>
      <c r="D46" s="177"/>
      <c r="E46" s="177"/>
      <c r="F46" s="177"/>
      <c r="G46" s="177">
        <f>7366061-996370-6-500000-23655</f>
        <v>5846030</v>
      </c>
      <c r="H46" s="177"/>
      <c r="I46" s="177"/>
      <c r="J46" s="177"/>
      <c r="K46" s="177"/>
      <c r="L46" s="177"/>
      <c r="M46" s="177"/>
      <c r="N46" s="177"/>
      <c r="O46" s="178">
        <f t="shared" si="4"/>
        <v>5846030</v>
      </c>
      <c r="P46" s="200"/>
    </row>
    <row r="47" spans="1:19" s="13" customFormat="1" ht="24" customHeight="1" thickBot="1">
      <c r="A47" s="187"/>
      <c r="B47" s="187" t="s">
        <v>242</v>
      </c>
      <c r="C47" s="188">
        <f aca="true" t="shared" si="5" ref="C47:O47">SUM(C32:C46)</f>
        <v>2600152</v>
      </c>
      <c r="D47" s="188">
        <f t="shared" si="5"/>
        <v>1749576</v>
      </c>
      <c r="E47" s="188">
        <f t="shared" si="5"/>
        <v>1805174</v>
      </c>
      <c r="F47" s="188">
        <f t="shared" si="5"/>
        <v>2852426</v>
      </c>
      <c r="G47" s="188">
        <f t="shared" si="5"/>
        <v>7699727</v>
      </c>
      <c r="H47" s="188">
        <f t="shared" si="5"/>
        <v>17378286</v>
      </c>
      <c r="I47" s="188">
        <f t="shared" si="5"/>
        <v>2163174</v>
      </c>
      <c r="J47" s="188">
        <f t="shared" si="5"/>
        <v>2179041</v>
      </c>
      <c r="K47" s="188">
        <f t="shared" si="5"/>
        <v>47221165</v>
      </c>
      <c r="L47" s="188">
        <f t="shared" si="5"/>
        <v>2117358</v>
      </c>
      <c r="M47" s="188">
        <f t="shared" si="5"/>
        <v>3083048</v>
      </c>
      <c r="N47" s="188">
        <f t="shared" si="5"/>
        <v>69346871</v>
      </c>
      <c r="O47" s="189">
        <f t="shared" si="5"/>
        <v>160195998</v>
      </c>
      <c r="S47" s="193"/>
    </row>
    <row r="48" spans="1:15" ht="26.25" customHeight="1" thickBot="1">
      <c r="A48" s="194"/>
      <c r="B48" s="195" t="s">
        <v>243</v>
      </c>
      <c r="C48" s="196">
        <f aca="true" t="shared" si="6" ref="C48:N48">C30-C47</f>
        <v>1051109</v>
      </c>
      <c r="D48" s="196">
        <f t="shared" si="6"/>
        <v>13841915</v>
      </c>
      <c r="E48" s="196">
        <f t="shared" si="6"/>
        <v>14313257</v>
      </c>
      <c r="F48" s="196">
        <f t="shared" si="6"/>
        <v>13706169</v>
      </c>
      <c r="G48" s="196">
        <f t="shared" si="6"/>
        <v>16285878</v>
      </c>
      <c r="H48" s="196">
        <f t="shared" si="6"/>
        <v>45188228</v>
      </c>
      <c r="I48" s="196">
        <f t="shared" si="6"/>
        <v>45228150</v>
      </c>
      <c r="J48" s="196">
        <f t="shared" si="6"/>
        <v>45252652</v>
      </c>
      <c r="K48" s="196">
        <f t="shared" si="6"/>
        <v>749196</v>
      </c>
      <c r="L48" s="196">
        <f t="shared" si="6"/>
        <v>1001572</v>
      </c>
      <c r="M48" s="196">
        <f t="shared" si="6"/>
        <v>170304</v>
      </c>
      <c r="N48" s="196">
        <f t="shared" si="6"/>
        <v>0</v>
      </c>
      <c r="O48" s="197"/>
    </row>
    <row r="50" spans="3:14" ht="15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</sheetData>
  <sheetProtection/>
  <mergeCells count="6">
    <mergeCell ref="B9:O9"/>
    <mergeCell ref="B5:O5"/>
    <mergeCell ref="B6:O6"/>
    <mergeCell ref="B7:O7"/>
    <mergeCell ref="B8:O8"/>
    <mergeCell ref="A1:O1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6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9.125" style="241" customWidth="1"/>
    <col min="2" max="2" width="64.625" style="2" customWidth="1"/>
    <col min="3" max="3" width="14.875" style="23" customWidth="1"/>
    <col min="4" max="4" width="4.875" style="2" customWidth="1"/>
    <col min="5" max="5" width="17.25390625" style="2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324" t="s">
        <v>396</v>
      </c>
      <c r="B1" s="325"/>
      <c r="C1" s="325"/>
      <c r="D1" s="325"/>
      <c r="E1" s="325"/>
      <c r="F1" s="325"/>
    </row>
    <row r="2" spans="1:6" ht="15">
      <c r="A2" s="329" t="s">
        <v>366</v>
      </c>
      <c r="B2" s="330"/>
      <c r="C2" s="330"/>
      <c r="D2" s="330"/>
      <c r="E2" s="330"/>
      <c r="F2" s="330"/>
    </row>
    <row r="3" spans="2:6" ht="15">
      <c r="B3" s="46"/>
      <c r="C3" s="46"/>
      <c r="D3" s="46"/>
      <c r="E3" s="46"/>
      <c r="F3" s="46"/>
    </row>
    <row r="4" spans="1:6" s="21" customFormat="1" ht="15.75">
      <c r="A4" s="242"/>
      <c r="B4" s="328"/>
      <c r="C4" s="328"/>
      <c r="D4" s="328"/>
      <c r="E4" s="328"/>
      <c r="F4" s="328"/>
    </row>
    <row r="5" spans="1:6" s="21" customFormat="1" ht="15.75">
      <c r="A5" s="242"/>
      <c r="B5" s="327" t="s">
        <v>251</v>
      </c>
      <c r="C5" s="327"/>
      <c r="D5" s="327"/>
      <c r="E5" s="327"/>
      <c r="F5" s="327"/>
    </row>
    <row r="6" spans="2:6" ht="15.75">
      <c r="B6" s="327" t="s">
        <v>89</v>
      </c>
      <c r="C6" s="327"/>
      <c r="D6" s="327"/>
      <c r="E6" s="327"/>
      <c r="F6" s="327"/>
    </row>
    <row r="7" spans="2:6" ht="12.75" customHeight="1">
      <c r="B7" s="326" t="s">
        <v>339</v>
      </c>
      <c r="C7" s="326"/>
      <c r="D7" s="326"/>
      <c r="E7" s="326"/>
      <c r="F7" s="326"/>
    </row>
    <row r="8" spans="1:6" s="1" customFormat="1" ht="15">
      <c r="A8" s="243"/>
      <c r="B8" s="2"/>
      <c r="C8" s="23"/>
      <c r="D8" s="2"/>
      <c r="E8" s="20"/>
      <c r="F8" s="2"/>
    </row>
    <row r="9" spans="1:5" s="1" customFormat="1" ht="18.75">
      <c r="A9" s="243" t="s">
        <v>20</v>
      </c>
      <c r="B9" s="69" t="s">
        <v>90</v>
      </c>
      <c r="C9" s="24"/>
      <c r="E9" s="70"/>
    </row>
    <row r="10" spans="1:6" ht="15.75">
      <c r="A10" s="241" t="s">
        <v>304</v>
      </c>
      <c r="B10" s="5" t="s">
        <v>91</v>
      </c>
      <c r="C10" s="24"/>
      <c r="D10" s="1"/>
      <c r="E10" s="71">
        <f>C11+C12</f>
        <v>23015134</v>
      </c>
      <c r="F10" s="1" t="s">
        <v>289</v>
      </c>
    </row>
    <row r="11" spans="2:8" ht="15.75">
      <c r="B11" s="72" t="s">
        <v>92</v>
      </c>
      <c r="C11" s="23">
        <f>'2.mell - bevétel'!H56</f>
        <v>20544786</v>
      </c>
      <c r="D11" s="2" t="s">
        <v>289</v>
      </c>
      <c r="E11" s="20"/>
      <c r="H11" s="40"/>
    </row>
    <row r="12" spans="1:6" s="1" customFormat="1" ht="15.75" customHeight="1">
      <c r="A12" s="243"/>
      <c r="B12" s="72" t="s">
        <v>93</v>
      </c>
      <c r="C12" s="23">
        <f>'2.mell - bevétel'!H63</f>
        <v>2470348</v>
      </c>
      <c r="D12" s="2" t="s">
        <v>289</v>
      </c>
      <c r="E12" s="20"/>
      <c r="F12" s="2"/>
    </row>
    <row r="13" spans="1:5" s="1" customFormat="1" ht="15.75">
      <c r="A13" s="243"/>
      <c r="B13" s="5"/>
      <c r="C13" s="24"/>
      <c r="E13" s="71"/>
    </row>
    <row r="14" spans="1:6" s="1" customFormat="1" ht="15.75">
      <c r="A14" s="243" t="s">
        <v>305</v>
      </c>
      <c r="B14" s="5" t="s">
        <v>94</v>
      </c>
      <c r="C14" s="24"/>
      <c r="E14" s="71">
        <f>'2.mell - bevétel'!H71</f>
        <v>100085210</v>
      </c>
      <c r="F14" s="1" t="s">
        <v>289</v>
      </c>
    </row>
    <row r="15" spans="1:5" s="1" customFormat="1" ht="15.75">
      <c r="A15" s="243"/>
      <c r="B15" s="15" t="s">
        <v>300</v>
      </c>
      <c r="C15" s="279">
        <v>78740410</v>
      </c>
      <c r="D15" s="281" t="s">
        <v>1</v>
      </c>
      <c r="E15" s="71"/>
    </row>
    <row r="16" spans="1:5" s="1" customFormat="1" ht="15.75">
      <c r="A16" s="243"/>
      <c r="B16" s="15" t="s">
        <v>301</v>
      </c>
      <c r="C16" s="279">
        <v>8748935</v>
      </c>
      <c r="D16" s="281" t="s">
        <v>1</v>
      </c>
      <c r="E16" s="71"/>
    </row>
    <row r="17" spans="1:5" s="1" customFormat="1" ht="30.75" customHeight="1">
      <c r="A17" s="243"/>
      <c r="B17" s="59" t="s">
        <v>349</v>
      </c>
      <c r="C17" s="280">
        <v>12595865</v>
      </c>
      <c r="D17" s="281" t="s">
        <v>1</v>
      </c>
      <c r="E17" s="273"/>
    </row>
    <row r="18" spans="1:6" s="1" customFormat="1" ht="15.75">
      <c r="A18" s="243" t="s">
        <v>306</v>
      </c>
      <c r="B18" s="5" t="s">
        <v>68</v>
      </c>
      <c r="C18" s="24"/>
      <c r="E18" s="71">
        <f>'2.mell - bevétel'!H83</f>
        <v>1495000</v>
      </c>
      <c r="F18" s="1" t="s">
        <v>289</v>
      </c>
    </row>
    <row r="19" spans="1:8" s="1" customFormat="1" ht="15.75">
      <c r="A19" s="243"/>
      <c r="B19" s="5"/>
      <c r="C19" s="24"/>
      <c r="E19" s="71"/>
      <c r="H19" s="41"/>
    </row>
    <row r="20" spans="1:6" s="1" customFormat="1" ht="15.75">
      <c r="A20" s="243" t="s">
        <v>307</v>
      </c>
      <c r="B20" s="5" t="s">
        <v>30</v>
      </c>
      <c r="C20" s="24"/>
      <c r="E20" s="71">
        <f>'2.mell - bevétel'!H95</f>
        <v>24639971</v>
      </c>
      <c r="F20" s="1" t="s">
        <v>289</v>
      </c>
    </row>
    <row r="21" spans="1:5" s="1" customFormat="1" ht="15.75">
      <c r="A21" s="243"/>
      <c r="B21" s="8"/>
      <c r="C21" s="25"/>
      <c r="E21" s="71"/>
    </row>
    <row r="22" spans="1:5" s="1" customFormat="1" ht="15.75">
      <c r="A22" s="243"/>
      <c r="B22" s="8"/>
      <c r="C22" s="24"/>
      <c r="E22" s="71"/>
    </row>
    <row r="23" spans="1:6" s="1" customFormat="1" ht="15.75">
      <c r="A23" s="243" t="s">
        <v>308</v>
      </c>
      <c r="B23" s="5" t="s">
        <v>95</v>
      </c>
      <c r="E23" s="71">
        <f>C24+C25</f>
        <v>0</v>
      </c>
      <c r="F23" s="1" t="s">
        <v>289</v>
      </c>
    </row>
    <row r="24" spans="1:8" s="4" customFormat="1" ht="32.25">
      <c r="A24" s="244"/>
      <c r="B24" s="72" t="s">
        <v>96</v>
      </c>
      <c r="C24" s="25">
        <v>0</v>
      </c>
      <c r="D24" s="1" t="s">
        <v>289</v>
      </c>
      <c r="E24" s="71"/>
      <c r="F24" s="1"/>
      <c r="G24" s="1"/>
      <c r="H24" s="42"/>
    </row>
    <row r="25" spans="2:8" ht="18.75">
      <c r="B25" s="21" t="s">
        <v>97</v>
      </c>
      <c r="C25" s="24">
        <v>0</v>
      </c>
      <c r="D25" s="1" t="s">
        <v>289</v>
      </c>
      <c r="E25" s="71"/>
      <c r="F25" s="1"/>
      <c r="G25" s="4"/>
      <c r="H25" s="43"/>
    </row>
    <row r="26" spans="1:8" s="1" customFormat="1" ht="18.75">
      <c r="A26" s="243"/>
      <c r="B26" s="31"/>
      <c r="C26" s="23"/>
      <c r="D26" s="2"/>
      <c r="E26" s="73"/>
      <c r="F26" s="4"/>
      <c r="H26" s="44"/>
    </row>
    <row r="27" spans="1:6" s="1" customFormat="1" ht="15.75">
      <c r="A27" s="243" t="s">
        <v>309</v>
      </c>
      <c r="B27" s="5" t="s">
        <v>79</v>
      </c>
      <c r="C27" s="24"/>
      <c r="E27" s="71">
        <f>C28+C29</f>
        <v>150000</v>
      </c>
      <c r="F27" s="1" t="s">
        <v>289</v>
      </c>
    </row>
    <row r="28" spans="1:5" s="1" customFormat="1" ht="31.5">
      <c r="A28" s="243"/>
      <c r="B28" s="72" t="s">
        <v>98</v>
      </c>
      <c r="C28" s="24">
        <v>0</v>
      </c>
      <c r="D28" s="1" t="s">
        <v>289</v>
      </c>
      <c r="E28" s="71"/>
    </row>
    <row r="29" spans="1:5" s="1" customFormat="1" ht="15.75">
      <c r="A29" s="243"/>
      <c r="B29" s="21" t="s">
        <v>99</v>
      </c>
      <c r="C29" s="24">
        <f>'2.mell - bevétel'!H98</f>
        <v>150000</v>
      </c>
      <c r="D29" s="1" t="s">
        <v>289</v>
      </c>
      <c r="E29" s="71"/>
    </row>
    <row r="30" spans="1:5" s="1" customFormat="1" ht="15.75">
      <c r="A30" s="243"/>
      <c r="B30" s="31"/>
      <c r="E30" s="70"/>
    </row>
    <row r="31" spans="1:6" s="1" customFormat="1" ht="15.75">
      <c r="A31" s="243" t="s">
        <v>310</v>
      </c>
      <c r="B31" s="5" t="s">
        <v>22</v>
      </c>
      <c r="E31" s="74">
        <f>SUM(E10:E30)</f>
        <v>149385315</v>
      </c>
      <c r="F31" s="1" t="s">
        <v>289</v>
      </c>
    </row>
    <row r="32" spans="1:5" s="1" customFormat="1" ht="15.75">
      <c r="A32" s="243"/>
      <c r="B32" s="21"/>
      <c r="E32" s="70"/>
    </row>
    <row r="33" spans="1:5" s="1" customFormat="1" ht="18.75">
      <c r="A33" s="243" t="s">
        <v>14</v>
      </c>
      <c r="B33" s="69" t="s">
        <v>100</v>
      </c>
      <c r="E33" s="70"/>
    </row>
    <row r="34" spans="1:6" s="1" customFormat="1" ht="15.75">
      <c r="A34" s="243" t="s">
        <v>311</v>
      </c>
      <c r="B34" s="9" t="s">
        <v>7</v>
      </c>
      <c r="C34" s="24"/>
      <c r="E34" s="71">
        <f>C36+C37+C38+C39+C40</f>
        <v>53937589</v>
      </c>
      <c r="F34" s="1" t="s">
        <v>289</v>
      </c>
    </row>
    <row r="35" spans="1:5" s="1" customFormat="1" ht="15.75">
      <c r="A35" s="243"/>
      <c r="B35" s="8" t="s">
        <v>6</v>
      </c>
      <c r="C35" s="24"/>
      <c r="E35" s="71"/>
    </row>
    <row r="36" spans="1:5" s="1" customFormat="1" ht="15.75">
      <c r="A36" s="243" t="s">
        <v>313</v>
      </c>
      <c r="B36" s="21" t="s">
        <v>318</v>
      </c>
      <c r="C36" s="24">
        <f>'4.mell. - kiadás'!E34</f>
        <v>9885091</v>
      </c>
      <c r="D36" s="1" t="s">
        <v>289</v>
      </c>
      <c r="E36" s="71"/>
    </row>
    <row r="37" spans="1:5" s="1" customFormat="1" ht="15.75">
      <c r="A37" s="243" t="s">
        <v>314</v>
      </c>
      <c r="B37" s="21" t="s">
        <v>319</v>
      </c>
      <c r="C37" s="24">
        <f>'4.mell. - kiadás'!F34</f>
        <v>2066370</v>
      </c>
      <c r="D37" s="1" t="s">
        <v>289</v>
      </c>
      <c r="E37" s="71"/>
    </row>
    <row r="38" spans="1:5" s="1" customFormat="1" ht="15.75">
      <c r="A38" s="243" t="s">
        <v>315</v>
      </c>
      <c r="B38" s="21" t="s">
        <v>320</v>
      </c>
      <c r="C38" s="24">
        <f>'4.mell. - kiadás'!G34</f>
        <v>34384158</v>
      </c>
      <c r="D38" s="1" t="s">
        <v>289</v>
      </c>
      <c r="E38" s="71"/>
    </row>
    <row r="39" spans="1:5" s="1" customFormat="1" ht="15.75">
      <c r="A39" s="243" t="s">
        <v>316</v>
      </c>
      <c r="B39" s="75" t="s">
        <v>321</v>
      </c>
      <c r="C39" s="24">
        <f>'4.mell. - kiadás'!H34</f>
        <v>1421400</v>
      </c>
      <c r="D39" s="1" t="s">
        <v>289</v>
      </c>
      <c r="E39" s="71"/>
    </row>
    <row r="40" spans="1:5" s="1" customFormat="1" ht="15.75">
      <c r="A40" s="243" t="s">
        <v>317</v>
      </c>
      <c r="B40" s="208" t="s">
        <v>322</v>
      </c>
      <c r="C40" s="24">
        <f>'4.mell. - kiadás'!I34+'4.mell. - kiadás'!J34</f>
        <v>6180570</v>
      </c>
      <c r="D40" s="1" t="s">
        <v>289</v>
      </c>
      <c r="E40" s="71"/>
    </row>
    <row r="41" spans="1:6" s="1" customFormat="1" ht="15.75">
      <c r="A41" s="243" t="s">
        <v>312</v>
      </c>
      <c r="B41" s="9" t="s">
        <v>8</v>
      </c>
      <c r="C41" s="24"/>
      <c r="E41" s="76">
        <f>C43+C44+C45</f>
        <v>105442936</v>
      </c>
      <c r="F41" s="1" t="s">
        <v>289</v>
      </c>
    </row>
    <row r="42" spans="1:5" s="1" customFormat="1" ht="15.75">
      <c r="A42" s="243"/>
      <c r="B42" s="8" t="s">
        <v>6</v>
      </c>
      <c r="C42" s="24"/>
      <c r="E42" s="71"/>
    </row>
    <row r="43" spans="1:5" s="1" customFormat="1" ht="15.75">
      <c r="A43" s="243" t="s">
        <v>326</v>
      </c>
      <c r="B43" s="21" t="s">
        <v>323</v>
      </c>
      <c r="C43" s="25">
        <f>'4.mell. - kiadás'!L34</f>
        <v>88365233</v>
      </c>
      <c r="D43" s="1" t="s">
        <v>289</v>
      </c>
      <c r="E43" s="71"/>
    </row>
    <row r="44" spans="1:5" s="1" customFormat="1" ht="15.75">
      <c r="A44" s="243" t="s">
        <v>327</v>
      </c>
      <c r="B44" s="21" t="s">
        <v>324</v>
      </c>
      <c r="C44" s="25">
        <f>'4.mell. - kiadás'!M34</f>
        <v>17077703</v>
      </c>
      <c r="D44" s="1" t="s">
        <v>289</v>
      </c>
      <c r="E44" s="71"/>
    </row>
    <row r="45" spans="1:7" ht="15.75">
      <c r="A45" s="241" t="s">
        <v>328</v>
      </c>
      <c r="B45" s="21" t="s">
        <v>325</v>
      </c>
      <c r="C45" s="25">
        <f>'4.mell. - kiadás'!N34</f>
        <v>0</v>
      </c>
      <c r="D45" s="1" t="s">
        <v>289</v>
      </c>
      <c r="E45" s="71"/>
      <c r="F45" s="1"/>
      <c r="G45" s="1"/>
    </row>
    <row r="46" spans="1:5" s="1" customFormat="1" ht="15.75">
      <c r="A46" s="243"/>
      <c r="B46" s="21"/>
      <c r="C46" s="25"/>
      <c r="E46" s="71"/>
    </row>
    <row r="47" spans="1:6" s="1" customFormat="1" ht="15.75">
      <c r="A47" s="243" t="s">
        <v>329</v>
      </c>
      <c r="B47" s="13" t="s">
        <v>101</v>
      </c>
      <c r="C47" s="25"/>
      <c r="E47" s="71">
        <f>C48</f>
        <v>815473</v>
      </c>
      <c r="F47" s="1" t="s">
        <v>289</v>
      </c>
    </row>
    <row r="48" spans="1:5" s="1" customFormat="1" ht="15.75">
      <c r="A48" s="243"/>
      <c r="B48" s="21" t="s">
        <v>276</v>
      </c>
      <c r="C48" s="24">
        <f>'4.mell. - kiadás'!S34</f>
        <v>815473</v>
      </c>
      <c r="D48" s="1" t="s">
        <v>289</v>
      </c>
      <c r="E48" s="71"/>
    </row>
    <row r="49" spans="1:7" s="4" customFormat="1" ht="18.75">
      <c r="A49" s="244"/>
      <c r="B49" s="21" t="s">
        <v>102</v>
      </c>
      <c r="C49" s="24">
        <v>0</v>
      </c>
      <c r="D49" s="1" t="s">
        <v>289</v>
      </c>
      <c r="E49" s="71"/>
      <c r="F49" s="1"/>
      <c r="G49" s="2"/>
    </row>
    <row r="50" spans="2:7" ht="15.75">
      <c r="B50" s="21"/>
      <c r="C50" s="25"/>
      <c r="D50" s="1"/>
      <c r="E50" s="71"/>
      <c r="F50" s="1"/>
      <c r="G50" s="1"/>
    </row>
    <row r="51" spans="1:7" ht="15.75">
      <c r="A51" s="241" t="s">
        <v>330</v>
      </c>
      <c r="B51" s="5" t="s">
        <v>23</v>
      </c>
      <c r="C51" s="25"/>
      <c r="D51" s="1"/>
      <c r="E51" s="20">
        <f>SUM(E34:E50)</f>
        <v>160195998</v>
      </c>
      <c r="F51" s="2" t="s">
        <v>289</v>
      </c>
      <c r="G51" s="1"/>
    </row>
    <row r="52" spans="2:7" ht="15.75">
      <c r="B52" s="21"/>
      <c r="C52" s="24"/>
      <c r="D52" s="1"/>
      <c r="E52" s="76"/>
      <c r="F52" s="1"/>
      <c r="G52" s="1"/>
    </row>
    <row r="53" spans="1:7" ht="18.75">
      <c r="A53" s="241" t="s">
        <v>21</v>
      </c>
      <c r="B53" s="5" t="s">
        <v>24</v>
      </c>
      <c r="C53" s="24"/>
      <c r="D53" s="1"/>
      <c r="E53" s="20">
        <f>E31-E51</f>
        <v>-10810683</v>
      </c>
      <c r="F53" s="2" t="s">
        <v>289</v>
      </c>
      <c r="G53" s="4"/>
    </row>
    <row r="54" spans="2:5" ht="15.75">
      <c r="B54" s="21"/>
      <c r="C54" s="24"/>
      <c r="D54" s="1"/>
      <c r="E54" s="20"/>
    </row>
    <row r="55" spans="1:6" ht="32.25">
      <c r="A55" s="245" t="s">
        <v>59</v>
      </c>
      <c r="B55" s="77" t="s">
        <v>277</v>
      </c>
      <c r="C55" s="26"/>
      <c r="D55" s="4"/>
      <c r="E55" s="20">
        <f>'2.mell - bevétel'!H109</f>
        <v>10810683</v>
      </c>
      <c r="F55" s="2" t="s">
        <v>289</v>
      </c>
    </row>
    <row r="56" spans="1:7" s="1" customFormat="1" ht="15.75">
      <c r="A56" s="243"/>
      <c r="B56" s="21"/>
      <c r="C56" s="23"/>
      <c r="D56" s="2"/>
      <c r="E56" s="20"/>
      <c r="F56" s="2"/>
      <c r="G56" s="2"/>
    </row>
    <row r="57" spans="1:6" ht="15.75">
      <c r="A57" s="241" t="s">
        <v>60</v>
      </c>
      <c r="B57" s="5" t="s">
        <v>39</v>
      </c>
      <c r="E57" s="20">
        <f>E53+E55</f>
        <v>0</v>
      </c>
      <c r="F57" s="2" t="s">
        <v>289</v>
      </c>
    </row>
    <row r="58" spans="1:5" s="1" customFormat="1" ht="10.5" customHeight="1">
      <c r="A58" s="243"/>
      <c r="B58" s="3"/>
      <c r="C58" s="24"/>
      <c r="E58" s="16"/>
    </row>
    <row r="59" spans="2:6" ht="15.75">
      <c r="B59" s="3"/>
      <c r="C59" s="24"/>
      <c r="D59" s="1"/>
      <c r="E59" s="16"/>
      <c r="F59" s="5"/>
    </row>
    <row r="60" spans="2:6" ht="15.75">
      <c r="B60" s="5"/>
      <c r="E60" s="17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8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00390625" style="30" customWidth="1"/>
    <col min="2" max="2" width="3.125" style="27" customWidth="1"/>
    <col min="3" max="3" width="4.25390625" style="27" customWidth="1"/>
    <col min="4" max="5" width="3.125" style="27" customWidth="1"/>
    <col min="6" max="6" width="52.125" style="8" customWidth="1"/>
    <col min="7" max="7" width="17.1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324" t="s">
        <v>397</v>
      </c>
      <c r="B1" s="325"/>
      <c r="C1" s="325"/>
      <c r="D1" s="325"/>
      <c r="E1" s="325"/>
      <c r="F1" s="325"/>
      <c r="G1" s="325"/>
      <c r="H1" s="325"/>
      <c r="I1" s="325"/>
    </row>
    <row r="2" spans="1:9" ht="15.75">
      <c r="A2" s="283"/>
      <c r="B2" s="284"/>
      <c r="C2" s="284"/>
      <c r="D2" s="284"/>
      <c r="E2" s="284"/>
      <c r="F2" s="284"/>
      <c r="G2" s="284"/>
      <c r="H2" s="284"/>
      <c r="I2" s="284"/>
    </row>
    <row r="3" spans="1:9" ht="15.75">
      <c r="A3" s="150" t="s">
        <v>359</v>
      </c>
      <c r="B3" s="150"/>
      <c r="C3" s="150"/>
      <c r="D3" s="150"/>
      <c r="E3" s="150"/>
      <c r="F3" s="45"/>
      <c r="G3" s="45"/>
      <c r="H3" s="45"/>
      <c r="I3" s="45"/>
    </row>
    <row r="4" spans="5:9" ht="15.75">
      <c r="E4" s="46"/>
      <c r="F4" s="46"/>
      <c r="G4" s="46"/>
      <c r="H4" s="46"/>
      <c r="I4" s="46"/>
    </row>
    <row r="5" spans="1:9" ht="15.75">
      <c r="A5" s="346"/>
      <c r="B5" s="346"/>
      <c r="C5" s="346"/>
      <c r="D5" s="346"/>
      <c r="E5" s="346"/>
      <c r="F5" s="346"/>
      <c r="G5" s="346"/>
      <c r="H5" s="346"/>
      <c r="I5" s="346"/>
    </row>
    <row r="6" spans="1:9" s="9" customFormat="1" ht="15.75">
      <c r="A6" s="346" t="s">
        <v>251</v>
      </c>
      <c r="B6" s="346"/>
      <c r="C6" s="346"/>
      <c r="D6" s="346"/>
      <c r="E6" s="346"/>
      <c r="F6" s="346"/>
      <c r="G6" s="346"/>
      <c r="H6" s="346"/>
      <c r="I6" s="346"/>
    </row>
    <row r="7" spans="1:9" s="9" customFormat="1" ht="15.75">
      <c r="A7" s="346" t="s">
        <v>252</v>
      </c>
      <c r="B7" s="346"/>
      <c r="C7" s="346"/>
      <c r="D7" s="346"/>
      <c r="E7" s="346"/>
      <c r="F7" s="346"/>
      <c r="G7" s="346"/>
      <c r="H7" s="346"/>
      <c r="I7" s="346"/>
    </row>
    <row r="8" spans="1:9" ht="15.75">
      <c r="A8" s="346" t="s">
        <v>335</v>
      </c>
      <c r="B8" s="346"/>
      <c r="C8" s="346"/>
      <c r="D8" s="346"/>
      <c r="E8" s="346"/>
      <c r="F8" s="346"/>
      <c r="G8" s="346"/>
      <c r="H8" s="346"/>
      <c r="I8" s="346"/>
    </row>
    <row r="9" ht="15.75" hidden="1"/>
    <row r="10" spans="8:9" ht="16.5" thickBot="1">
      <c r="H10" s="32"/>
      <c r="I10" s="33" t="s">
        <v>285</v>
      </c>
    </row>
    <row r="11" spans="1:9" ht="15.75">
      <c r="A11" s="347" t="s">
        <v>11</v>
      </c>
      <c r="B11" s="348"/>
      <c r="C11" s="348"/>
      <c r="D11" s="348"/>
      <c r="E11" s="348"/>
      <c r="F11" s="349"/>
      <c r="G11" s="34" t="s">
        <v>9</v>
      </c>
      <c r="H11" s="34" t="s">
        <v>9</v>
      </c>
      <c r="I11" s="34" t="s">
        <v>10</v>
      </c>
    </row>
    <row r="12" spans="1:9" ht="15.75">
      <c r="A12" s="350"/>
      <c r="B12" s="351"/>
      <c r="C12" s="351"/>
      <c r="D12" s="351"/>
      <c r="E12" s="351"/>
      <c r="F12" s="352"/>
      <c r="G12" s="35" t="s">
        <v>5</v>
      </c>
      <c r="H12" s="35" t="s">
        <v>5</v>
      </c>
      <c r="I12" s="35"/>
    </row>
    <row r="13" spans="1:9" ht="16.5" thickBot="1">
      <c r="A13" s="353"/>
      <c r="B13" s="354"/>
      <c r="C13" s="354"/>
      <c r="D13" s="354"/>
      <c r="E13" s="354"/>
      <c r="F13" s="355"/>
      <c r="G13" s="36" t="s">
        <v>284</v>
      </c>
      <c r="H13" s="36" t="s">
        <v>336</v>
      </c>
      <c r="I13" s="36" t="s">
        <v>12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3" t="s">
        <v>25</v>
      </c>
      <c r="B15" s="332" t="s">
        <v>41</v>
      </c>
      <c r="C15" s="332"/>
      <c r="D15" s="332"/>
      <c r="E15" s="332"/>
      <c r="F15" s="332"/>
      <c r="G15" s="48"/>
      <c r="H15" s="49"/>
      <c r="I15" s="48"/>
    </row>
    <row r="16" spans="1:9" ht="10.5" customHeight="1">
      <c r="A16" s="13"/>
      <c r="B16" s="47"/>
      <c r="C16" s="47"/>
      <c r="D16" s="47"/>
      <c r="E16" s="47"/>
      <c r="F16" s="47"/>
      <c r="G16" s="48"/>
      <c r="H16" s="49"/>
      <c r="I16" s="48"/>
    </row>
    <row r="17" spans="1:9" ht="15.75">
      <c r="A17" s="13"/>
      <c r="B17" s="13" t="s">
        <v>25</v>
      </c>
      <c r="C17" s="13" t="s">
        <v>42</v>
      </c>
      <c r="D17" s="13"/>
      <c r="E17" s="13"/>
      <c r="F17" s="13"/>
      <c r="G17" s="19"/>
      <c r="H17" s="19"/>
      <c r="I17" s="13"/>
    </row>
    <row r="18" spans="1:9" ht="6.75" customHeight="1">
      <c r="A18" s="13"/>
      <c r="B18" s="13"/>
      <c r="C18" s="13"/>
      <c r="D18" s="13"/>
      <c r="E18" s="13"/>
      <c r="F18" s="13"/>
      <c r="G18" s="19"/>
      <c r="H18" s="19"/>
      <c r="I18" s="13"/>
    </row>
    <row r="19" spans="1:9" ht="15.75">
      <c r="A19" s="13"/>
      <c r="B19" s="13"/>
      <c r="C19" s="13" t="s">
        <v>20</v>
      </c>
      <c r="D19" s="332" t="s">
        <v>43</v>
      </c>
      <c r="E19" s="332"/>
      <c r="F19" s="332"/>
      <c r="G19" s="49"/>
      <c r="H19" s="49"/>
      <c r="I19" s="48"/>
    </row>
    <row r="20" spans="1:9" ht="15.75">
      <c r="A20" s="13"/>
      <c r="B20" s="13"/>
      <c r="C20" s="13"/>
      <c r="D20" s="47"/>
      <c r="E20" s="47"/>
      <c r="F20" s="47"/>
      <c r="G20" s="49"/>
      <c r="H20" s="49"/>
      <c r="I20" s="48"/>
    </row>
    <row r="21" spans="1:9" ht="15.75">
      <c r="A21" s="13"/>
      <c r="B21" s="13"/>
      <c r="C21" s="13"/>
      <c r="D21" s="13" t="s">
        <v>20</v>
      </c>
      <c r="E21" s="332" t="s">
        <v>44</v>
      </c>
      <c r="F21" s="332"/>
      <c r="G21" s="49"/>
      <c r="H21" s="49"/>
      <c r="I21" s="48"/>
    </row>
    <row r="22" spans="1:9" ht="15.75">
      <c r="A22" s="15"/>
      <c r="B22" s="15"/>
      <c r="C22" s="15"/>
      <c r="D22" s="15"/>
      <c r="E22" s="15" t="s">
        <v>31</v>
      </c>
      <c r="F22" s="15" t="s">
        <v>26</v>
      </c>
      <c r="G22" s="18"/>
      <c r="H22" s="18"/>
      <c r="I22" s="50"/>
    </row>
    <row r="23" spans="1:9" ht="15.75">
      <c r="A23" s="15"/>
      <c r="B23" s="15"/>
      <c r="C23" s="15"/>
      <c r="D23" s="15"/>
      <c r="E23" s="15"/>
      <c r="F23" s="15" t="s">
        <v>45</v>
      </c>
      <c r="G23" s="18"/>
      <c r="I23" s="50"/>
    </row>
    <row r="24" spans="1:9" ht="31.5">
      <c r="A24" s="15"/>
      <c r="B24" s="15"/>
      <c r="C24" s="15"/>
      <c r="D24" s="15"/>
      <c r="E24" s="15" t="s">
        <v>32</v>
      </c>
      <c r="F24" s="51" t="s">
        <v>27</v>
      </c>
      <c r="G24" s="52"/>
      <c r="I24" s="50"/>
    </row>
    <row r="25" spans="1:9" ht="31.5">
      <c r="A25" s="15"/>
      <c r="B25" s="15"/>
      <c r="C25" s="15"/>
      <c r="D25" s="15"/>
      <c r="E25" s="15" t="s">
        <v>46</v>
      </c>
      <c r="F25" s="51" t="s">
        <v>47</v>
      </c>
      <c r="G25" s="18">
        <v>1074860</v>
      </c>
      <c r="H25" s="211">
        <v>1074860</v>
      </c>
      <c r="I25" s="50">
        <f>H25/G25*100</f>
        <v>100</v>
      </c>
    </row>
    <row r="26" spans="1:9" ht="15.75">
      <c r="A26" s="15"/>
      <c r="B26" s="15"/>
      <c r="C26" s="15"/>
      <c r="D26" s="15"/>
      <c r="E26" s="15"/>
      <c r="F26" s="15" t="s">
        <v>45</v>
      </c>
      <c r="G26" s="18"/>
      <c r="H26" s="211"/>
      <c r="I26" s="50"/>
    </row>
    <row r="27" spans="1:9" ht="15.75">
      <c r="A27" s="15"/>
      <c r="B27" s="15"/>
      <c r="C27" s="15"/>
      <c r="D27" s="15"/>
      <c r="E27" s="15" t="s">
        <v>48</v>
      </c>
      <c r="F27" s="51" t="s">
        <v>49</v>
      </c>
      <c r="G27" s="18">
        <v>1024000</v>
      </c>
      <c r="H27" s="211">
        <v>1024000</v>
      </c>
      <c r="I27" s="50">
        <f aca="true" t="shared" si="0" ref="I27:I36">H27/G27*100</f>
        <v>100</v>
      </c>
    </row>
    <row r="28" spans="1:9" ht="15.75">
      <c r="A28" s="15"/>
      <c r="B28" s="15"/>
      <c r="C28" s="15"/>
      <c r="D28" s="15"/>
      <c r="E28" s="15"/>
      <c r="F28" s="15" t="s">
        <v>45</v>
      </c>
      <c r="G28" s="18"/>
      <c r="H28" s="211"/>
      <c r="I28" s="50"/>
    </row>
    <row r="29" spans="1:9" ht="21" customHeight="1">
      <c r="A29" s="15"/>
      <c r="B29" s="15"/>
      <c r="C29" s="15"/>
      <c r="D29" s="15"/>
      <c r="E29" s="15" t="s">
        <v>50</v>
      </c>
      <c r="F29" s="51" t="s">
        <v>51</v>
      </c>
      <c r="G29" s="18">
        <v>357006</v>
      </c>
      <c r="H29" s="211">
        <v>100000</v>
      </c>
      <c r="I29" s="50">
        <f t="shared" si="0"/>
        <v>28.01073371315888</v>
      </c>
    </row>
    <row r="30" spans="1:9" ht="15.75">
      <c r="A30" s="15"/>
      <c r="B30" s="15"/>
      <c r="C30" s="15"/>
      <c r="D30" s="15"/>
      <c r="E30" s="15"/>
      <c r="F30" s="15" t="s">
        <v>45</v>
      </c>
      <c r="G30" s="18"/>
      <c r="H30" s="211"/>
      <c r="I30" s="50"/>
    </row>
    <row r="31" spans="1:9" ht="15.75">
      <c r="A31" s="15"/>
      <c r="B31" s="15"/>
      <c r="C31" s="15"/>
      <c r="D31" s="15"/>
      <c r="E31" s="15" t="s">
        <v>52</v>
      </c>
      <c r="F31" s="51" t="s">
        <v>53</v>
      </c>
      <c r="G31" s="18">
        <v>692350</v>
      </c>
      <c r="H31" s="211">
        <v>692350</v>
      </c>
      <c r="I31" s="50">
        <f t="shared" si="0"/>
        <v>100</v>
      </c>
    </row>
    <row r="32" spans="1:9" s="22" customFormat="1" ht="15.75">
      <c r="A32" s="15"/>
      <c r="B32" s="15"/>
      <c r="C32" s="15"/>
      <c r="D32" s="15"/>
      <c r="E32" s="15"/>
      <c r="F32" s="15" t="s">
        <v>45</v>
      </c>
      <c r="G32" s="18"/>
      <c r="H32" s="212"/>
      <c r="I32" s="50"/>
    </row>
    <row r="33" spans="1:9" ht="15.75">
      <c r="A33" s="15"/>
      <c r="B33" s="15"/>
      <c r="C33" s="15"/>
      <c r="D33" s="15" t="s">
        <v>33</v>
      </c>
      <c r="E33" s="15" t="s">
        <v>54</v>
      </c>
      <c r="F33" s="15"/>
      <c r="G33" s="18">
        <v>5000000</v>
      </c>
      <c r="H33" s="211">
        <v>5000000</v>
      </c>
      <c r="I33" s="50">
        <f t="shared" si="0"/>
        <v>100</v>
      </c>
    </row>
    <row r="34" spans="1:9" ht="15.75">
      <c r="A34" s="15"/>
      <c r="B34" s="15"/>
      <c r="C34" s="15"/>
      <c r="D34" s="15"/>
      <c r="E34" s="15"/>
      <c r="F34" s="15" t="s">
        <v>45</v>
      </c>
      <c r="G34" s="18"/>
      <c r="H34" s="211"/>
      <c r="I34" s="50"/>
    </row>
    <row r="35" spans="1:9" ht="15.75">
      <c r="A35" s="15"/>
      <c r="B35" s="15"/>
      <c r="C35" s="15"/>
      <c r="D35" s="15" t="s">
        <v>34</v>
      </c>
      <c r="E35" s="15" t="s">
        <v>85</v>
      </c>
      <c r="F35" s="15"/>
      <c r="G35" s="18">
        <v>56100</v>
      </c>
      <c r="H35" s="211">
        <v>51000</v>
      </c>
      <c r="I35" s="50">
        <f t="shared" si="0"/>
        <v>90.9090909090909</v>
      </c>
    </row>
    <row r="36" spans="1:9" ht="15.75">
      <c r="A36" s="15"/>
      <c r="B36" s="15"/>
      <c r="C36" s="15"/>
      <c r="D36" s="15" t="s">
        <v>86</v>
      </c>
      <c r="E36" s="15" t="s">
        <v>245</v>
      </c>
      <c r="F36" s="15"/>
      <c r="G36" s="18">
        <v>2953554</v>
      </c>
      <c r="H36" s="211">
        <v>3573995</v>
      </c>
      <c r="I36" s="50">
        <f t="shared" si="0"/>
        <v>121.00659070394515</v>
      </c>
    </row>
    <row r="37" spans="1:9" s="22" customFormat="1" ht="15.75">
      <c r="A37" s="15"/>
      <c r="B37" s="15"/>
      <c r="C37" s="15"/>
      <c r="D37" s="15" t="s">
        <v>14</v>
      </c>
      <c r="E37" s="15" t="s">
        <v>55</v>
      </c>
      <c r="F37" s="15"/>
      <c r="G37" s="18"/>
      <c r="I37" s="50"/>
    </row>
    <row r="38" spans="1:9" ht="15.75">
      <c r="A38" s="15"/>
      <c r="B38" s="15"/>
      <c r="C38" s="15"/>
      <c r="D38" s="15"/>
      <c r="E38" s="15"/>
      <c r="F38" s="15" t="s">
        <v>45</v>
      </c>
      <c r="G38" s="18"/>
      <c r="I38" s="50"/>
    </row>
    <row r="39" spans="1:9" ht="15.75">
      <c r="A39" s="15"/>
      <c r="B39" s="15"/>
      <c r="D39" s="15" t="s">
        <v>65</v>
      </c>
      <c r="E39" s="15" t="s">
        <v>337</v>
      </c>
      <c r="F39" s="15"/>
      <c r="G39" s="13"/>
      <c r="H39" s="211">
        <v>1009100</v>
      </c>
      <c r="I39" s="50"/>
    </row>
    <row r="40" spans="1:9" ht="31.5" customHeight="1">
      <c r="A40" s="54"/>
      <c r="B40" s="54"/>
      <c r="C40" s="55"/>
      <c r="D40" s="331" t="s">
        <v>56</v>
      </c>
      <c r="E40" s="331"/>
      <c r="F40" s="331"/>
      <c r="G40" s="246">
        <f>SUM(G22:G39)</f>
        <v>11157870</v>
      </c>
      <c r="H40" s="260">
        <f>SUM(H22:H39)</f>
        <v>12525305</v>
      </c>
      <c r="I40" s="247">
        <f>H40/G40*100</f>
        <v>112.25534084910471</v>
      </c>
    </row>
    <row r="41" spans="1:9" ht="33" customHeight="1">
      <c r="A41" s="15"/>
      <c r="B41" s="15"/>
      <c r="C41" s="248" t="s">
        <v>28</v>
      </c>
      <c r="D41" s="332" t="s">
        <v>57</v>
      </c>
      <c r="E41" s="332"/>
      <c r="F41" s="332"/>
      <c r="G41" s="49"/>
      <c r="H41" s="259"/>
      <c r="I41" s="50"/>
    </row>
    <row r="42" spans="1:9" ht="15.75">
      <c r="A42" s="15"/>
      <c r="B42" s="15"/>
      <c r="C42" s="15"/>
      <c r="D42" s="15" t="s">
        <v>20</v>
      </c>
      <c r="E42" s="15" t="s">
        <v>87</v>
      </c>
      <c r="F42" s="15"/>
      <c r="G42" s="18"/>
      <c r="H42" s="261"/>
      <c r="I42" s="50"/>
    </row>
    <row r="43" spans="1:9" ht="30.75" customHeight="1">
      <c r="A43" s="15"/>
      <c r="B43" s="15"/>
      <c r="C43" s="15"/>
      <c r="D43" s="15" t="s">
        <v>14</v>
      </c>
      <c r="E43" s="333" t="s">
        <v>88</v>
      </c>
      <c r="F43" s="333"/>
      <c r="G43" s="18">
        <v>2444000</v>
      </c>
      <c r="H43" s="261">
        <v>2574000</v>
      </c>
      <c r="I43" s="68">
        <f>H43/G43*100</f>
        <v>105.31914893617021</v>
      </c>
    </row>
    <row r="44" spans="1:9" ht="15.75">
      <c r="A44" s="15"/>
      <c r="B44" s="15"/>
      <c r="C44" s="15"/>
      <c r="D44" s="15" t="s">
        <v>21</v>
      </c>
      <c r="E44" s="15" t="s">
        <v>58</v>
      </c>
      <c r="F44" s="15"/>
      <c r="G44" s="18"/>
      <c r="H44" s="261"/>
      <c r="I44" s="50"/>
    </row>
    <row r="45" spans="1:9" ht="15.75">
      <c r="A45" s="15"/>
      <c r="B45" s="15"/>
      <c r="C45" s="15"/>
      <c r="D45" s="15"/>
      <c r="E45" s="15" t="s">
        <v>264</v>
      </c>
      <c r="F45" s="15" t="s">
        <v>265</v>
      </c>
      <c r="G45" s="18">
        <v>221440</v>
      </c>
      <c r="H45" s="261">
        <v>387520</v>
      </c>
      <c r="I45" s="68">
        <f>H45/G45*100</f>
        <v>175</v>
      </c>
    </row>
    <row r="46" spans="1:9" ht="15.75">
      <c r="A46" s="15"/>
      <c r="B46" s="15"/>
      <c r="C46" s="15"/>
      <c r="D46" s="15"/>
      <c r="E46" s="15" t="s">
        <v>266</v>
      </c>
      <c r="F46" s="15" t="s">
        <v>267</v>
      </c>
      <c r="G46" s="18">
        <v>2500000</v>
      </c>
      <c r="H46" s="261">
        <v>3100000</v>
      </c>
      <c r="I46" s="68">
        <f>H46/G46*100</f>
        <v>124</v>
      </c>
    </row>
    <row r="47" spans="1:9" ht="15.75" customHeight="1">
      <c r="A47" s="15"/>
      <c r="B47" s="15"/>
      <c r="C47" s="15"/>
      <c r="D47" s="15" t="s">
        <v>59</v>
      </c>
      <c r="E47" s="333" t="s">
        <v>249</v>
      </c>
      <c r="F47" s="333"/>
      <c r="G47" s="333"/>
      <c r="H47" s="264">
        <f>63383+63052+31526</f>
        <v>157961</v>
      </c>
      <c r="I47" s="68"/>
    </row>
    <row r="48" spans="1:9" ht="33.75" customHeight="1">
      <c r="A48" s="54"/>
      <c r="B48" s="54"/>
      <c r="C48" s="331" t="s">
        <v>61</v>
      </c>
      <c r="D48" s="331"/>
      <c r="E48" s="331"/>
      <c r="F48" s="331"/>
      <c r="G48" s="249">
        <f>SUM(G42:G46)</f>
        <v>5165440</v>
      </c>
      <c r="H48" s="262">
        <f>SUM(H42:H47)</f>
        <v>6219481</v>
      </c>
      <c r="I48" s="247">
        <f>H48/G48*100</f>
        <v>120.40563824185355</v>
      </c>
    </row>
    <row r="49" spans="1:9" ht="12" customHeight="1">
      <c r="A49" s="15"/>
      <c r="B49" s="15"/>
      <c r="C49" s="15"/>
      <c r="D49" s="15"/>
      <c r="E49" s="15"/>
      <c r="F49" s="15"/>
      <c r="G49" s="18"/>
      <c r="H49" s="261"/>
      <c r="I49" s="50"/>
    </row>
    <row r="50" spans="1:9" ht="31.5" customHeight="1">
      <c r="A50" s="15"/>
      <c r="B50" s="15"/>
      <c r="C50" s="248" t="s">
        <v>331</v>
      </c>
      <c r="D50" s="332" t="s">
        <v>62</v>
      </c>
      <c r="E50" s="332"/>
      <c r="F50" s="332"/>
      <c r="G50" s="49"/>
      <c r="H50" s="263"/>
      <c r="I50" s="48"/>
    </row>
    <row r="51" spans="1:9" ht="15.75">
      <c r="A51" s="15"/>
      <c r="B51" s="15"/>
      <c r="C51" s="15"/>
      <c r="D51" s="15" t="s">
        <v>20</v>
      </c>
      <c r="E51" s="333" t="s">
        <v>29</v>
      </c>
      <c r="F51" s="333"/>
      <c r="G51" s="52"/>
      <c r="H51" s="264"/>
      <c r="I51" s="51"/>
    </row>
    <row r="52" spans="1:9" ht="31.5">
      <c r="A52" s="15"/>
      <c r="B52" s="15"/>
      <c r="C52" s="15"/>
      <c r="D52" s="15"/>
      <c r="E52" s="15" t="s">
        <v>34</v>
      </c>
      <c r="F52" s="51" t="s">
        <v>63</v>
      </c>
      <c r="G52" s="18">
        <v>1200000</v>
      </c>
      <c r="H52" s="264">
        <v>1800000</v>
      </c>
      <c r="I52" s="50">
        <f>H52/G52*100</f>
        <v>150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261"/>
      <c r="I53" s="50"/>
    </row>
    <row r="54" spans="1:9" ht="31.5" customHeight="1">
      <c r="A54" s="54"/>
      <c r="B54" s="54"/>
      <c r="C54" s="331" t="s">
        <v>64</v>
      </c>
      <c r="D54" s="331"/>
      <c r="E54" s="331"/>
      <c r="F54" s="331"/>
      <c r="G54" s="249">
        <f>SUM(G52:G53)</f>
        <v>1200000</v>
      </c>
      <c r="H54" s="262">
        <f>SUM(H52:H53)</f>
        <v>1800000</v>
      </c>
      <c r="I54" s="247">
        <f>H54/G54*100</f>
        <v>150</v>
      </c>
    </row>
    <row r="55" spans="1:9" ht="10.5" customHeight="1">
      <c r="A55" s="15"/>
      <c r="B55" s="15"/>
      <c r="C55" s="15"/>
      <c r="D55" s="15"/>
      <c r="E55" s="15"/>
      <c r="F55" s="15"/>
      <c r="G55" s="18"/>
      <c r="H55" s="261"/>
      <c r="I55" s="50"/>
    </row>
    <row r="56" spans="1:9" ht="29.25" customHeight="1">
      <c r="A56" s="57"/>
      <c r="B56" s="332" t="s">
        <v>66</v>
      </c>
      <c r="C56" s="332"/>
      <c r="D56" s="332"/>
      <c r="E56" s="332"/>
      <c r="F56" s="332"/>
      <c r="G56" s="62">
        <f>G40+G48+G54</f>
        <v>17523310</v>
      </c>
      <c r="H56" s="265">
        <f>H40+H48+H54</f>
        <v>20544786</v>
      </c>
      <c r="I56" s="63">
        <f>H56/G56*100</f>
        <v>117.24260998635532</v>
      </c>
    </row>
    <row r="57" spans="1:9" ht="19.5" customHeight="1">
      <c r="A57" s="57"/>
      <c r="B57" s="47"/>
      <c r="C57" s="47"/>
      <c r="D57" s="47"/>
      <c r="E57" s="47"/>
      <c r="F57" s="47"/>
      <c r="G57" s="62"/>
      <c r="H57" s="265"/>
      <c r="I57" s="63"/>
    </row>
    <row r="58" spans="1:9" ht="19.5" customHeight="1">
      <c r="A58" s="57"/>
      <c r="B58" s="47" t="s">
        <v>247</v>
      </c>
      <c r="C58" s="332" t="s">
        <v>248</v>
      </c>
      <c r="D58" s="332"/>
      <c r="E58" s="332"/>
      <c r="F58" s="332"/>
      <c r="G58" s="62"/>
      <c r="H58" s="265"/>
      <c r="I58" s="63"/>
    </row>
    <row r="59" spans="1:9" ht="15.75">
      <c r="A59" s="57"/>
      <c r="B59" s="47"/>
      <c r="C59" s="59" t="s">
        <v>20</v>
      </c>
      <c r="D59" s="333" t="s">
        <v>342</v>
      </c>
      <c r="E59" s="333"/>
      <c r="F59" s="333"/>
      <c r="G59" s="62"/>
      <c r="H59" s="264"/>
      <c r="I59" s="63"/>
    </row>
    <row r="60" spans="1:9" ht="15.75" customHeight="1">
      <c r="A60" s="57"/>
      <c r="B60" s="47"/>
      <c r="C60" s="59" t="s">
        <v>14</v>
      </c>
      <c r="D60" s="334" t="s">
        <v>244</v>
      </c>
      <c r="E60" s="334"/>
      <c r="F60" s="334"/>
      <c r="G60" s="213">
        <v>46400</v>
      </c>
      <c r="H60" s="264">
        <v>46400</v>
      </c>
      <c r="I60" s="63"/>
    </row>
    <row r="61" spans="1:9" ht="15.75">
      <c r="A61" s="57"/>
      <c r="B61" s="47"/>
      <c r="C61" s="59" t="s">
        <v>21</v>
      </c>
      <c r="D61" s="335" t="s">
        <v>358</v>
      </c>
      <c r="E61" s="336"/>
      <c r="F61" s="336"/>
      <c r="G61" s="213"/>
      <c r="H61" s="264">
        <f>314822+1391789+287391</f>
        <v>1994002</v>
      </c>
      <c r="I61" s="63"/>
    </row>
    <row r="62" spans="1:9" ht="15.75">
      <c r="A62" s="57"/>
      <c r="B62" s="47"/>
      <c r="C62" s="59" t="s">
        <v>59</v>
      </c>
      <c r="D62" s="334" t="s">
        <v>369</v>
      </c>
      <c r="E62" s="334"/>
      <c r="F62" s="334"/>
      <c r="G62" s="213"/>
      <c r="H62" s="264">
        <f>182580+247366</f>
        <v>429946</v>
      </c>
      <c r="I62" s="63"/>
    </row>
    <row r="63" spans="1:9" ht="31.5" customHeight="1">
      <c r="A63" s="57"/>
      <c r="B63" s="332" t="s">
        <v>250</v>
      </c>
      <c r="C63" s="332"/>
      <c r="D63" s="332"/>
      <c r="E63" s="332"/>
      <c r="F63" s="332"/>
      <c r="G63" s="62">
        <f>SUM(G59:G62)</f>
        <v>46400</v>
      </c>
      <c r="H63" s="265">
        <f>SUM(H59:H62)</f>
        <v>2470348</v>
      </c>
      <c r="I63" s="63"/>
    </row>
    <row r="64" spans="1:9" ht="12" customHeight="1">
      <c r="A64" s="15"/>
      <c r="B64" s="15"/>
      <c r="C64" s="15"/>
      <c r="D64" s="15"/>
      <c r="E64" s="15"/>
      <c r="F64" s="15"/>
      <c r="G64" s="18"/>
      <c r="H64" s="261"/>
      <c r="I64" s="50"/>
    </row>
    <row r="65" spans="1:9" ht="36" customHeight="1">
      <c r="A65" s="332" t="s">
        <v>67</v>
      </c>
      <c r="B65" s="332"/>
      <c r="C65" s="332"/>
      <c r="D65" s="332"/>
      <c r="E65" s="332"/>
      <c r="F65" s="332"/>
      <c r="G65" s="64">
        <f>G56+G63</f>
        <v>17569710</v>
      </c>
      <c r="H65" s="266">
        <f>H56+H63</f>
        <v>23015134</v>
      </c>
      <c r="I65" s="201">
        <f>I56</f>
        <v>117.24260998635532</v>
      </c>
    </row>
    <row r="66" spans="1:9" ht="10.5" customHeight="1">
      <c r="A66" s="47"/>
      <c r="B66" s="47"/>
      <c r="C66" s="47"/>
      <c r="D66" s="47"/>
      <c r="E66" s="47"/>
      <c r="F66" s="47"/>
      <c r="G66" s="64"/>
      <c r="H66" s="266"/>
      <c r="I66" s="201"/>
    </row>
    <row r="67" spans="1:9" ht="33" customHeight="1">
      <c r="A67" s="217" t="s">
        <v>247</v>
      </c>
      <c r="B67" s="332" t="s">
        <v>293</v>
      </c>
      <c r="C67" s="332"/>
      <c r="D67" s="332"/>
      <c r="E67" s="332"/>
      <c r="F67" s="332"/>
      <c r="G67" s="64"/>
      <c r="H67" s="266"/>
      <c r="I67" s="201"/>
    </row>
    <row r="68" spans="1:9" ht="15" customHeight="1">
      <c r="A68" s="47"/>
      <c r="B68" s="47" t="s">
        <v>20</v>
      </c>
      <c r="C68" s="335" t="s">
        <v>294</v>
      </c>
      <c r="D68" s="335"/>
      <c r="E68" s="335"/>
      <c r="F68" s="335"/>
      <c r="G68" s="211">
        <v>78740410</v>
      </c>
      <c r="H68" s="267">
        <v>78740410</v>
      </c>
      <c r="I68" s="201"/>
    </row>
    <row r="69" spans="1:9" ht="15" customHeight="1">
      <c r="A69" s="47"/>
      <c r="B69" s="47"/>
      <c r="C69" s="335" t="s">
        <v>295</v>
      </c>
      <c r="D69" s="335"/>
      <c r="E69" s="335"/>
      <c r="F69" s="335"/>
      <c r="G69" s="211">
        <v>8748935</v>
      </c>
      <c r="H69" s="267">
        <v>8748935</v>
      </c>
      <c r="I69" s="201"/>
    </row>
    <row r="70" spans="1:9" ht="34.5" customHeight="1">
      <c r="A70" s="47"/>
      <c r="B70" s="274" t="s">
        <v>14</v>
      </c>
      <c r="C70" s="333" t="s">
        <v>349</v>
      </c>
      <c r="D70" s="356"/>
      <c r="E70" s="356"/>
      <c r="F70" s="356"/>
      <c r="G70" s="211"/>
      <c r="H70" s="267">
        <v>12595865</v>
      </c>
      <c r="I70" s="201"/>
    </row>
    <row r="71" spans="1:9" ht="40.5" customHeight="1">
      <c r="A71" s="332" t="s">
        <v>296</v>
      </c>
      <c r="B71" s="332"/>
      <c r="C71" s="332"/>
      <c r="D71" s="332"/>
      <c r="E71" s="332"/>
      <c r="F71" s="332"/>
      <c r="G71" s="64">
        <f>G68+G69</f>
        <v>87489345</v>
      </c>
      <c r="H71" s="266">
        <f>H68+H69+H70</f>
        <v>100085210</v>
      </c>
      <c r="I71" s="201"/>
    </row>
    <row r="72" spans="1:9" ht="15" customHeight="1">
      <c r="A72" s="47"/>
      <c r="B72" s="47"/>
      <c r="C72" s="47"/>
      <c r="D72" s="47"/>
      <c r="E72" s="47"/>
      <c r="F72" s="47"/>
      <c r="G72" s="64"/>
      <c r="H72" s="266"/>
      <c r="I72" s="201"/>
    </row>
    <row r="73" spans="1:9" ht="15.75">
      <c r="A73" s="13" t="s">
        <v>28</v>
      </c>
      <c r="B73" s="13" t="s">
        <v>68</v>
      </c>
      <c r="C73" s="13"/>
      <c r="D73" s="13"/>
      <c r="E73" s="13"/>
      <c r="F73" s="13"/>
      <c r="G73" s="13"/>
      <c r="H73" s="268"/>
      <c r="I73" s="50"/>
    </row>
    <row r="74" spans="1:9" ht="9" customHeight="1">
      <c r="A74" s="15"/>
      <c r="B74" s="15"/>
      <c r="C74" s="15"/>
      <c r="D74" s="15"/>
      <c r="E74" s="15"/>
      <c r="F74" s="15"/>
      <c r="G74" s="18"/>
      <c r="H74" s="261"/>
      <c r="I74" s="50"/>
    </row>
    <row r="75" spans="1:9" ht="15.75">
      <c r="A75" s="13"/>
      <c r="B75" s="13" t="s">
        <v>20</v>
      </c>
      <c r="C75" s="13" t="s">
        <v>69</v>
      </c>
      <c r="D75" s="13"/>
      <c r="E75" s="13"/>
      <c r="F75" s="13"/>
      <c r="G75" s="13"/>
      <c r="H75" s="268"/>
      <c r="I75" s="50"/>
    </row>
    <row r="76" spans="1:9" s="9" customFormat="1" ht="15.75">
      <c r="A76" s="15"/>
      <c r="B76" s="15"/>
      <c r="C76" s="15" t="s">
        <v>20</v>
      </c>
      <c r="D76" s="15" t="s">
        <v>70</v>
      </c>
      <c r="E76" s="15"/>
      <c r="F76" s="15"/>
      <c r="G76" s="60">
        <v>800000</v>
      </c>
      <c r="H76" s="261">
        <v>800000</v>
      </c>
      <c r="I76" s="50">
        <f>H76/G76*100</f>
        <v>100</v>
      </c>
    </row>
    <row r="77" spans="1:9" ht="15.75">
      <c r="A77" s="13"/>
      <c r="B77" s="13" t="s">
        <v>14</v>
      </c>
      <c r="C77" s="13" t="s">
        <v>71</v>
      </c>
      <c r="D77" s="13"/>
      <c r="E77" s="13"/>
      <c r="F77" s="13"/>
      <c r="G77" s="60"/>
      <c r="H77" s="268"/>
      <c r="I77" s="50"/>
    </row>
    <row r="78" spans="1:9" ht="15.75">
      <c r="A78" s="15"/>
      <c r="B78" s="15"/>
      <c r="C78" s="15" t="s">
        <v>20</v>
      </c>
      <c r="D78" s="15" t="s">
        <v>72</v>
      </c>
      <c r="E78" s="15"/>
      <c r="F78" s="15"/>
      <c r="G78" s="60">
        <v>650000</v>
      </c>
      <c r="H78" s="261">
        <v>650000</v>
      </c>
      <c r="I78" s="50">
        <f>H78/G78*100</f>
        <v>100</v>
      </c>
    </row>
    <row r="79" spans="1:9" ht="15.75">
      <c r="A79" s="13"/>
      <c r="B79" s="13" t="s">
        <v>59</v>
      </c>
      <c r="C79" s="13" t="s">
        <v>73</v>
      </c>
      <c r="D79" s="13"/>
      <c r="E79" s="13"/>
      <c r="F79" s="13"/>
      <c r="G79" s="60"/>
      <c r="H79" s="268"/>
      <c r="I79" s="50"/>
    </row>
    <row r="80" spans="1:9" ht="15.75">
      <c r="A80" s="15"/>
      <c r="B80" s="15"/>
      <c r="C80" s="13" t="s">
        <v>20</v>
      </c>
      <c r="D80" s="15" t="s">
        <v>74</v>
      </c>
      <c r="E80" s="15"/>
      <c r="F80" s="15"/>
      <c r="G80" s="60">
        <v>5000</v>
      </c>
      <c r="H80" s="261">
        <v>5000</v>
      </c>
      <c r="I80" s="50">
        <f>H80/G80*100</f>
        <v>100</v>
      </c>
    </row>
    <row r="81" spans="1:9" ht="15.75">
      <c r="A81" s="15"/>
      <c r="B81" s="15"/>
      <c r="C81" s="13" t="s">
        <v>21</v>
      </c>
      <c r="D81" s="15" t="s">
        <v>75</v>
      </c>
      <c r="E81" s="15"/>
      <c r="F81" s="15"/>
      <c r="G81" s="60">
        <v>40000</v>
      </c>
      <c r="H81" s="261">
        <v>40000</v>
      </c>
      <c r="I81" s="50">
        <f>H81/G81*100</f>
        <v>100</v>
      </c>
    </row>
    <row r="82" spans="1:9" ht="9" customHeight="1">
      <c r="A82" s="57"/>
      <c r="B82" s="57"/>
      <c r="C82" s="57"/>
      <c r="D82" s="57"/>
      <c r="E82" s="57"/>
      <c r="F82" s="57"/>
      <c r="G82" s="60"/>
      <c r="H82" s="269"/>
      <c r="I82" s="50"/>
    </row>
    <row r="83" spans="1:9" s="9" customFormat="1" ht="15.75">
      <c r="A83" s="13" t="s">
        <v>35</v>
      </c>
      <c r="B83" s="57"/>
      <c r="C83" s="57"/>
      <c r="D83" s="57"/>
      <c r="E83" s="57"/>
      <c r="F83" s="57"/>
      <c r="G83" s="62">
        <f>G76+G78+G80+G81</f>
        <v>1495000</v>
      </c>
      <c r="H83" s="265">
        <f>H76+H78+H80+H81</f>
        <v>1495000</v>
      </c>
      <c r="I83" s="63">
        <f>H83/G83*100</f>
        <v>100</v>
      </c>
    </row>
    <row r="84" spans="1:9" ht="5.25" customHeight="1">
      <c r="A84" s="57"/>
      <c r="B84" s="57"/>
      <c r="C84" s="57"/>
      <c r="D84" s="57"/>
      <c r="E84" s="57"/>
      <c r="F84" s="57"/>
      <c r="G84" s="60"/>
      <c r="H84" s="269"/>
      <c r="I84" s="50"/>
    </row>
    <row r="85" spans="1:9" ht="15.75">
      <c r="A85" s="13" t="s">
        <v>76</v>
      </c>
      <c r="B85" s="13" t="s">
        <v>30</v>
      </c>
      <c r="C85" s="13"/>
      <c r="D85" s="13"/>
      <c r="E85" s="13"/>
      <c r="F85" s="13"/>
      <c r="G85" s="13"/>
      <c r="H85" s="268"/>
      <c r="I85" s="50"/>
    </row>
    <row r="86" spans="1:9" ht="9" customHeight="1">
      <c r="A86" s="57"/>
      <c r="B86" s="57"/>
      <c r="C86" s="57"/>
      <c r="D86" s="57"/>
      <c r="E86" s="57"/>
      <c r="F86" s="57"/>
      <c r="G86" s="60"/>
      <c r="H86" s="269"/>
      <c r="I86" s="50"/>
    </row>
    <row r="87" spans="1:9" ht="15.75">
      <c r="A87" s="57"/>
      <c r="B87" s="57" t="s">
        <v>20</v>
      </c>
      <c r="C87" s="61" t="s">
        <v>246</v>
      </c>
      <c r="D87" s="61"/>
      <c r="E87" s="61"/>
      <c r="F87" s="61"/>
      <c r="G87" s="60"/>
      <c r="H87" s="269"/>
      <c r="I87" s="50"/>
    </row>
    <row r="88" spans="1:9" ht="30.75" customHeight="1">
      <c r="A88" s="57"/>
      <c r="B88" s="57"/>
      <c r="C88" s="57" t="s">
        <v>20</v>
      </c>
      <c r="D88" s="343" t="s">
        <v>258</v>
      </c>
      <c r="E88" s="343"/>
      <c r="F88" s="343"/>
      <c r="G88" s="60">
        <v>54000</v>
      </c>
      <c r="H88" s="269">
        <v>54000</v>
      </c>
      <c r="I88" s="50">
        <f>H88/G88*100</f>
        <v>100</v>
      </c>
    </row>
    <row r="89" spans="1:9" ht="15.75" customHeight="1">
      <c r="A89" s="57"/>
      <c r="B89" s="57"/>
      <c r="C89" s="57">
        <v>2</v>
      </c>
      <c r="D89" s="337" t="s">
        <v>268</v>
      </c>
      <c r="E89" s="338"/>
      <c r="F89" s="338"/>
      <c r="G89" s="60">
        <v>5000</v>
      </c>
      <c r="H89" s="269">
        <v>5000</v>
      </c>
      <c r="I89" s="50">
        <f>H89/G89*100</f>
        <v>100</v>
      </c>
    </row>
    <row r="90" spans="1:9" ht="15.75">
      <c r="A90" s="57"/>
      <c r="B90" s="57" t="s">
        <v>14</v>
      </c>
      <c r="C90" s="61" t="s">
        <v>77</v>
      </c>
      <c r="D90" s="61"/>
      <c r="E90" s="61"/>
      <c r="F90" s="61"/>
      <c r="G90" s="60"/>
      <c r="H90" s="269"/>
      <c r="I90" s="50"/>
    </row>
    <row r="91" spans="1:9" ht="15.75">
      <c r="A91" s="57"/>
      <c r="B91" s="57"/>
      <c r="C91" s="57" t="s">
        <v>20</v>
      </c>
      <c r="D91" s="61" t="s">
        <v>40</v>
      </c>
      <c r="E91" s="61"/>
      <c r="F91" s="61"/>
      <c r="G91" s="60">
        <v>489450</v>
      </c>
      <c r="H91" s="269">
        <v>578690</v>
      </c>
      <c r="I91" s="50">
        <f>H91/G91*100</f>
        <v>118.23271018490142</v>
      </c>
    </row>
    <row r="92" spans="1:9" ht="15.75">
      <c r="A92" s="57"/>
      <c r="B92" s="57"/>
      <c r="C92" s="57" t="s">
        <v>14</v>
      </c>
      <c r="D92" s="61" t="s">
        <v>286</v>
      </c>
      <c r="E92" s="61"/>
      <c r="F92" s="61"/>
      <c r="G92" s="60">
        <v>23754275</v>
      </c>
      <c r="H92" s="269">
        <f>156246+23622123</f>
        <v>23778369</v>
      </c>
      <c r="I92" s="50">
        <f>H92/G92*100</f>
        <v>100.10143016362318</v>
      </c>
    </row>
    <row r="93" spans="1:9" ht="15.75">
      <c r="A93" s="57"/>
      <c r="B93" s="57"/>
      <c r="C93" s="57" t="s">
        <v>21</v>
      </c>
      <c r="D93" s="61" t="s">
        <v>287</v>
      </c>
      <c r="E93" s="61"/>
      <c r="F93" s="61"/>
      <c r="G93" s="60">
        <v>190434</v>
      </c>
      <c r="H93" s="269">
        <v>223912</v>
      </c>
      <c r="I93" s="50">
        <f>H93/G93*100</f>
        <v>117.57984393543171</v>
      </c>
    </row>
    <row r="94" spans="1:9" ht="15.75">
      <c r="A94" s="57"/>
      <c r="B94" s="57" t="s">
        <v>21</v>
      </c>
      <c r="C94" s="61" t="s">
        <v>78</v>
      </c>
      <c r="D94" s="57"/>
      <c r="E94" s="57"/>
      <c r="F94" s="57"/>
      <c r="G94" s="60">
        <v>2000</v>
      </c>
      <c r="H94" s="269"/>
      <c r="I94" s="50">
        <f>H94/G94*100</f>
        <v>0</v>
      </c>
    </row>
    <row r="95" spans="1:9" ht="19.5" customHeight="1">
      <c r="A95" s="13" t="s">
        <v>13</v>
      </c>
      <c r="B95" s="57"/>
      <c r="C95" s="57"/>
      <c r="D95" s="57"/>
      <c r="E95" s="57"/>
      <c r="F95" s="57"/>
      <c r="G95" s="62">
        <f>SUM(G88:G94)</f>
        <v>24495159</v>
      </c>
      <c r="H95" s="265">
        <f>H88+H91+H94+H89+H92+H93</f>
        <v>24639971</v>
      </c>
      <c r="I95" s="63">
        <f>H95/G95*100</f>
        <v>100.59118620132249</v>
      </c>
    </row>
    <row r="96" spans="1:9" ht="19.5" customHeight="1">
      <c r="A96" s="13" t="s">
        <v>370</v>
      </c>
      <c r="B96" s="57"/>
      <c r="C96" s="8"/>
      <c r="D96" s="57"/>
      <c r="E96" s="57"/>
      <c r="F96" s="57"/>
      <c r="G96" s="62"/>
      <c r="H96" s="265"/>
      <c r="I96" s="63"/>
    </row>
    <row r="97" spans="1:9" ht="19.5" customHeight="1">
      <c r="A97" s="13"/>
      <c r="B97" s="57" t="s">
        <v>371</v>
      </c>
      <c r="C97" s="337" t="s">
        <v>372</v>
      </c>
      <c r="D97" s="338"/>
      <c r="E97" s="338"/>
      <c r="F97" s="338"/>
      <c r="G97" s="62"/>
      <c r="H97" s="306">
        <v>150000</v>
      </c>
      <c r="I97" s="63"/>
    </row>
    <row r="98" spans="1:9" ht="25.5" customHeight="1">
      <c r="A98" s="339" t="s">
        <v>373</v>
      </c>
      <c r="B98" s="340"/>
      <c r="C98" s="340"/>
      <c r="D98" s="340"/>
      <c r="E98" s="340"/>
      <c r="F98" s="340"/>
      <c r="G98" s="62"/>
      <c r="H98" s="265">
        <f>H97</f>
        <v>150000</v>
      </c>
      <c r="I98" s="63"/>
    </row>
    <row r="99" spans="1:9" ht="18" customHeight="1">
      <c r="A99" s="66" t="s">
        <v>80</v>
      </c>
      <c r="B99" s="66"/>
      <c r="C99" s="66"/>
      <c r="D99" s="66"/>
      <c r="E99" s="66"/>
      <c r="F99" s="66"/>
      <c r="G99" s="65">
        <f>G95+G83+G71+G65</f>
        <v>131049214</v>
      </c>
      <c r="H99" s="270">
        <f>H95+H83+H65+H71+H98</f>
        <v>149385315</v>
      </c>
      <c r="I99" s="63">
        <f>H99/G99*100</f>
        <v>113.99176724554792</v>
      </c>
    </row>
    <row r="100" spans="1:9" ht="18.75" customHeight="1">
      <c r="A100" s="13" t="s">
        <v>81</v>
      </c>
      <c r="B100" s="332" t="s">
        <v>82</v>
      </c>
      <c r="C100" s="332"/>
      <c r="D100" s="332"/>
      <c r="E100" s="332"/>
      <c r="F100" s="332"/>
      <c r="G100" s="13"/>
      <c r="H100" s="264"/>
      <c r="I100" s="50"/>
    </row>
    <row r="101" spans="1:9" ht="15.75">
      <c r="A101" s="13"/>
      <c r="B101" s="47" t="s">
        <v>20</v>
      </c>
      <c r="C101" s="332" t="s">
        <v>83</v>
      </c>
      <c r="D101" s="332"/>
      <c r="E101" s="332"/>
      <c r="F101" s="332"/>
      <c r="G101" s="60"/>
      <c r="H101" s="264"/>
      <c r="I101" s="50"/>
    </row>
    <row r="102" spans="1:9" ht="15.75">
      <c r="A102" s="13"/>
      <c r="B102" s="47"/>
      <c r="C102" s="59" t="s">
        <v>20</v>
      </c>
      <c r="D102" s="333" t="s">
        <v>343</v>
      </c>
      <c r="E102" s="333"/>
      <c r="F102" s="333"/>
      <c r="G102" s="60">
        <v>700933</v>
      </c>
      <c r="H102" s="269">
        <v>815473</v>
      </c>
      <c r="I102" s="50">
        <f>H102/G102*100</f>
        <v>116.3410768218931</v>
      </c>
    </row>
    <row r="103" spans="1:9" ht="33" customHeight="1">
      <c r="A103" s="15"/>
      <c r="B103" s="15"/>
      <c r="C103" s="214" t="s">
        <v>14</v>
      </c>
      <c r="D103" s="344" t="s">
        <v>288</v>
      </c>
      <c r="E103" s="345"/>
      <c r="F103" s="345"/>
      <c r="G103" s="216">
        <v>6500000</v>
      </c>
      <c r="H103" s="261"/>
      <c r="I103" s="50"/>
    </row>
    <row r="104" spans="1:9" ht="20.25" customHeight="1">
      <c r="A104" s="15"/>
      <c r="B104" s="15"/>
      <c r="C104" s="214" t="s">
        <v>21</v>
      </c>
      <c r="D104" s="341" t="s">
        <v>338</v>
      </c>
      <c r="E104" s="342"/>
      <c r="F104" s="342"/>
      <c r="G104" s="216"/>
      <c r="H104" s="261">
        <v>1000000</v>
      </c>
      <c r="I104" s="50"/>
    </row>
    <row r="105" spans="1:9" ht="34.5" customHeight="1">
      <c r="A105" s="15"/>
      <c r="B105" s="15"/>
      <c r="C105" s="214" t="s">
        <v>59</v>
      </c>
      <c r="D105" s="357" t="s">
        <v>344</v>
      </c>
      <c r="E105" s="358"/>
      <c r="F105" s="358"/>
      <c r="G105" s="216"/>
      <c r="H105" s="261">
        <v>659121</v>
      </c>
      <c r="I105" s="50"/>
    </row>
    <row r="106" spans="1:9" ht="17.25" customHeight="1">
      <c r="A106" s="15"/>
      <c r="B106" s="15"/>
      <c r="C106" s="214" t="s">
        <v>60</v>
      </c>
      <c r="D106" s="357" t="s">
        <v>350</v>
      </c>
      <c r="E106" s="358"/>
      <c r="F106" s="358"/>
      <c r="G106" s="216"/>
      <c r="H106" s="261">
        <v>180996</v>
      </c>
      <c r="I106" s="50"/>
    </row>
    <row r="107" spans="1:9" ht="18" customHeight="1">
      <c r="A107" s="15"/>
      <c r="B107" s="15"/>
      <c r="C107" s="214" t="s">
        <v>65</v>
      </c>
      <c r="D107" s="341" t="s">
        <v>356</v>
      </c>
      <c r="E107" s="342"/>
      <c r="F107" s="342"/>
      <c r="G107" s="216"/>
      <c r="H107" s="261">
        <v>739032</v>
      </c>
      <c r="I107" s="50"/>
    </row>
    <row r="108" spans="1:9" ht="18" customHeight="1">
      <c r="A108" s="15"/>
      <c r="B108" s="15"/>
      <c r="C108" s="214" t="s">
        <v>149</v>
      </c>
      <c r="D108" s="341" t="s">
        <v>357</v>
      </c>
      <c r="E108" s="342"/>
      <c r="F108" s="342"/>
      <c r="G108" s="216"/>
      <c r="H108" s="261">
        <v>7416061</v>
      </c>
      <c r="I108" s="50"/>
    </row>
    <row r="109" spans="1:9" ht="16.5">
      <c r="A109" s="66" t="s">
        <v>82</v>
      </c>
      <c r="B109" s="66"/>
      <c r="C109" s="66"/>
      <c r="D109" s="66"/>
      <c r="E109" s="66"/>
      <c r="F109" s="66"/>
      <c r="G109" s="215">
        <f>G102+G103</f>
        <v>7200933</v>
      </c>
      <c r="H109" s="271">
        <f>H102+H103+H104+H105+H106+H107+H108</f>
        <v>10810683</v>
      </c>
      <c r="I109" s="50">
        <f>H109/G109*100</f>
        <v>150.12892079401377</v>
      </c>
    </row>
    <row r="110" spans="1:9" ht="9" customHeight="1">
      <c r="A110" s="15"/>
      <c r="B110" s="15"/>
      <c r="C110" s="15"/>
      <c r="D110" s="15"/>
      <c r="E110" s="15"/>
      <c r="F110" s="15"/>
      <c r="G110" s="21"/>
      <c r="H110" s="272"/>
      <c r="I110" s="50"/>
    </row>
    <row r="111" spans="1:9" ht="18.75">
      <c r="A111" s="14" t="s">
        <v>84</v>
      </c>
      <c r="B111" s="14"/>
      <c r="C111" s="14"/>
      <c r="D111" s="14"/>
      <c r="E111" s="14"/>
      <c r="F111" s="14"/>
      <c r="G111" s="67">
        <f>G99+G109</f>
        <v>138250147</v>
      </c>
      <c r="H111" s="270">
        <f>H99+H109</f>
        <v>160195998</v>
      </c>
      <c r="I111" s="63">
        <f>H111/G111*100</f>
        <v>115.87401639435508</v>
      </c>
    </row>
    <row r="112" spans="7:9" ht="15.75">
      <c r="G112" s="6"/>
      <c r="H112" s="6"/>
      <c r="I112" s="7"/>
    </row>
    <row r="113" spans="7:9" ht="15.75">
      <c r="G113" s="37"/>
      <c r="H113" s="53"/>
      <c r="I113" s="11"/>
    </row>
    <row r="114" ht="9" customHeight="1">
      <c r="I114" s="11"/>
    </row>
    <row r="115" spans="1:9" s="9" customFormat="1" ht="15.75">
      <c r="A115" s="29"/>
      <c r="B115" s="28"/>
      <c r="C115" s="28"/>
      <c r="D115" s="28"/>
      <c r="E115" s="28"/>
      <c r="H115" s="53"/>
      <c r="I115" s="10"/>
    </row>
    <row r="116" ht="9" customHeight="1">
      <c r="I116" s="11"/>
    </row>
    <row r="117" ht="9" customHeight="1">
      <c r="I117" s="11"/>
    </row>
    <row r="123" ht="15.75">
      <c r="I123" s="11"/>
    </row>
    <row r="128" ht="15.75">
      <c r="I128" s="11"/>
    </row>
  </sheetData>
  <sheetProtection/>
  <mergeCells count="43">
    <mergeCell ref="E21:F21"/>
    <mergeCell ref="C101:F101"/>
    <mergeCell ref="E47:G47"/>
    <mergeCell ref="D107:F107"/>
    <mergeCell ref="D108:F108"/>
    <mergeCell ref="C70:F70"/>
    <mergeCell ref="D106:F106"/>
    <mergeCell ref="D105:F105"/>
    <mergeCell ref="C68:F68"/>
    <mergeCell ref="D41:F41"/>
    <mergeCell ref="A5:I5"/>
    <mergeCell ref="A6:I6"/>
    <mergeCell ref="A7:I7"/>
    <mergeCell ref="A8:I8"/>
    <mergeCell ref="B15:F15"/>
    <mergeCell ref="A1:I1"/>
    <mergeCell ref="A11:F13"/>
    <mergeCell ref="D19:F19"/>
    <mergeCell ref="E43:F43"/>
    <mergeCell ref="D104:F104"/>
    <mergeCell ref="D50:F50"/>
    <mergeCell ref="A65:F65"/>
    <mergeCell ref="C58:F58"/>
    <mergeCell ref="D59:F59"/>
    <mergeCell ref="D88:F88"/>
    <mergeCell ref="D103:F103"/>
    <mergeCell ref="D62:F62"/>
    <mergeCell ref="D102:F102"/>
    <mergeCell ref="C69:F69"/>
    <mergeCell ref="D89:F89"/>
    <mergeCell ref="C97:F97"/>
    <mergeCell ref="A98:F98"/>
    <mergeCell ref="B63:F63"/>
    <mergeCell ref="D40:F40"/>
    <mergeCell ref="B100:F100"/>
    <mergeCell ref="C48:F48"/>
    <mergeCell ref="C54:F54"/>
    <mergeCell ref="A71:F71"/>
    <mergeCell ref="B67:F67"/>
    <mergeCell ref="E51:F51"/>
    <mergeCell ref="B56:F56"/>
    <mergeCell ref="D60:F60"/>
    <mergeCell ref="D61:F61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26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4.125" style="140" customWidth="1"/>
    <col min="2" max="2" width="9.125" style="140" customWidth="1"/>
    <col min="3" max="3" width="61.125" style="140" customWidth="1"/>
    <col min="4" max="7" width="26.25390625" style="140" customWidth="1"/>
    <col min="8" max="16384" width="9.125" style="140" customWidth="1"/>
  </cols>
  <sheetData>
    <row r="2" spans="1:7" ht="15.75">
      <c r="A2" s="382" t="s">
        <v>398</v>
      </c>
      <c r="B2" s="383"/>
      <c r="C2" s="383"/>
      <c r="D2" s="383"/>
      <c r="E2" s="383"/>
      <c r="F2" s="383"/>
      <c r="G2" s="383"/>
    </row>
    <row r="4" spans="1:7" s="129" customFormat="1" ht="15.75">
      <c r="A4" s="381" t="s">
        <v>360</v>
      </c>
      <c r="B4" s="330"/>
      <c r="C4" s="330"/>
      <c r="D4" s="130"/>
      <c r="E4" s="131"/>
      <c r="F4" s="131"/>
      <c r="G4" s="131"/>
    </row>
    <row r="5" spans="3:7" s="39" customFormat="1" ht="15" customHeight="1">
      <c r="C5" s="384"/>
      <c r="D5" s="384"/>
      <c r="E5" s="384"/>
      <c r="F5" s="384"/>
      <c r="G5" s="384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85" t="s">
        <v>251</v>
      </c>
      <c r="D7" s="385"/>
      <c r="E7" s="385"/>
      <c r="F7" s="385"/>
      <c r="G7" s="385"/>
    </row>
    <row r="8" spans="3:7" s="86" customFormat="1" ht="15.75">
      <c r="C8" s="386" t="s">
        <v>189</v>
      </c>
      <c r="D8" s="386"/>
      <c r="E8" s="386"/>
      <c r="F8" s="386"/>
      <c r="G8" s="386"/>
    </row>
    <row r="9" spans="3:7" s="86" customFormat="1" ht="15" customHeight="1">
      <c r="C9" s="385" t="s">
        <v>335</v>
      </c>
      <c r="D9" s="385"/>
      <c r="E9" s="385"/>
      <c r="F9" s="385"/>
      <c r="G9" s="385"/>
    </row>
    <row r="10" spans="3:7" s="129" customFormat="1" ht="12" customHeight="1" thickBot="1">
      <c r="C10" s="130"/>
      <c r="D10" s="135"/>
      <c r="E10" s="136"/>
      <c r="F10" s="136"/>
      <c r="G10" s="277" t="s">
        <v>340</v>
      </c>
    </row>
    <row r="11" spans="1:7" s="129" customFormat="1" ht="16.5" customHeight="1" thickBot="1">
      <c r="A11" s="359" t="s">
        <v>332</v>
      </c>
      <c r="B11" s="361" t="s">
        <v>104</v>
      </c>
      <c r="C11" s="364" t="s">
        <v>105</v>
      </c>
      <c r="D11" s="367" t="s">
        <v>190</v>
      </c>
      <c r="E11" s="370" t="s">
        <v>191</v>
      </c>
      <c r="F11" s="370"/>
      <c r="G11" s="371"/>
    </row>
    <row r="12" spans="1:7" s="129" customFormat="1" ht="33" customHeight="1" thickBot="1">
      <c r="A12" s="360"/>
      <c r="B12" s="362"/>
      <c r="C12" s="365"/>
      <c r="D12" s="368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60"/>
      <c r="B13" s="362"/>
      <c r="C13" s="365"/>
      <c r="D13" s="368"/>
      <c r="E13" s="372" t="s">
        <v>195</v>
      </c>
      <c r="F13" s="373"/>
      <c r="G13" s="374"/>
    </row>
    <row r="14" spans="1:7" ht="12.75">
      <c r="A14" s="360"/>
      <c r="B14" s="362"/>
      <c r="C14" s="365"/>
      <c r="D14" s="368"/>
      <c r="E14" s="375"/>
      <c r="F14" s="376"/>
      <c r="G14" s="377"/>
    </row>
    <row r="15" spans="1:7" ht="3" customHeight="1" thickBot="1">
      <c r="A15" s="250"/>
      <c r="B15" s="363"/>
      <c r="C15" s="366"/>
      <c r="D15" s="369"/>
      <c r="E15" s="378"/>
      <c r="F15" s="379"/>
      <c r="G15" s="380"/>
    </row>
    <row r="16" spans="1:7" ht="30.75" thickBot="1">
      <c r="A16" s="251" t="s">
        <v>20</v>
      </c>
      <c r="B16" s="203" t="s">
        <v>121</v>
      </c>
      <c r="C16" s="276" t="s">
        <v>122</v>
      </c>
      <c r="D16" s="275">
        <f aca="true" t="shared" si="0" ref="D16:D25">SUM(E16:G16)</f>
        <v>584946</v>
      </c>
      <c r="E16" s="141">
        <f>5000+182580+247366</f>
        <v>434946</v>
      </c>
      <c r="F16" s="141">
        <v>150000</v>
      </c>
      <c r="G16" s="142"/>
    </row>
    <row r="17" spans="1:7" ht="15">
      <c r="A17" s="252" t="s">
        <v>14</v>
      </c>
      <c r="B17" s="203" t="s">
        <v>123</v>
      </c>
      <c r="C17" s="202" t="s">
        <v>263</v>
      </c>
      <c r="D17" s="141">
        <f t="shared" si="0"/>
        <v>5000</v>
      </c>
      <c r="E17" s="141">
        <v>5000</v>
      </c>
      <c r="F17" s="141"/>
      <c r="G17" s="142"/>
    </row>
    <row r="18" spans="1:7" ht="15">
      <c r="A18" s="252" t="s">
        <v>21</v>
      </c>
      <c r="B18" s="83" t="s">
        <v>124</v>
      </c>
      <c r="C18" s="82" t="s">
        <v>125</v>
      </c>
      <c r="D18" s="143">
        <f t="shared" si="0"/>
        <v>54000</v>
      </c>
      <c r="E18" s="143"/>
      <c r="F18" s="143">
        <v>54000</v>
      </c>
      <c r="G18" s="144"/>
    </row>
    <row r="19" spans="1:7" ht="15">
      <c r="A19" s="252" t="s">
        <v>59</v>
      </c>
      <c r="B19" s="83" t="s">
        <v>196</v>
      </c>
      <c r="C19" s="82" t="s">
        <v>197</v>
      </c>
      <c r="D19" s="143">
        <f t="shared" si="0"/>
        <v>33140651</v>
      </c>
      <c r="E19" s="143">
        <f>32982690+63383+63052+31526</f>
        <v>33140651</v>
      </c>
      <c r="F19" s="143"/>
      <c r="G19" s="144"/>
    </row>
    <row r="20" spans="1:7" ht="15">
      <c r="A20" s="252" t="s">
        <v>60</v>
      </c>
      <c r="B20" s="148" t="s">
        <v>290</v>
      </c>
      <c r="C20" s="82" t="s">
        <v>291</v>
      </c>
      <c r="D20" s="143">
        <f t="shared" si="0"/>
        <v>10810683</v>
      </c>
      <c r="E20" s="143">
        <f>2655590+7416061+739032</f>
        <v>10810683</v>
      </c>
      <c r="F20" s="143"/>
      <c r="G20" s="144"/>
    </row>
    <row r="21" spans="1:7" ht="15">
      <c r="A21" s="252" t="s">
        <v>65</v>
      </c>
      <c r="B21" s="148" t="s">
        <v>351</v>
      </c>
      <c r="C21" s="82" t="s">
        <v>352</v>
      </c>
      <c r="D21" s="143">
        <f t="shared" si="0"/>
        <v>1994002</v>
      </c>
      <c r="E21" s="143">
        <f>314822+1391789+287391</f>
        <v>1994002</v>
      </c>
      <c r="F21" s="143"/>
      <c r="G21" s="144"/>
    </row>
    <row r="22" spans="1:7" ht="15">
      <c r="A22" s="252" t="s">
        <v>149</v>
      </c>
      <c r="B22" s="83" t="s">
        <v>298</v>
      </c>
      <c r="C22" s="82" t="s">
        <v>297</v>
      </c>
      <c r="D22" s="143">
        <f t="shared" si="0"/>
        <v>111111468</v>
      </c>
      <c r="E22" s="143">
        <v>111111468</v>
      </c>
      <c r="F22" s="143"/>
      <c r="G22" s="144"/>
    </row>
    <row r="23" spans="1:7" ht="15">
      <c r="A23" s="252" t="s">
        <v>151</v>
      </c>
      <c r="B23" s="148">
        <v>104051</v>
      </c>
      <c r="C23" s="82" t="s">
        <v>262</v>
      </c>
      <c r="D23" s="143">
        <f t="shared" si="0"/>
        <v>46400</v>
      </c>
      <c r="E23" s="143"/>
      <c r="F23" s="143"/>
      <c r="G23" s="144">
        <v>46400</v>
      </c>
    </row>
    <row r="24" spans="1:7" ht="15">
      <c r="A24" s="252" t="s">
        <v>153</v>
      </c>
      <c r="B24" s="148">
        <v>107051</v>
      </c>
      <c r="C24" s="84" t="s">
        <v>253</v>
      </c>
      <c r="D24" s="143">
        <f t="shared" si="0"/>
        <v>958848</v>
      </c>
      <c r="E24" s="143">
        <v>958848</v>
      </c>
      <c r="F24" s="143"/>
      <c r="G24" s="144"/>
    </row>
    <row r="25" spans="1:7" ht="30.75" thickBot="1">
      <c r="A25" s="253" t="s">
        <v>159</v>
      </c>
      <c r="B25" s="148">
        <v>900020</v>
      </c>
      <c r="C25" s="82" t="s">
        <v>198</v>
      </c>
      <c r="D25" s="143">
        <f t="shared" si="0"/>
        <v>1490000</v>
      </c>
      <c r="E25" s="143">
        <v>1490000</v>
      </c>
      <c r="F25" s="143"/>
      <c r="G25" s="144"/>
    </row>
    <row r="26" spans="1:7" ht="30" customHeight="1" thickBot="1">
      <c r="A26" s="254" t="s">
        <v>161</v>
      </c>
      <c r="B26" s="149"/>
      <c r="C26" s="149" t="s">
        <v>2</v>
      </c>
      <c r="D26" s="147">
        <f>SUM(D16:D25)</f>
        <v>160195998</v>
      </c>
      <c r="E26" s="147">
        <f>SUM(E16:E25)</f>
        <v>159945598</v>
      </c>
      <c r="F26" s="147">
        <f>SUM(F16:F25)</f>
        <v>204000</v>
      </c>
      <c r="G26" s="147">
        <f>SUM(G16:G25)</f>
        <v>46400</v>
      </c>
    </row>
  </sheetData>
  <sheetProtection/>
  <mergeCells count="12">
    <mergeCell ref="A4:C4"/>
    <mergeCell ref="A2:G2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4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396" t="s">
        <v>399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</row>
    <row r="3" spans="1:21" ht="15.75">
      <c r="A3" s="381" t="s">
        <v>361</v>
      </c>
      <c r="B3" s="330"/>
      <c r="C3" s="330"/>
      <c r="D3" s="330"/>
      <c r="M3" s="394"/>
      <c r="N3" s="394"/>
      <c r="O3" s="394"/>
      <c r="P3" s="394"/>
      <c r="Q3" s="394"/>
      <c r="R3" s="394"/>
      <c r="S3" s="394"/>
      <c r="T3" s="394"/>
      <c r="U3" s="394"/>
    </row>
    <row r="4" spans="2:18" ht="15.75" customHeight="1"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</row>
    <row r="5" spans="2:21" s="79" customFormat="1" ht="15.75" customHeight="1"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</row>
    <row r="6" spans="2:18" s="79" customFormat="1" ht="15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21" s="79" customFormat="1" ht="15.75" customHeight="1">
      <c r="B7" s="390" t="s">
        <v>251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</row>
    <row r="8" spans="2:21" s="79" customFormat="1" ht="15.75" customHeight="1">
      <c r="B8" s="390" t="s">
        <v>103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</row>
    <row r="9" spans="2:21" s="79" customFormat="1" ht="15.75" customHeight="1">
      <c r="B9" s="390" t="s">
        <v>339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</row>
    <row r="10" spans="20:21" s="79" customFormat="1" ht="15.75" thickBot="1">
      <c r="T10" s="395" t="s">
        <v>340</v>
      </c>
      <c r="U10" s="395"/>
    </row>
    <row r="11" spans="1:21" s="80" customFormat="1" ht="20.25" customHeight="1" thickBot="1">
      <c r="A11" s="410" t="s">
        <v>332</v>
      </c>
      <c r="B11" s="425" t="s">
        <v>104</v>
      </c>
      <c r="C11" s="397" t="s">
        <v>105</v>
      </c>
      <c r="D11" s="387" t="s">
        <v>106</v>
      </c>
      <c r="E11" s="413" t="s">
        <v>107</v>
      </c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5"/>
      <c r="T11" s="421" t="s">
        <v>3</v>
      </c>
      <c r="U11" s="422"/>
    </row>
    <row r="12" spans="1:21" s="80" customFormat="1" ht="38.25" customHeight="1" thickBot="1">
      <c r="A12" s="411"/>
      <c r="B12" s="426"/>
      <c r="C12" s="398"/>
      <c r="D12" s="388"/>
      <c r="E12" s="403" t="s">
        <v>36</v>
      </c>
      <c r="F12" s="404"/>
      <c r="G12" s="404"/>
      <c r="H12" s="404"/>
      <c r="I12" s="404"/>
      <c r="J12" s="404"/>
      <c r="K12" s="405"/>
      <c r="L12" s="413" t="s">
        <v>37</v>
      </c>
      <c r="M12" s="414"/>
      <c r="N12" s="414"/>
      <c r="O12" s="415"/>
      <c r="P12" s="400" t="s">
        <v>108</v>
      </c>
      <c r="Q12" s="401"/>
      <c r="R12" s="401"/>
      <c r="S12" s="402"/>
      <c r="T12" s="416" t="s">
        <v>4</v>
      </c>
      <c r="U12" s="417"/>
    </row>
    <row r="13" spans="1:21" s="80" customFormat="1" ht="21" customHeight="1" thickBot="1">
      <c r="A13" s="411"/>
      <c r="B13" s="426"/>
      <c r="C13" s="398"/>
      <c r="D13" s="388"/>
      <c r="E13" s="387" t="s">
        <v>109</v>
      </c>
      <c r="F13" s="387" t="s">
        <v>110</v>
      </c>
      <c r="G13" s="387" t="s">
        <v>111</v>
      </c>
      <c r="H13" s="387" t="s">
        <v>112</v>
      </c>
      <c r="I13" s="387" t="s">
        <v>113</v>
      </c>
      <c r="J13" s="391" t="s">
        <v>269</v>
      </c>
      <c r="K13" s="407" t="s">
        <v>114</v>
      </c>
      <c r="L13" s="391" t="s">
        <v>115</v>
      </c>
      <c r="M13" s="391" t="s">
        <v>38</v>
      </c>
      <c r="N13" s="387" t="s">
        <v>199</v>
      </c>
      <c r="O13" s="418" t="s">
        <v>200</v>
      </c>
      <c r="P13" s="387" t="s">
        <v>271</v>
      </c>
      <c r="Q13" s="387" t="s">
        <v>116</v>
      </c>
      <c r="R13" s="387" t="s">
        <v>117</v>
      </c>
      <c r="S13" s="418" t="s">
        <v>201</v>
      </c>
      <c r="T13" s="127" t="s">
        <v>118</v>
      </c>
      <c r="U13" s="128" t="s">
        <v>119</v>
      </c>
    </row>
    <row r="14" spans="1:21" s="80" customFormat="1" ht="18.75" customHeight="1">
      <c r="A14" s="411"/>
      <c r="B14" s="426"/>
      <c r="C14" s="398"/>
      <c r="D14" s="388"/>
      <c r="E14" s="388"/>
      <c r="F14" s="388"/>
      <c r="G14" s="388"/>
      <c r="H14" s="388"/>
      <c r="I14" s="388"/>
      <c r="J14" s="428"/>
      <c r="K14" s="408"/>
      <c r="L14" s="392"/>
      <c r="M14" s="392"/>
      <c r="N14" s="388"/>
      <c r="O14" s="419"/>
      <c r="P14" s="388"/>
      <c r="Q14" s="388"/>
      <c r="R14" s="388"/>
      <c r="S14" s="419"/>
      <c r="T14" s="423" t="s">
        <v>120</v>
      </c>
      <c r="U14" s="424"/>
    </row>
    <row r="15" spans="1:21" s="80" customFormat="1" ht="20.25" customHeight="1" thickBot="1">
      <c r="A15" s="412"/>
      <c r="B15" s="427"/>
      <c r="C15" s="399"/>
      <c r="D15" s="389"/>
      <c r="E15" s="389"/>
      <c r="F15" s="389"/>
      <c r="G15" s="389"/>
      <c r="H15" s="389"/>
      <c r="I15" s="389"/>
      <c r="J15" s="429"/>
      <c r="K15" s="409"/>
      <c r="L15" s="393"/>
      <c r="M15" s="393"/>
      <c r="N15" s="389"/>
      <c r="O15" s="420"/>
      <c r="P15" s="389"/>
      <c r="Q15" s="389"/>
      <c r="R15" s="389"/>
      <c r="S15" s="420"/>
      <c r="T15" s="416"/>
      <c r="U15" s="417"/>
    </row>
    <row r="16" spans="1:21" s="79" customFormat="1" ht="30.75" thickBot="1">
      <c r="A16" s="255" t="s">
        <v>20</v>
      </c>
      <c r="B16" s="81" t="s">
        <v>121</v>
      </c>
      <c r="C16" s="82" t="s">
        <v>122</v>
      </c>
      <c r="D16" s="219">
        <f>K16+O16+S16</f>
        <v>14934422</v>
      </c>
      <c r="E16" s="220">
        <f>3890040+152786+207000</f>
        <v>4249826</v>
      </c>
      <c r="F16" s="221">
        <f>904840+29794+40366</f>
        <v>975000</v>
      </c>
      <c r="G16" s="221">
        <f>3200477+50000+50800+74930-50000-6281</f>
        <v>3319926</v>
      </c>
      <c r="H16" s="221"/>
      <c r="I16" s="221">
        <f>259540+50000</f>
        <v>309540</v>
      </c>
      <c r="J16" s="221">
        <f>7366061-460000-40640-50800-370000-74930-23661-500000</f>
        <v>5846030</v>
      </c>
      <c r="K16" s="222">
        <f aca="true" t="shared" si="0" ref="K16:K22">SUM(E16:J16)</f>
        <v>14700322</v>
      </c>
      <c r="L16" s="223">
        <f>230000+4100</f>
        <v>234100</v>
      </c>
      <c r="M16" s="223"/>
      <c r="N16" s="223"/>
      <c r="O16" s="224">
        <f>SUM(L16:N16)</f>
        <v>234100</v>
      </c>
      <c r="P16" s="225"/>
      <c r="Q16" s="226"/>
      <c r="R16" s="227"/>
      <c r="S16" s="227">
        <f>SUM(P16:R16)</f>
        <v>0</v>
      </c>
      <c r="T16" s="228"/>
      <c r="U16" s="229"/>
    </row>
    <row r="17" spans="1:21" s="79" customFormat="1" ht="15">
      <c r="A17" s="256" t="s">
        <v>14</v>
      </c>
      <c r="B17" s="83" t="s">
        <v>123</v>
      </c>
      <c r="C17" s="82" t="s">
        <v>16</v>
      </c>
      <c r="D17" s="219">
        <f>K17+O17+S17</f>
        <v>181534</v>
      </c>
      <c r="E17" s="220"/>
      <c r="F17" s="221"/>
      <c r="G17" s="221">
        <v>181534</v>
      </c>
      <c r="H17" s="221"/>
      <c r="I17" s="221"/>
      <c r="J17" s="221"/>
      <c r="K17" s="222">
        <f t="shared" si="0"/>
        <v>181534</v>
      </c>
      <c r="L17" s="223"/>
      <c r="M17" s="223"/>
      <c r="N17" s="223"/>
      <c r="O17" s="224">
        <f>SUM(L17:N17)</f>
        <v>0</v>
      </c>
      <c r="P17" s="224"/>
      <c r="Q17" s="226"/>
      <c r="R17" s="227"/>
      <c r="S17" s="227">
        <f aca="true" t="shared" si="1" ref="S17:S33">SUM(P17:R17)</f>
        <v>0</v>
      </c>
      <c r="T17" s="230"/>
      <c r="U17" s="231"/>
    </row>
    <row r="18" spans="1:21" s="79" customFormat="1" ht="30">
      <c r="A18" s="256" t="s">
        <v>21</v>
      </c>
      <c r="B18" s="83" t="s">
        <v>124</v>
      </c>
      <c r="C18" s="82" t="s">
        <v>299</v>
      </c>
      <c r="D18" s="219">
        <f>K18+O18+S18</f>
        <v>531480</v>
      </c>
      <c r="E18" s="220"/>
      <c r="F18" s="221"/>
      <c r="G18" s="221">
        <v>11480</v>
      </c>
      <c r="H18" s="221"/>
      <c r="I18" s="221"/>
      <c r="J18" s="221"/>
      <c r="K18" s="222">
        <f t="shared" si="0"/>
        <v>11480</v>
      </c>
      <c r="L18" s="223"/>
      <c r="M18" s="223">
        <f>370000+150000</f>
        <v>520000</v>
      </c>
      <c r="N18" s="223"/>
      <c r="O18" s="224">
        <f>SUM(L18:N18)</f>
        <v>520000</v>
      </c>
      <c r="P18" s="224"/>
      <c r="Q18" s="226"/>
      <c r="R18" s="227"/>
      <c r="S18" s="227"/>
      <c r="T18" s="230"/>
      <c r="U18" s="231"/>
    </row>
    <row r="19" spans="1:21" s="79" customFormat="1" ht="30">
      <c r="A19" s="256" t="s">
        <v>59</v>
      </c>
      <c r="B19" s="83" t="s">
        <v>196</v>
      </c>
      <c r="C19" s="82" t="s">
        <v>270</v>
      </c>
      <c r="D19" s="219">
        <f aca="true" t="shared" si="2" ref="D19:D33">K19+O19+S19</f>
        <v>815473</v>
      </c>
      <c r="E19" s="220"/>
      <c r="F19" s="221"/>
      <c r="G19" s="221"/>
      <c r="H19" s="221"/>
      <c r="I19" s="221"/>
      <c r="J19" s="221"/>
      <c r="K19" s="222">
        <f t="shared" si="0"/>
        <v>0</v>
      </c>
      <c r="L19" s="223"/>
      <c r="M19" s="223"/>
      <c r="N19" s="223"/>
      <c r="O19" s="224">
        <f>SUM(L19:N19)</f>
        <v>0</v>
      </c>
      <c r="P19" s="224">
        <v>815473</v>
      </c>
      <c r="Q19" s="226"/>
      <c r="R19" s="227"/>
      <c r="S19" s="227">
        <f t="shared" si="1"/>
        <v>815473</v>
      </c>
      <c r="T19" s="230"/>
      <c r="U19" s="231"/>
    </row>
    <row r="20" spans="1:21" s="79" customFormat="1" ht="15">
      <c r="A20" s="256" t="s">
        <v>60</v>
      </c>
      <c r="B20" s="83" t="s">
        <v>351</v>
      </c>
      <c r="C20" s="82" t="s">
        <v>352</v>
      </c>
      <c r="D20" s="219">
        <f t="shared" si="2"/>
        <v>2181279</v>
      </c>
      <c r="E20" s="220">
        <f>163059+287297+1209158+261856</f>
        <v>1921370</v>
      </c>
      <c r="F20" s="221">
        <f>17937+27525+117893+25535</f>
        <v>188890</v>
      </c>
      <c r="G20" s="221">
        <f>64738+6281</f>
        <v>71019</v>
      </c>
      <c r="H20" s="221"/>
      <c r="I20" s="221"/>
      <c r="J20" s="221"/>
      <c r="K20" s="222">
        <f t="shared" si="0"/>
        <v>2181279</v>
      </c>
      <c r="L20" s="223"/>
      <c r="M20" s="223"/>
      <c r="N20" s="223"/>
      <c r="O20" s="224"/>
      <c r="P20" s="224"/>
      <c r="Q20" s="226"/>
      <c r="R20" s="227"/>
      <c r="S20" s="227"/>
      <c r="T20" s="230"/>
      <c r="U20" s="231">
        <v>2</v>
      </c>
    </row>
    <row r="21" spans="1:21" s="79" customFormat="1" ht="30">
      <c r="A21" s="256" t="s">
        <v>65</v>
      </c>
      <c r="B21" s="83" t="s">
        <v>272</v>
      </c>
      <c r="C21" s="82" t="s">
        <v>273</v>
      </c>
      <c r="D21" s="219">
        <f t="shared" si="2"/>
        <v>16799003</v>
      </c>
      <c r="E21" s="220"/>
      <c r="F21" s="221"/>
      <c r="G21" s="221">
        <v>241300</v>
      </c>
      <c r="H21" s="221"/>
      <c r="I21" s="221"/>
      <c r="J21" s="221"/>
      <c r="K21" s="222">
        <f t="shared" si="0"/>
        <v>241300</v>
      </c>
      <c r="L21" s="223"/>
      <c r="M21" s="223">
        <f>15818665+739032+6</f>
        <v>16557703</v>
      </c>
      <c r="N21" s="223"/>
      <c r="O21" s="224">
        <f>SUM(L21:N21)</f>
        <v>16557703</v>
      </c>
      <c r="P21" s="224"/>
      <c r="Q21" s="226"/>
      <c r="R21" s="227"/>
      <c r="S21" s="227"/>
      <c r="T21" s="230"/>
      <c r="U21" s="231"/>
    </row>
    <row r="22" spans="1:21" s="79" customFormat="1" ht="18.75" customHeight="1">
      <c r="A22" s="256" t="s">
        <v>149</v>
      </c>
      <c r="B22" s="83" t="s">
        <v>298</v>
      </c>
      <c r="C22" s="82" t="s">
        <v>297</v>
      </c>
      <c r="D22" s="219">
        <f t="shared" si="2"/>
        <v>111111468</v>
      </c>
      <c r="E22" s="232"/>
      <c r="F22" s="233"/>
      <c r="G22" s="233">
        <v>24110890</v>
      </c>
      <c r="H22" s="233"/>
      <c r="I22" s="233"/>
      <c r="J22" s="233"/>
      <c r="K22" s="234">
        <f t="shared" si="0"/>
        <v>24110890</v>
      </c>
      <c r="L22" s="234">
        <v>87000578</v>
      </c>
      <c r="M22" s="234"/>
      <c r="N22" s="234"/>
      <c r="O22" s="224">
        <f>SUM(L22:N22)</f>
        <v>87000578</v>
      </c>
      <c r="P22" s="235"/>
      <c r="Q22" s="235"/>
      <c r="R22" s="236"/>
      <c r="S22" s="236"/>
      <c r="T22" s="237"/>
      <c r="U22" s="238"/>
    </row>
    <row r="23" spans="1:21" s="79" customFormat="1" ht="29.25" customHeight="1">
      <c r="A23" s="256" t="s">
        <v>151</v>
      </c>
      <c r="B23" s="83" t="s">
        <v>126</v>
      </c>
      <c r="C23" s="218" t="s">
        <v>127</v>
      </c>
      <c r="D23" s="219">
        <f t="shared" si="2"/>
        <v>1372870</v>
      </c>
      <c r="E23" s="220"/>
      <c r="F23" s="221"/>
      <c r="G23" s="221">
        <v>1372870</v>
      </c>
      <c r="H23" s="223"/>
      <c r="I23" s="221"/>
      <c r="J23" s="221"/>
      <c r="K23" s="222">
        <f aca="true" t="shared" si="3" ref="K23:K33">SUM(E23:I23)</f>
        <v>1372870</v>
      </c>
      <c r="L23" s="223"/>
      <c r="M23" s="223"/>
      <c r="N23" s="223"/>
      <c r="O23" s="224">
        <f aca="true" t="shared" si="4" ref="O23:O33">SUM(L23:N23)</f>
        <v>0</v>
      </c>
      <c r="P23" s="224"/>
      <c r="Q23" s="226"/>
      <c r="R23" s="227"/>
      <c r="S23" s="227">
        <f t="shared" si="1"/>
        <v>0</v>
      </c>
      <c r="T23" s="239"/>
      <c r="U23" s="231"/>
    </row>
    <row r="24" spans="1:21" s="79" customFormat="1" ht="15">
      <c r="A24" s="256" t="s">
        <v>153</v>
      </c>
      <c r="B24" s="83" t="s">
        <v>128</v>
      </c>
      <c r="C24" s="82" t="s">
        <v>129</v>
      </c>
      <c r="D24" s="219">
        <f t="shared" si="2"/>
        <v>1022359</v>
      </c>
      <c r="E24" s="220">
        <v>258000</v>
      </c>
      <c r="F24" s="221">
        <v>45279</v>
      </c>
      <c r="G24" s="221">
        <v>635000</v>
      </c>
      <c r="H24" s="223"/>
      <c r="I24" s="221"/>
      <c r="J24" s="221"/>
      <c r="K24" s="222">
        <f t="shared" si="3"/>
        <v>938279</v>
      </c>
      <c r="L24" s="223">
        <v>84080</v>
      </c>
      <c r="M24" s="223"/>
      <c r="N24" s="223"/>
      <c r="O24" s="224">
        <f t="shared" si="4"/>
        <v>84080</v>
      </c>
      <c r="P24" s="224"/>
      <c r="Q24" s="226"/>
      <c r="R24" s="227"/>
      <c r="S24" s="227">
        <f t="shared" si="1"/>
        <v>0</v>
      </c>
      <c r="T24" s="239"/>
      <c r="U24" s="231"/>
    </row>
    <row r="25" spans="1:21" s="79" customFormat="1" ht="30">
      <c r="A25" s="256" t="s">
        <v>159</v>
      </c>
      <c r="B25" s="83" t="s">
        <v>130</v>
      </c>
      <c r="C25" s="82" t="s">
        <v>131</v>
      </c>
      <c r="D25" s="219">
        <f>K25+O25+S25</f>
        <v>811090</v>
      </c>
      <c r="E25" s="220"/>
      <c r="F25" s="221"/>
      <c r="G25" s="221">
        <f>246795+40640</f>
        <v>287435</v>
      </c>
      <c r="H25" s="223"/>
      <c r="I25" s="221"/>
      <c r="J25" s="221"/>
      <c r="K25" s="222">
        <f t="shared" si="3"/>
        <v>287435</v>
      </c>
      <c r="L25" s="223">
        <f>23655+500000</f>
        <v>523655</v>
      </c>
      <c r="M25" s="223"/>
      <c r="N25" s="223"/>
      <c r="O25" s="224">
        <f t="shared" si="4"/>
        <v>523655</v>
      </c>
      <c r="P25" s="224"/>
      <c r="Q25" s="226"/>
      <c r="R25" s="227"/>
      <c r="S25" s="227">
        <f t="shared" si="1"/>
        <v>0</v>
      </c>
      <c r="T25" s="228"/>
      <c r="U25" s="231"/>
    </row>
    <row r="26" spans="1:21" s="79" customFormat="1" ht="15">
      <c r="A26" s="256" t="s">
        <v>161</v>
      </c>
      <c r="B26" s="83" t="s">
        <v>132</v>
      </c>
      <c r="C26" s="82" t="s">
        <v>15</v>
      </c>
      <c r="D26" s="219">
        <f t="shared" si="2"/>
        <v>74450</v>
      </c>
      <c r="E26" s="220"/>
      <c r="F26" s="221"/>
      <c r="G26" s="221">
        <v>74450</v>
      </c>
      <c r="H26" s="223"/>
      <c r="I26" s="221"/>
      <c r="J26" s="221"/>
      <c r="K26" s="222">
        <f t="shared" si="3"/>
        <v>74450</v>
      </c>
      <c r="L26" s="223"/>
      <c r="M26" s="223"/>
      <c r="N26" s="223"/>
      <c r="O26" s="224">
        <f t="shared" si="4"/>
        <v>0</v>
      </c>
      <c r="P26" s="224"/>
      <c r="Q26" s="226"/>
      <c r="R26" s="227"/>
      <c r="S26" s="227">
        <f t="shared" si="1"/>
        <v>0</v>
      </c>
      <c r="T26" s="239"/>
      <c r="U26" s="231"/>
    </row>
    <row r="27" spans="1:21" s="79" customFormat="1" ht="15">
      <c r="A27" s="256" t="s">
        <v>163</v>
      </c>
      <c r="B27" s="83" t="s">
        <v>133</v>
      </c>
      <c r="C27" s="82" t="s">
        <v>17</v>
      </c>
      <c r="D27" s="219">
        <f t="shared" si="2"/>
        <v>1768497</v>
      </c>
      <c r="E27" s="220">
        <v>193200</v>
      </c>
      <c r="F27" s="221">
        <v>34385</v>
      </c>
      <c r="G27" s="221">
        <v>1018092</v>
      </c>
      <c r="H27" s="221"/>
      <c r="I27" s="221"/>
      <c r="J27" s="221"/>
      <c r="K27" s="222">
        <f t="shared" si="3"/>
        <v>1245677</v>
      </c>
      <c r="L27" s="223">
        <f>381000+230000-4100-84080</f>
        <v>522820</v>
      </c>
      <c r="M27" s="223"/>
      <c r="N27" s="223"/>
      <c r="O27" s="224">
        <f t="shared" si="4"/>
        <v>522820</v>
      </c>
      <c r="P27" s="224"/>
      <c r="Q27" s="226"/>
      <c r="R27" s="227"/>
      <c r="S27" s="227">
        <f t="shared" si="1"/>
        <v>0</v>
      </c>
      <c r="T27" s="239"/>
      <c r="U27" s="231"/>
    </row>
    <row r="28" spans="1:21" s="79" customFormat="1" ht="30">
      <c r="A28" s="256" t="s">
        <v>168</v>
      </c>
      <c r="B28" s="83" t="s">
        <v>254</v>
      </c>
      <c r="C28" s="82" t="s">
        <v>255</v>
      </c>
      <c r="D28" s="219">
        <f t="shared" si="2"/>
        <v>1773760</v>
      </c>
      <c r="E28" s="220">
        <v>496000</v>
      </c>
      <c r="F28" s="221">
        <v>256440</v>
      </c>
      <c r="G28" s="221">
        <v>1021320</v>
      </c>
      <c r="H28" s="221"/>
      <c r="I28" s="221"/>
      <c r="J28" s="221"/>
      <c r="K28" s="222">
        <f t="shared" si="3"/>
        <v>1773760</v>
      </c>
      <c r="L28" s="223"/>
      <c r="M28" s="223"/>
      <c r="N28" s="223"/>
      <c r="O28" s="224">
        <f t="shared" si="4"/>
        <v>0</v>
      </c>
      <c r="P28" s="224"/>
      <c r="Q28" s="226"/>
      <c r="R28" s="227"/>
      <c r="S28" s="227">
        <f t="shared" si="1"/>
        <v>0</v>
      </c>
      <c r="T28" s="239"/>
      <c r="U28" s="231"/>
    </row>
    <row r="29" spans="1:21" s="79" customFormat="1" ht="15">
      <c r="A29" s="256" t="s">
        <v>170</v>
      </c>
      <c r="B29" s="83" t="s">
        <v>353</v>
      </c>
      <c r="C29" s="82" t="s">
        <v>354</v>
      </c>
      <c r="D29" s="219">
        <f t="shared" si="2"/>
        <v>25000</v>
      </c>
      <c r="E29" s="220"/>
      <c r="F29" s="221"/>
      <c r="G29" s="221"/>
      <c r="H29" s="221"/>
      <c r="I29" s="221">
        <v>25000</v>
      </c>
      <c r="J29" s="221"/>
      <c r="K29" s="222">
        <f t="shared" si="3"/>
        <v>25000</v>
      </c>
      <c r="L29" s="223"/>
      <c r="M29" s="223"/>
      <c r="N29" s="223"/>
      <c r="O29" s="224"/>
      <c r="P29" s="224"/>
      <c r="Q29" s="226"/>
      <c r="R29" s="227"/>
      <c r="S29" s="227"/>
      <c r="T29" s="239"/>
      <c r="U29" s="231"/>
    </row>
    <row r="30" spans="1:21" s="79" customFormat="1" ht="29.25" customHeight="1">
      <c r="A30" s="256" t="s">
        <v>172</v>
      </c>
      <c r="B30" s="83">
        <v>104051</v>
      </c>
      <c r="C30" s="278" t="s">
        <v>244</v>
      </c>
      <c r="D30" s="219">
        <f t="shared" si="2"/>
        <v>46400</v>
      </c>
      <c r="E30" s="220"/>
      <c r="F30" s="221"/>
      <c r="G30" s="221"/>
      <c r="H30" s="221">
        <v>46400</v>
      </c>
      <c r="I30" s="221"/>
      <c r="J30" s="221"/>
      <c r="K30" s="222">
        <f t="shared" si="3"/>
        <v>46400</v>
      </c>
      <c r="L30" s="223"/>
      <c r="M30" s="223"/>
      <c r="N30" s="223"/>
      <c r="O30" s="224">
        <f t="shared" si="4"/>
        <v>0</v>
      </c>
      <c r="P30" s="224"/>
      <c r="Q30" s="226"/>
      <c r="R30" s="227"/>
      <c r="S30" s="227">
        <f t="shared" si="1"/>
        <v>0</v>
      </c>
      <c r="T30" s="239"/>
      <c r="U30" s="231"/>
    </row>
    <row r="31" spans="1:21" s="79" customFormat="1" ht="15">
      <c r="A31" s="256" t="s">
        <v>180</v>
      </c>
      <c r="B31" s="83" t="s">
        <v>134</v>
      </c>
      <c r="C31" s="84" t="s">
        <v>256</v>
      </c>
      <c r="D31" s="219">
        <f t="shared" si="2"/>
        <v>1209462</v>
      </c>
      <c r="E31" s="220"/>
      <c r="F31" s="221"/>
      <c r="G31" s="221">
        <v>1209462</v>
      </c>
      <c r="H31" s="221"/>
      <c r="I31" s="221"/>
      <c r="J31" s="221"/>
      <c r="K31" s="222">
        <f t="shared" si="3"/>
        <v>1209462</v>
      </c>
      <c r="L31" s="223"/>
      <c r="M31" s="223"/>
      <c r="N31" s="223"/>
      <c r="O31" s="224">
        <f t="shared" si="4"/>
        <v>0</v>
      </c>
      <c r="P31" s="224"/>
      <c r="Q31" s="226"/>
      <c r="R31" s="227"/>
      <c r="S31" s="227">
        <f t="shared" si="1"/>
        <v>0</v>
      </c>
      <c r="T31" s="239"/>
      <c r="U31" s="231"/>
    </row>
    <row r="32" spans="1:21" s="79" customFormat="1" ht="15">
      <c r="A32" s="256" t="s">
        <v>183</v>
      </c>
      <c r="B32" s="83">
        <v>107055</v>
      </c>
      <c r="C32" s="85" t="s">
        <v>257</v>
      </c>
      <c r="D32" s="219">
        <f t="shared" si="2"/>
        <v>4162451</v>
      </c>
      <c r="E32" s="220">
        <f>2634509+53040+52764+26382</f>
        <v>2766695</v>
      </c>
      <c r="F32" s="221">
        <f>540601+10343+10288+5144</f>
        <v>566376</v>
      </c>
      <c r="G32" s="221">
        <v>829380</v>
      </c>
      <c r="H32" s="221"/>
      <c r="I32" s="221"/>
      <c r="J32" s="221"/>
      <c r="K32" s="222">
        <f t="shared" si="3"/>
        <v>4162451</v>
      </c>
      <c r="L32" s="223"/>
      <c r="M32" s="223"/>
      <c r="N32" s="223"/>
      <c r="O32" s="224">
        <f t="shared" si="4"/>
        <v>0</v>
      </c>
      <c r="P32" s="224"/>
      <c r="Q32" s="226"/>
      <c r="R32" s="227"/>
      <c r="S32" s="227">
        <f t="shared" si="1"/>
        <v>0</v>
      </c>
      <c r="T32" s="239">
        <v>1</v>
      </c>
      <c r="U32" s="231">
        <v>1</v>
      </c>
    </row>
    <row r="33" spans="1:21" s="79" customFormat="1" ht="30.75" thickBot="1">
      <c r="A33" s="257" t="s">
        <v>184</v>
      </c>
      <c r="B33" s="83">
        <v>107060</v>
      </c>
      <c r="C33" s="82" t="s">
        <v>135</v>
      </c>
      <c r="D33" s="219">
        <f t="shared" si="2"/>
        <v>1375000</v>
      </c>
      <c r="E33" s="220"/>
      <c r="F33" s="221"/>
      <c r="G33" s="221"/>
      <c r="H33" s="221">
        <v>1375000</v>
      </c>
      <c r="I33" s="221"/>
      <c r="J33" s="221"/>
      <c r="K33" s="222">
        <f t="shared" si="3"/>
        <v>1375000</v>
      </c>
      <c r="L33" s="223"/>
      <c r="M33" s="223"/>
      <c r="N33" s="223"/>
      <c r="O33" s="224">
        <f t="shared" si="4"/>
        <v>0</v>
      </c>
      <c r="P33" s="224"/>
      <c r="Q33" s="226"/>
      <c r="R33" s="227"/>
      <c r="S33" s="227">
        <f t="shared" si="1"/>
        <v>0</v>
      </c>
      <c r="T33" s="239"/>
      <c r="U33" s="231"/>
    </row>
    <row r="34" spans="1:21" s="79" customFormat="1" ht="33.75" customHeight="1" thickBot="1">
      <c r="A34" s="258" t="s">
        <v>240</v>
      </c>
      <c r="B34" s="151"/>
      <c r="C34" s="152" t="s">
        <v>202</v>
      </c>
      <c r="D34" s="225">
        <f>SUM(D16:D33)</f>
        <v>160195998</v>
      </c>
      <c r="E34" s="225">
        <f aca="true" t="shared" si="5" ref="E34:P34">SUM(E16:E33)</f>
        <v>9885091</v>
      </c>
      <c r="F34" s="225">
        <f t="shared" si="5"/>
        <v>2066370</v>
      </c>
      <c r="G34" s="225">
        <f t="shared" si="5"/>
        <v>34384158</v>
      </c>
      <c r="H34" s="225">
        <f t="shared" si="5"/>
        <v>1421400</v>
      </c>
      <c r="I34" s="225">
        <f t="shared" si="5"/>
        <v>334540</v>
      </c>
      <c r="J34" s="225">
        <f t="shared" si="5"/>
        <v>5846030</v>
      </c>
      <c r="K34" s="225">
        <f t="shared" si="5"/>
        <v>53937589</v>
      </c>
      <c r="L34" s="225">
        <f t="shared" si="5"/>
        <v>88365233</v>
      </c>
      <c r="M34" s="225">
        <f t="shared" si="5"/>
        <v>17077703</v>
      </c>
      <c r="N34" s="225">
        <f t="shared" si="5"/>
        <v>0</v>
      </c>
      <c r="O34" s="225">
        <f t="shared" si="5"/>
        <v>105442936</v>
      </c>
      <c r="P34" s="225">
        <f t="shared" si="5"/>
        <v>815473</v>
      </c>
      <c r="Q34" s="225"/>
      <c r="R34" s="225"/>
      <c r="S34" s="225">
        <f>SUM(S16:S33)</f>
        <v>815473</v>
      </c>
      <c r="T34" s="225">
        <f>SUM(T16:T33)</f>
        <v>1</v>
      </c>
      <c r="U34" s="240">
        <f>SUM(U16:U33)</f>
        <v>3</v>
      </c>
    </row>
  </sheetData>
  <sheetProtection/>
  <mergeCells count="35">
    <mergeCell ref="B11:B15"/>
    <mergeCell ref="B5:U5"/>
    <mergeCell ref="I13:I15"/>
    <mergeCell ref="F13:F15"/>
    <mergeCell ref="P13:P15"/>
    <mergeCell ref="J13:J15"/>
    <mergeCell ref="T12:U12"/>
    <mergeCell ref="D11:D15"/>
    <mergeCell ref="S13:S15"/>
    <mergeCell ref="T11:U11"/>
    <mergeCell ref="T14:U15"/>
    <mergeCell ref="G13:G15"/>
    <mergeCell ref="L12:O12"/>
    <mergeCell ref="O13:O15"/>
    <mergeCell ref="Q13:Q15"/>
    <mergeCell ref="A1:U1"/>
    <mergeCell ref="A3:D3"/>
    <mergeCell ref="C11:C15"/>
    <mergeCell ref="P12:S12"/>
    <mergeCell ref="E12:K12"/>
    <mergeCell ref="B4:R4"/>
    <mergeCell ref="B7:U7"/>
    <mergeCell ref="K13:K15"/>
    <mergeCell ref="A11:A15"/>
    <mergeCell ref="E11:S11"/>
    <mergeCell ref="E13:E15"/>
    <mergeCell ref="R13:R15"/>
    <mergeCell ref="B9:U9"/>
    <mergeCell ref="L13:L15"/>
    <mergeCell ref="H13:H15"/>
    <mergeCell ref="M3:U3"/>
    <mergeCell ref="T10:U10"/>
    <mergeCell ref="B8:U8"/>
    <mergeCell ref="M13:M15"/>
    <mergeCell ref="N13:N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G34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2" width="9.125" style="140" customWidth="1"/>
    <col min="3" max="3" width="63.125" style="140" customWidth="1"/>
    <col min="4" max="7" width="26.25390625" style="140" customWidth="1"/>
    <col min="8" max="16384" width="9.125" style="140" customWidth="1"/>
  </cols>
  <sheetData>
    <row r="2" spans="1:7" ht="15.75">
      <c r="A2" s="382" t="s">
        <v>400</v>
      </c>
      <c r="B2" s="383"/>
      <c r="C2" s="383"/>
      <c r="D2" s="383"/>
      <c r="E2" s="383"/>
      <c r="F2" s="383"/>
      <c r="G2" s="383"/>
    </row>
    <row r="4" spans="1:7" s="129" customFormat="1" ht="15.75">
      <c r="A4" s="381" t="s">
        <v>362</v>
      </c>
      <c r="B4" s="330"/>
      <c r="C4" s="330"/>
      <c r="D4" s="130"/>
      <c r="E4" s="131"/>
      <c r="F4" s="131"/>
      <c r="G4" s="131"/>
    </row>
    <row r="5" spans="3:7" s="39" customFormat="1" ht="15" customHeight="1">
      <c r="C5" s="384"/>
      <c r="D5" s="384"/>
      <c r="E5" s="384"/>
      <c r="F5" s="384"/>
      <c r="G5" s="384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85" t="s">
        <v>251</v>
      </c>
      <c r="D7" s="385"/>
      <c r="E7" s="385"/>
      <c r="F7" s="385"/>
      <c r="G7" s="385"/>
    </row>
    <row r="8" spans="3:7" s="86" customFormat="1" ht="15.75">
      <c r="C8" s="386" t="s">
        <v>203</v>
      </c>
      <c r="D8" s="386"/>
      <c r="E8" s="386"/>
      <c r="F8" s="386"/>
      <c r="G8" s="386"/>
    </row>
    <row r="9" spans="3:7" s="86" customFormat="1" ht="15" customHeight="1">
      <c r="C9" s="385" t="s">
        <v>335</v>
      </c>
      <c r="D9" s="385"/>
      <c r="E9" s="385"/>
      <c r="F9" s="385"/>
      <c r="G9" s="385"/>
    </row>
    <row r="10" spans="3:7" s="129" customFormat="1" ht="12" customHeight="1" thickBot="1">
      <c r="C10" s="130"/>
      <c r="D10" s="135"/>
      <c r="E10" s="136"/>
      <c r="F10" s="136"/>
      <c r="G10" s="304" t="s">
        <v>292</v>
      </c>
    </row>
    <row r="11" spans="1:7" s="129" customFormat="1" ht="16.5" customHeight="1" thickBot="1">
      <c r="A11" s="359" t="s">
        <v>332</v>
      </c>
      <c r="B11" s="361" t="s">
        <v>104</v>
      </c>
      <c r="C11" s="364" t="s">
        <v>105</v>
      </c>
      <c r="D11" s="367" t="s">
        <v>204</v>
      </c>
      <c r="E11" s="370" t="s">
        <v>191</v>
      </c>
      <c r="F11" s="370"/>
      <c r="G11" s="371"/>
    </row>
    <row r="12" spans="1:7" s="129" customFormat="1" ht="33" customHeight="1" thickBot="1">
      <c r="A12" s="360"/>
      <c r="B12" s="362"/>
      <c r="C12" s="365"/>
      <c r="D12" s="368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60"/>
      <c r="B13" s="362"/>
      <c r="C13" s="365"/>
      <c r="D13" s="368"/>
      <c r="E13" s="372" t="s">
        <v>195</v>
      </c>
      <c r="F13" s="373"/>
      <c r="G13" s="374"/>
    </row>
    <row r="14" spans="1:7" ht="12.75">
      <c r="A14" s="360"/>
      <c r="B14" s="362"/>
      <c r="C14" s="365"/>
      <c r="D14" s="368"/>
      <c r="E14" s="375"/>
      <c r="F14" s="376"/>
      <c r="G14" s="377"/>
    </row>
    <row r="15" spans="1:7" ht="3" customHeight="1" thickBot="1">
      <c r="A15" s="430"/>
      <c r="B15" s="363"/>
      <c r="C15" s="366"/>
      <c r="D15" s="369"/>
      <c r="E15" s="378"/>
      <c r="F15" s="379"/>
      <c r="G15" s="380"/>
    </row>
    <row r="16" spans="1:7" ht="30">
      <c r="A16" s="251" t="s">
        <v>20</v>
      </c>
      <c r="B16" s="81" t="s">
        <v>121</v>
      </c>
      <c r="C16" s="82" t="s">
        <v>122</v>
      </c>
      <c r="D16" s="141">
        <f>SUM(E16:G16)</f>
        <v>14934422</v>
      </c>
      <c r="E16" s="141">
        <f>7502994+7366061+50000+50800+230000-460000-40640-50800-370000-74930+74930+182580-6281-23661-500000+4100+247366</f>
        <v>14182519</v>
      </c>
      <c r="F16" s="141">
        <v>751903</v>
      </c>
      <c r="G16" s="141"/>
    </row>
    <row r="17" spans="1:7" ht="15">
      <c r="A17" s="252" t="s">
        <v>14</v>
      </c>
      <c r="B17" s="83" t="s">
        <v>123</v>
      </c>
      <c r="C17" s="82" t="s">
        <v>16</v>
      </c>
      <c r="D17" s="143">
        <f aca="true" t="shared" si="0" ref="D17:D33">SUM(E17:G17)</f>
        <v>181534</v>
      </c>
      <c r="E17" s="143">
        <v>181534</v>
      </c>
      <c r="F17" s="143"/>
      <c r="G17" s="143"/>
    </row>
    <row r="18" spans="1:7" ht="15">
      <c r="A18" s="252" t="s">
        <v>21</v>
      </c>
      <c r="B18" s="83" t="s">
        <v>124</v>
      </c>
      <c r="C18" s="82" t="s">
        <v>299</v>
      </c>
      <c r="D18" s="143">
        <f t="shared" si="0"/>
        <v>531480</v>
      </c>
      <c r="E18" s="143">
        <f>11480+370000+150000</f>
        <v>531480</v>
      </c>
      <c r="F18" s="143"/>
      <c r="G18" s="143"/>
    </row>
    <row r="19" spans="1:7" ht="15">
      <c r="A19" s="252" t="s">
        <v>59</v>
      </c>
      <c r="B19" s="83" t="s">
        <v>196</v>
      </c>
      <c r="C19" s="82" t="s">
        <v>278</v>
      </c>
      <c r="D19" s="143">
        <f>SUM(E19:G19)</f>
        <v>815473</v>
      </c>
      <c r="E19" s="143">
        <v>815473</v>
      </c>
      <c r="F19" s="143"/>
      <c r="G19" s="143"/>
    </row>
    <row r="20" spans="1:7" ht="15">
      <c r="A20" s="252" t="s">
        <v>60</v>
      </c>
      <c r="B20" s="83" t="s">
        <v>351</v>
      </c>
      <c r="C20" s="82" t="s">
        <v>352</v>
      </c>
      <c r="D20" s="143">
        <f>SUM(E20:G20)</f>
        <v>2181279</v>
      </c>
      <c r="E20" s="143">
        <f>180996+314822+1391789+6281+287391</f>
        <v>2181279</v>
      </c>
      <c r="F20" s="143"/>
      <c r="G20" s="143"/>
    </row>
    <row r="21" spans="1:7" ht="15">
      <c r="A21" s="252" t="s">
        <v>65</v>
      </c>
      <c r="B21" s="83" t="s">
        <v>272</v>
      </c>
      <c r="C21" s="82" t="s">
        <v>279</v>
      </c>
      <c r="D21" s="143">
        <f>SUM(E21:G21)</f>
        <v>16799003</v>
      </c>
      <c r="E21" s="143">
        <f>16059965+739032+6</f>
        <v>16799003</v>
      </c>
      <c r="F21" s="143"/>
      <c r="G21" s="143"/>
    </row>
    <row r="22" spans="1:7" ht="15">
      <c r="A22" s="252" t="s">
        <v>149</v>
      </c>
      <c r="B22" s="83" t="s">
        <v>298</v>
      </c>
      <c r="C22" s="82" t="s">
        <v>297</v>
      </c>
      <c r="D22" s="143">
        <f>SUM(E22:G22)</f>
        <v>111111468</v>
      </c>
      <c r="E22" s="143">
        <v>111111468</v>
      </c>
      <c r="F22" s="143"/>
      <c r="G22" s="143"/>
    </row>
    <row r="23" spans="1:7" ht="15">
      <c r="A23" s="252" t="s">
        <v>151</v>
      </c>
      <c r="B23" s="83" t="s">
        <v>126</v>
      </c>
      <c r="C23" s="82" t="s">
        <v>127</v>
      </c>
      <c r="D23" s="143">
        <f t="shared" si="0"/>
        <v>1372870</v>
      </c>
      <c r="E23" s="143">
        <v>1372870</v>
      </c>
      <c r="F23" s="143"/>
      <c r="G23" s="143"/>
    </row>
    <row r="24" spans="1:7" ht="15">
      <c r="A24" s="252" t="s">
        <v>153</v>
      </c>
      <c r="B24" s="83" t="s">
        <v>128</v>
      </c>
      <c r="C24" s="82" t="s">
        <v>129</v>
      </c>
      <c r="D24" s="143">
        <f t="shared" si="0"/>
        <v>1022359</v>
      </c>
      <c r="E24" s="143">
        <f>938279+84080</f>
        <v>1022359</v>
      </c>
      <c r="F24" s="143"/>
      <c r="G24" s="143"/>
    </row>
    <row r="25" spans="1:7" ht="15">
      <c r="A25" s="252" t="s">
        <v>159</v>
      </c>
      <c r="B25" s="83" t="s">
        <v>130</v>
      </c>
      <c r="C25" s="82" t="s">
        <v>131</v>
      </c>
      <c r="D25" s="143">
        <f t="shared" si="0"/>
        <v>811090</v>
      </c>
      <c r="E25" s="143">
        <f>246795+40640+23655+500000</f>
        <v>811090</v>
      </c>
      <c r="F25" s="143"/>
      <c r="G25" s="143"/>
    </row>
    <row r="26" spans="1:7" ht="15">
      <c r="A26" s="252" t="s">
        <v>161</v>
      </c>
      <c r="B26" s="83" t="s">
        <v>132</v>
      </c>
      <c r="C26" s="82" t="s">
        <v>15</v>
      </c>
      <c r="D26" s="143">
        <f t="shared" si="0"/>
        <v>74450</v>
      </c>
      <c r="E26" s="143">
        <v>74450</v>
      </c>
      <c r="F26" s="143"/>
      <c r="G26" s="143"/>
    </row>
    <row r="27" spans="1:7" ht="15">
      <c r="A27" s="252" t="s">
        <v>163</v>
      </c>
      <c r="B27" s="83" t="s">
        <v>133</v>
      </c>
      <c r="C27" s="82" t="s">
        <v>17</v>
      </c>
      <c r="D27" s="143">
        <f t="shared" si="0"/>
        <v>1768497</v>
      </c>
      <c r="E27" s="143">
        <f>1626677+230000-4100-84080</f>
        <v>1768497</v>
      </c>
      <c r="F27" s="143"/>
      <c r="G27" s="143"/>
    </row>
    <row r="28" spans="1:7" ht="15">
      <c r="A28" s="252" t="s">
        <v>168</v>
      </c>
      <c r="B28" s="83" t="s">
        <v>254</v>
      </c>
      <c r="C28" s="82" t="s">
        <v>255</v>
      </c>
      <c r="D28" s="143">
        <f t="shared" si="0"/>
        <v>1773760</v>
      </c>
      <c r="E28" s="143">
        <v>1021320</v>
      </c>
      <c r="F28" s="143">
        <v>752440</v>
      </c>
      <c r="G28" s="143"/>
    </row>
    <row r="29" spans="1:7" ht="15">
      <c r="A29" s="252" t="s">
        <v>170</v>
      </c>
      <c r="B29" s="83" t="s">
        <v>353</v>
      </c>
      <c r="C29" s="82" t="s">
        <v>354</v>
      </c>
      <c r="D29" s="143">
        <f t="shared" si="0"/>
        <v>25000</v>
      </c>
      <c r="E29" s="143">
        <v>25000</v>
      </c>
      <c r="F29" s="143"/>
      <c r="G29" s="143"/>
    </row>
    <row r="30" spans="1:7" ht="15">
      <c r="A30" s="252" t="s">
        <v>172</v>
      </c>
      <c r="B30" s="83">
        <v>104051</v>
      </c>
      <c r="C30" s="85" t="s">
        <v>244</v>
      </c>
      <c r="D30" s="143">
        <f t="shared" si="0"/>
        <v>46400</v>
      </c>
      <c r="E30" s="143"/>
      <c r="F30" s="143"/>
      <c r="G30" s="143">
        <v>46400</v>
      </c>
    </row>
    <row r="31" spans="1:7" ht="15">
      <c r="A31" s="252" t="s">
        <v>180</v>
      </c>
      <c r="B31" s="83" t="s">
        <v>134</v>
      </c>
      <c r="C31" s="84" t="s">
        <v>253</v>
      </c>
      <c r="D31" s="143">
        <f t="shared" si="0"/>
        <v>1209462</v>
      </c>
      <c r="E31" s="143">
        <v>1209462</v>
      </c>
      <c r="F31" s="143"/>
      <c r="G31" s="143"/>
    </row>
    <row r="32" spans="1:7" ht="15">
      <c r="A32" s="252" t="s">
        <v>183</v>
      </c>
      <c r="B32" s="83">
        <v>107055</v>
      </c>
      <c r="C32" s="85" t="s">
        <v>257</v>
      </c>
      <c r="D32" s="143">
        <f t="shared" si="0"/>
        <v>4162451</v>
      </c>
      <c r="E32" s="143">
        <f>3804490+63383+63052+31526</f>
        <v>3962451</v>
      </c>
      <c r="F32" s="143">
        <v>200000</v>
      </c>
      <c r="G32" s="143"/>
    </row>
    <row r="33" spans="1:7" ht="15.75" thickBot="1">
      <c r="A33" s="253" t="s">
        <v>184</v>
      </c>
      <c r="B33" s="83">
        <v>107060</v>
      </c>
      <c r="C33" s="84" t="s">
        <v>135</v>
      </c>
      <c r="D33" s="143">
        <f t="shared" si="0"/>
        <v>1375000</v>
      </c>
      <c r="E33" s="143">
        <v>1375000</v>
      </c>
      <c r="F33" s="143"/>
      <c r="G33" s="143"/>
    </row>
    <row r="34" spans="1:7" ht="33" customHeight="1" thickBot="1">
      <c r="A34" s="254" t="s">
        <v>240</v>
      </c>
      <c r="B34" s="145"/>
      <c r="C34" s="146" t="s">
        <v>2</v>
      </c>
      <c r="D34" s="147">
        <f>SUM(D16:D33)</f>
        <v>160195998</v>
      </c>
      <c r="E34" s="147">
        <f>SUM(E16:E33)</f>
        <v>158445255</v>
      </c>
      <c r="F34" s="147">
        <f>SUM(F16:F33)</f>
        <v>1704343</v>
      </c>
      <c r="G34" s="147">
        <f>SUM(G16:G33)</f>
        <v>46400</v>
      </c>
    </row>
  </sheetData>
  <sheetProtection/>
  <mergeCells count="12">
    <mergeCell ref="A2:G2"/>
    <mergeCell ref="A4:C4"/>
    <mergeCell ref="C5:G5"/>
    <mergeCell ref="C7:G7"/>
    <mergeCell ref="C8:G8"/>
    <mergeCell ref="C9:G9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D37"/>
  <sheetViews>
    <sheetView zoomScalePageLayoutView="0" workbookViewId="0" topLeftCell="A1">
      <selection activeCell="A7" sqref="A7:C7"/>
    </sheetView>
  </sheetViews>
  <sheetFormatPr defaultColWidth="9.00390625" defaultRowHeight="12.75"/>
  <cols>
    <col min="2" max="2" width="60.75390625" style="0" customWidth="1"/>
    <col min="3" max="3" width="12.25390625" style="0" customWidth="1"/>
  </cols>
  <sheetData>
    <row r="2" spans="1:3" ht="15.75">
      <c r="A2" s="382" t="s">
        <v>401</v>
      </c>
      <c r="B2" s="382"/>
      <c r="C2" s="382"/>
    </row>
    <row r="4" spans="1:3" ht="12.75">
      <c r="A4" s="330" t="s">
        <v>377</v>
      </c>
      <c r="B4" s="330"/>
      <c r="C4" s="330"/>
    </row>
    <row r="7" spans="1:3" ht="16.5" customHeight="1">
      <c r="A7" s="433"/>
      <c r="B7" s="433"/>
      <c r="C7" s="433"/>
    </row>
    <row r="9" spans="1:3" ht="23.25" customHeight="1">
      <c r="A9" s="432" t="s">
        <v>251</v>
      </c>
      <c r="B9" s="432"/>
      <c r="C9" s="432"/>
    </row>
    <row r="10" spans="1:3" ht="21" customHeight="1">
      <c r="A10" s="432" t="s">
        <v>378</v>
      </c>
      <c r="B10" s="432"/>
      <c r="C10" s="432"/>
    </row>
    <row r="11" spans="1:3" ht="27" customHeight="1" thickBot="1">
      <c r="A11" s="431" t="s">
        <v>335</v>
      </c>
      <c r="B11" s="431"/>
      <c r="C11" s="431"/>
    </row>
    <row r="12" spans="1:3" ht="39" customHeight="1" thickBot="1">
      <c r="A12" s="314" t="s">
        <v>332</v>
      </c>
      <c r="B12" s="315" t="s">
        <v>0</v>
      </c>
      <c r="C12" s="316" t="s">
        <v>389</v>
      </c>
    </row>
    <row r="13" spans="2:3" ht="16.5" customHeight="1">
      <c r="B13" s="311"/>
      <c r="C13" s="312"/>
    </row>
    <row r="14" spans="1:3" ht="36.75" customHeight="1">
      <c r="A14" s="282" t="s">
        <v>20</v>
      </c>
      <c r="B14" s="313" t="s">
        <v>386</v>
      </c>
      <c r="C14" s="312"/>
    </row>
    <row r="15" spans="1:4" ht="16.5" customHeight="1">
      <c r="A15" s="305" t="s">
        <v>304</v>
      </c>
      <c r="B15" t="s">
        <v>385</v>
      </c>
      <c r="C15" s="210">
        <v>181102</v>
      </c>
      <c r="D15" s="210"/>
    </row>
    <row r="16" spans="1:3" ht="23.25" customHeight="1">
      <c r="A16" s="305" t="s">
        <v>305</v>
      </c>
      <c r="B16" t="s">
        <v>383</v>
      </c>
      <c r="C16" s="320">
        <f>(C14+C15)*0.27</f>
        <v>48897.54</v>
      </c>
    </row>
    <row r="17" spans="2:3" ht="18.75" customHeight="1">
      <c r="B17" s="309" t="s">
        <v>280</v>
      </c>
      <c r="C17" s="310">
        <f>C14+C15+C16</f>
        <v>229999.54</v>
      </c>
    </row>
    <row r="19" spans="1:2" ht="18" customHeight="1">
      <c r="A19" t="s">
        <v>14</v>
      </c>
      <c r="B19" s="309" t="s">
        <v>379</v>
      </c>
    </row>
    <row r="21" spans="1:3" ht="18.75" customHeight="1">
      <c r="A21" s="305" t="s">
        <v>368</v>
      </c>
      <c r="B21" t="s">
        <v>380</v>
      </c>
      <c r="C21" s="320">
        <v>87000578</v>
      </c>
    </row>
    <row r="22" spans="2:3" ht="18" customHeight="1">
      <c r="B22" s="309" t="s">
        <v>2</v>
      </c>
      <c r="C22" s="310">
        <v>87000578</v>
      </c>
    </row>
    <row r="25" spans="1:2" ht="24.75" customHeight="1">
      <c r="A25" t="s">
        <v>21</v>
      </c>
      <c r="B25" s="309" t="s">
        <v>381</v>
      </c>
    </row>
    <row r="26" spans="1:3" ht="22.5" customHeight="1">
      <c r="A26" s="305" t="s">
        <v>387</v>
      </c>
      <c r="B26" t="s">
        <v>382</v>
      </c>
      <c r="C26" s="210">
        <v>300000</v>
      </c>
    </row>
    <row r="27" spans="1:3" ht="22.5" customHeight="1">
      <c r="A27" s="305" t="s">
        <v>388</v>
      </c>
      <c r="B27" t="s">
        <v>385</v>
      </c>
      <c r="C27" s="210">
        <v>181102</v>
      </c>
    </row>
    <row r="28" spans="1:3" ht="20.25" customHeight="1">
      <c r="A28" s="305" t="s">
        <v>392</v>
      </c>
      <c r="B28" t="s">
        <v>383</v>
      </c>
      <c r="C28" s="320">
        <f>(C26+C27)*0.27</f>
        <v>129897.54000000001</v>
      </c>
    </row>
    <row r="29" spans="2:3" ht="20.25" customHeight="1">
      <c r="B29" s="309" t="s">
        <v>280</v>
      </c>
      <c r="C29" s="310">
        <f>C26+C27+C28</f>
        <v>610999.54</v>
      </c>
    </row>
    <row r="30" spans="2:3" ht="15" customHeight="1">
      <c r="B30" s="309"/>
      <c r="C30" s="310"/>
    </row>
    <row r="31" spans="1:3" ht="15" customHeight="1">
      <c r="A31" t="s">
        <v>59</v>
      </c>
      <c r="B31" s="317" t="s">
        <v>391</v>
      </c>
      <c r="C31" s="310"/>
    </row>
    <row r="32" spans="1:3" ht="15" customHeight="1">
      <c r="A32" s="305" t="s">
        <v>393</v>
      </c>
      <c r="B32" s="318" t="s">
        <v>394</v>
      </c>
      <c r="C32" s="319">
        <f>409931+23655</f>
        <v>433586</v>
      </c>
    </row>
    <row r="33" spans="1:3" ht="15" customHeight="1">
      <c r="A33" s="282" t="s">
        <v>395</v>
      </c>
      <c r="B33" t="s">
        <v>383</v>
      </c>
      <c r="C33" s="320">
        <v>90069</v>
      </c>
    </row>
    <row r="34" spans="2:3" ht="17.25" customHeight="1">
      <c r="B34" s="309" t="s">
        <v>280</v>
      </c>
      <c r="C34" s="310">
        <f>C32+C33</f>
        <v>523655</v>
      </c>
    </row>
    <row r="37" spans="2:3" ht="18" customHeight="1">
      <c r="B37" s="309" t="s">
        <v>384</v>
      </c>
      <c r="C37" s="310">
        <f>C17+C22+C29+1+C34</f>
        <v>88365233.08000001</v>
      </c>
    </row>
  </sheetData>
  <sheetProtection/>
  <mergeCells count="6">
    <mergeCell ref="A11:C11"/>
    <mergeCell ref="A10:C10"/>
    <mergeCell ref="A9:C9"/>
    <mergeCell ref="A7:C7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33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5.75">
      <c r="A2" s="382" t="s">
        <v>402</v>
      </c>
      <c r="B2" s="382"/>
      <c r="C2" s="285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435" t="s">
        <v>364</v>
      </c>
      <c r="B4" s="435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4.25">
      <c r="A7" s="434"/>
      <c r="B7" s="434"/>
      <c r="C7" s="434"/>
      <c r="D7" s="140"/>
      <c r="E7" s="140"/>
      <c r="F7" s="140"/>
      <c r="G7" s="140"/>
      <c r="H7" s="140"/>
      <c r="I7" s="140"/>
      <c r="J7" s="140"/>
      <c r="K7" s="140"/>
    </row>
    <row r="8" spans="1:11" ht="15">
      <c r="A8" s="140"/>
      <c r="B8" s="286"/>
      <c r="C8" s="286"/>
      <c r="D8" s="286"/>
      <c r="E8" s="286"/>
      <c r="F8" s="286"/>
      <c r="G8" s="286"/>
      <c r="H8" s="286"/>
      <c r="I8" s="286"/>
      <c r="J8" s="286"/>
      <c r="K8" s="286"/>
    </row>
    <row r="9" spans="1:11" ht="14.25">
      <c r="A9" s="140"/>
      <c r="B9" s="434" t="s">
        <v>251</v>
      </c>
      <c r="C9" s="434"/>
      <c r="D9" s="434"/>
      <c r="E9" s="434"/>
      <c r="F9" s="434"/>
      <c r="G9" s="434"/>
      <c r="H9" s="434"/>
      <c r="I9" s="434"/>
      <c r="J9" s="434"/>
      <c r="K9" s="434"/>
    </row>
    <row r="10" spans="1:11" ht="14.25">
      <c r="A10" s="140"/>
      <c r="B10" s="434" t="s">
        <v>281</v>
      </c>
      <c r="C10" s="434"/>
      <c r="D10" s="434"/>
      <c r="E10" s="434"/>
      <c r="F10" s="434"/>
      <c r="G10" s="434"/>
      <c r="H10" s="434"/>
      <c r="I10" s="434"/>
      <c r="J10" s="434"/>
      <c r="K10" s="434"/>
    </row>
    <row r="11" spans="1:11" ht="14.25">
      <c r="A11" s="140"/>
      <c r="B11" s="434" t="s">
        <v>335</v>
      </c>
      <c r="C11" s="434"/>
      <c r="D11" s="434"/>
      <c r="E11" s="434"/>
      <c r="F11" s="434"/>
      <c r="G11" s="434"/>
      <c r="H11" s="434"/>
      <c r="I11" s="434"/>
      <c r="J11" s="434"/>
      <c r="K11" s="434"/>
    </row>
    <row r="12" spans="1:11" ht="12.75">
      <c r="A12" s="140"/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13.5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39.75" thickBot="1" thickTop="1">
      <c r="A14" s="288" t="s">
        <v>332</v>
      </c>
      <c r="B14" s="289" t="s">
        <v>0</v>
      </c>
      <c r="C14" s="290" t="s">
        <v>367</v>
      </c>
      <c r="D14" s="140"/>
      <c r="E14" s="140"/>
      <c r="F14" s="140"/>
      <c r="G14" s="140"/>
      <c r="H14" s="140"/>
      <c r="I14" s="140"/>
      <c r="J14" s="140"/>
      <c r="K14" s="140"/>
    </row>
    <row r="15" spans="1:11" ht="13.5" thickTop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5">
      <c r="A17" s="140" t="s">
        <v>20</v>
      </c>
      <c r="B17" s="291" t="s">
        <v>283</v>
      </c>
      <c r="C17" s="292"/>
      <c r="D17" s="140"/>
      <c r="E17" s="293"/>
      <c r="F17" s="140"/>
      <c r="G17" s="140"/>
      <c r="H17" s="140"/>
      <c r="I17" s="140"/>
      <c r="J17" s="140"/>
      <c r="K17" s="140"/>
    </row>
    <row r="18" spans="1:11" ht="15">
      <c r="A18" s="140"/>
      <c r="B18" s="292"/>
      <c r="C18" s="292"/>
      <c r="D18" s="140"/>
      <c r="E18" s="140"/>
      <c r="F18" s="140"/>
      <c r="G18" s="140"/>
      <c r="H18" s="140"/>
      <c r="I18" s="140"/>
      <c r="J18" s="140"/>
      <c r="K18" s="140"/>
    </row>
    <row r="19" spans="1:11" ht="15.75" customHeight="1">
      <c r="A19" s="294" t="s">
        <v>333</v>
      </c>
      <c r="B19" s="292" t="s">
        <v>302</v>
      </c>
      <c r="C19" s="292"/>
      <c r="D19" s="140"/>
      <c r="E19" s="140"/>
      <c r="F19" s="140"/>
      <c r="G19" s="140"/>
      <c r="H19" s="140"/>
      <c r="I19" s="140"/>
      <c r="J19" s="140"/>
      <c r="K19" s="140"/>
    </row>
    <row r="20" spans="1:11" ht="41.25" customHeight="1">
      <c r="A20" s="295" t="s">
        <v>313</v>
      </c>
      <c r="B20" s="296" t="s">
        <v>345</v>
      </c>
      <c r="C20" s="292"/>
      <c r="D20" s="140"/>
      <c r="E20" s="140"/>
      <c r="F20" s="140"/>
      <c r="G20" s="140"/>
      <c r="H20" s="140"/>
      <c r="I20" s="140"/>
      <c r="J20" s="140"/>
      <c r="K20" s="140"/>
    </row>
    <row r="21" spans="1:11" ht="21.75" customHeight="1">
      <c r="A21" s="140" t="s">
        <v>334</v>
      </c>
      <c r="B21" s="297" t="s">
        <v>346</v>
      </c>
      <c r="C21" s="298">
        <v>787402</v>
      </c>
      <c r="D21" s="140"/>
      <c r="E21" s="140"/>
      <c r="F21" s="140"/>
      <c r="G21" s="140"/>
      <c r="H21" s="140"/>
      <c r="I21" s="140"/>
      <c r="J21" s="140"/>
      <c r="K21" s="140"/>
    </row>
    <row r="22" spans="1:11" ht="29.25" customHeight="1">
      <c r="A22" s="299" t="s">
        <v>314</v>
      </c>
      <c r="B22" s="300" t="s">
        <v>355</v>
      </c>
      <c r="C22" s="298"/>
      <c r="D22" s="140"/>
      <c r="E22" s="140"/>
      <c r="F22" s="140"/>
      <c r="G22" s="140"/>
      <c r="H22" s="140"/>
      <c r="I22" s="140"/>
      <c r="J22" s="140"/>
      <c r="K22" s="140"/>
    </row>
    <row r="23" spans="1:11" ht="29.25" customHeight="1">
      <c r="A23" s="299" t="s">
        <v>347</v>
      </c>
      <c r="B23" s="297" t="s">
        <v>348</v>
      </c>
      <c r="C23" s="298">
        <f>11668240+581915+4</f>
        <v>12250159</v>
      </c>
      <c r="D23" s="140"/>
      <c r="E23" s="140"/>
      <c r="F23" s="140"/>
      <c r="G23" s="140"/>
      <c r="H23" s="140"/>
      <c r="I23" s="140"/>
      <c r="J23" s="140"/>
      <c r="K23" s="140"/>
    </row>
    <row r="24" spans="1:11" ht="23.25" customHeight="1">
      <c r="A24" s="140"/>
      <c r="B24" s="292" t="s">
        <v>303</v>
      </c>
      <c r="C24" s="301">
        <f>C21*0.27+C23*0.27+1</f>
        <v>3520142.47</v>
      </c>
      <c r="D24" s="140"/>
      <c r="E24" s="140"/>
      <c r="F24" s="140"/>
      <c r="G24" s="140"/>
      <c r="H24" s="140"/>
      <c r="I24" s="140"/>
      <c r="J24" s="140"/>
      <c r="K24" s="140"/>
    </row>
    <row r="25" spans="1:11" ht="23.25" customHeight="1">
      <c r="A25" s="140"/>
      <c r="B25" s="292"/>
      <c r="C25" s="307">
        <f>C21+C23+C24</f>
        <v>16557703.47</v>
      </c>
      <c r="D25" s="140"/>
      <c r="E25" s="140"/>
      <c r="F25" s="140"/>
      <c r="G25" s="140"/>
      <c r="H25" s="140"/>
      <c r="I25" s="140"/>
      <c r="J25" s="140"/>
      <c r="K25" s="140"/>
    </row>
    <row r="26" spans="1:11" ht="23.25" customHeight="1">
      <c r="A26" s="308" t="s">
        <v>14</v>
      </c>
      <c r="B26" s="302" t="s">
        <v>374</v>
      </c>
      <c r="C26" s="307"/>
      <c r="D26" s="140"/>
      <c r="E26" s="140"/>
      <c r="F26" s="140"/>
      <c r="G26" s="140"/>
      <c r="H26" s="140"/>
      <c r="I26" s="140"/>
      <c r="J26" s="140"/>
      <c r="K26" s="140"/>
    </row>
    <row r="27" spans="1:11" ht="23.25" customHeight="1">
      <c r="A27" s="308" t="s">
        <v>368</v>
      </c>
      <c r="B27" s="292" t="s">
        <v>302</v>
      </c>
      <c r="C27" s="307"/>
      <c r="D27" s="140"/>
      <c r="E27" s="140"/>
      <c r="F27" s="140"/>
      <c r="G27" s="140"/>
      <c r="H27" s="140"/>
      <c r="I27" s="140"/>
      <c r="J27" s="140"/>
      <c r="K27" s="140"/>
    </row>
    <row r="28" spans="1:11" ht="23.25" customHeight="1">
      <c r="A28" s="308" t="s">
        <v>376</v>
      </c>
      <c r="B28" s="292" t="s">
        <v>375</v>
      </c>
      <c r="C28" s="307">
        <v>520000</v>
      </c>
      <c r="D28" s="140"/>
      <c r="E28" s="140"/>
      <c r="F28" s="140"/>
      <c r="G28" s="140"/>
      <c r="H28" s="140"/>
      <c r="I28" s="140"/>
      <c r="J28" s="140"/>
      <c r="K28" s="140"/>
    </row>
    <row r="29" spans="1:11" ht="24.75" customHeight="1">
      <c r="A29" s="140"/>
      <c r="B29" s="302" t="s">
        <v>280</v>
      </c>
      <c r="C29" s="303">
        <f>C25+C28</f>
        <v>17077703.47</v>
      </c>
      <c r="D29" s="140"/>
      <c r="E29" s="140"/>
      <c r="F29" s="140"/>
      <c r="G29" s="140"/>
      <c r="H29" s="140"/>
      <c r="I29" s="140"/>
      <c r="J29" s="140"/>
      <c r="K29" s="140"/>
    </row>
    <row r="30" spans="1:11" ht="15">
      <c r="A30" s="140"/>
      <c r="B30" s="292"/>
      <c r="C30" s="292"/>
      <c r="D30" s="140"/>
      <c r="E30" s="140"/>
      <c r="F30" s="140"/>
      <c r="G30" s="140"/>
      <c r="H30" s="140"/>
      <c r="I30" s="140"/>
      <c r="J30" s="140"/>
      <c r="K30" s="140"/>
    </row>
    <row r="31" spans="1:11" ht="15">
      <c r="A31" s="140"/>
      <c r="B31" s="292"/>
      <c r="C31" s="292"/>
      <c r="D31" s="140"/>
      <c r="E31" s="140"/>
      <c r="F31" s="140"/>
      <c r="G31" s="140"/>
      <c r="H31" s="140"/>
      <c r="I31" s="140"/>
      <c r="J31" s="140"/>
      <c r="K31" s="140"/>
    </row>
    <row r="32" spans="1:11" ht="15">
      <c r="A32" s="140"/>
      <c r="B32" s="292"/>
      <c r="C32" s="292"/>
      <c r="D32" s="140"/>
      <c r="E32" s="140"/>
      <c r="F32" s="140"/>
      <c r="G32" s="140"/>
      <c r="H32" s="140"/>
      <c r="I32" s="140"/>
      <c r="J32" s="140"/>
      <c r="K32" s="140"/>
    </row>
    <row r="33" spans="1:11" ht="14.25">
      <c r="A33" s="140"/>
      <c r="B33" s="302" t="s">
        <v>282</v>
      </c>
      <c r="C33" s="303">
        <f>C29</f>
        <v>17077703.47</v>
      </c>
      <c r="D33" s="140"/>
      <c r="E33" s="140"/>
      <c r="F33" s="140"/>
      <c r="G33" s="140"/>
      <c r="H33" s="140"/>
      <c r="I33" s="140"/>
      <c r="J33" s="140"/>
      <c r="K33" s="140"/>
    </row>
  </sheetData>
  <sheetProtection/>
  <mergeCells count="6">
    <mergeCell ref="B9:K9"/>
    <mergeCell ref="B10:K10"/>
    <mergeCell ref="B11:K11"/>
    <mergeCell ref="A7:C7"/>
    <mergeCell ref="A4:B4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6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87" customFormat="1" ht="15.75">
      <c r="A1" s="382" t="s">
        <v>403</v>
      </c>
      <c r="B1" s="445"/>
      <c r="C1" s="445"/>
    </row>
    <row r="2" spans="1:3" ht="15.75">
      <c r="A2" s="150"/>
      <c r="B2" s="150"/>
      <c r="C2" s="45"/>
    </row>
    <row r="3" spans="1:3" s="87" customFormat="1" ht="15.75">
      <c r="A3" s="150" t="s">
        <v>363</v>
      </c>
      <c r="C3" s="93"/>
    </row>
    <row r="5" spans="1:3" s="80" customFormat="1" ht="15">
      <c r="A5" s="437"/>
      <c r="B5" s="437"/>
      <c r="C5" s="437"/>
    </row>
    <row r="6" spans="1:3" s="80" customFormat="1" ht="15.75">
      <c r="A6" s="88"/>
      <c r="B6" s="38"/>
      <c r="C6" s="38"/>
    </row>
    <row r="7" spans="1:3" ht="15.75">
      <c r="A7" s="438" t="s">
        <v>251</v>
      </c>
      <c r="B7" s="438"/>
      <c r="C7" s="438"/>
    </row>
    <row r="8" spans="1:3" ht="15.75">
      <c r="A8" s="346" t="s">
        <v>259</v>
      </c>
      <c r="B8" s="346"/>
      <c r="C8" s="346"/>
    </row>
    <row r="9" spans="1:4" ht="15.75">
      <c r="A9" s="346" t="s">
        <v>136</v>
      </c>
      <c r="B9" s="346"/>
      <c r="C9" s="346"/>
      <c r="D9" s="95"/>
    </row>
    <row r="10" spans="1:3" ht="15.75">
      <c r="A10" s="346" t="s">
        <v>335</v>
      </c>
      <c r="B10" s="346"/>
      <c r="C10" s="346"/>
    </row>
    <row r="11" ht="16.5" thickBot="1">
      <c r="C11" s="110" t="s">
        <v>292</v>
      </c>
    </row>
    <row r="12" spans="1:3" ht="15.75">
      <c r="A12" s="96" t="s">
        <v>18</v>
      </c>
      <c r="B12" s="89"/>
      <c r="C12" s="97" t="s">
        <v>9</v>
      </c>
    </row>
    <row r="13" spans="1:3" ht="15.75">
      <c r="A13" s="90"/>
      <c r="B13" s="91" t="s">
        <v>0</v>
      </c>
      <c r="C13" s="98"/>
    </row>
    <row r="14" spans="1:3" ht="34.5" customHeight="1" thickBot="1">
      <c r="A14" s="92" t="s">
        <v>19</v>
      </c>
      <c r="B14" s="99"/>
      <c r="C14" s="100" t="s">
        <v>5</v>
      </c>
    </row>
    <row r="15" spans="1:3" ht="20.25" customHeight="1">
      <c r="A15" s="443" t="s">
        <v>137</v>
      </c>
      <c r="B15" s="443"/>
      <c r="C15" s="443"/>
    </row>
    <row r="16" spans="1:3" ht="20.25" customHeight="1">
      <c r="A16" s="101" t="s">
        <v>20</v>
      </c>
      <c r="B16" s="102" t="s">
        <v>138</v>
      </c>
      <c r="C16" s="103"/>
    </row>
    <row r="17" spans="1:3" ht="20.25" customHeight="1">
      <c r="A17" s="101"/>
      <c r="B17" s="15" t="s">
        <v>139</v>
      </c>
      <c r="C17" s="103">
        <f>'2.mell - bevétel'!H56</f>
        <v>20544786</v>
      </c>
    </row>
    <row r="18" spans="1:5" ht="20.25" customHeight="1">
      <c r="A18" s="101"/>
      <c r="B18" s="51" t="s">
        <v>140</v>
      </c>
      <c r="C18" s="103">
        <f>'2.mell - bevétel'!H63</f>
        <v>2470348</v>
      </c>
      <c r="D18" s="48"/>
      <c r="E18" s="48"/>
    </row>
    <row r="19" spans="1:3" ht="20.25" customHeight="1">
      <c r="A19" s="101" t="s">
        <v>14</v>
      </c>
      <c r="B19" s="102" t="s">
        <v>141</v>
      </c>
      <c r="C19" s="103">
        <f>'2.mell - bevétel'!H83</f>
        <v>1495000</v>
      </c>
    </row>
    <row r="20" spans="1:3" ht="20.25" customHeight="1">
      <c r="A20" s="101" t="s">
        <v>21</v>
      </c>
      <c r="B20" s="102" t="s">
        <v>142</v>
      </c>
      <c r="C20" s="103">
        <f>'2.mell - bevétel'!H95</f>
        <v>24639971</v>
      </c>
    </row>
    <row r="21" spans="1:3" ht="20.25" customHeight="1">
      <c r="A21" s="101" t="s">
        <v>59</v>
      </c>
      <c r="B21" s="104" t="s">
        <v>143</v>
      </c>
      <c r="C21" s="103"/>
    </row>
    <row r="22" spans="1:5" ht="36" customHeight="1">
      <c r="A22" s="101"/>
      <c r="B22" s="51" t="s">
        <v>144</v>
      </c>
      <c r="C22" s="103"/>
      <c r="D22" s="51"/>
      <c r="E22" s="51"/>
    </row>
    <row r="23" spans="1:3" ht="20.25" customHeight="1">
      <c r="A23" s="101"/>
      <c r="B23" s="15" t="s">
        <v>145</v>
      </c>
      <c r="C23" s="103"/>
    </row>
    <row r="24" spans="1:3" ht="36" customHeight="1">
      <c r="A24" s="105"/>
      <c r="B24" s="106" t="s">
        <v>146</v>
      </c>
      <c r="C24" s="107">
        <f>SUM(C17:C23)</f>
        <v>49150105</v>
      </c>
    </row>
    <row r="25" spans="1:3" ht="21" customHeight="1">
      <c r="A25" s="95" t="s">
        <v>60</v>
      </c>
      <c r="B25" s="102" t="s">
        <v>147</v>
      </c>
      <c r="C25" s="16">
        <f>'4.mell. - kiadás'!E34</f>
        <v>9885091</v>
      </c>
    </row>
    <row r="26" spans="1:3" ht="21" customHeight="1">
      <c r="A26" s="95" t="s">
        <v>65</v>
      </c>
      <c r="B26" s="102" t="s">
        <v>148</v>
      </c>
      <c r="C26" s="16">
        <f>'4.mell. - kiadás'!F34</f>
        <v>2066370</v>
      </c>
    </row>
    <row r="27" spans="1:3" ht="21" customHeight="1">
      <c r="A27" s="95" t="s">
        <v>149</v>
      </c>
      <c r="B27" s="108" t="s">
        <v>150</v>
      </c>
      <c r="C27" s="16">
        <f>'4.mell. - kiadás'!G34</f>
        <v>34384158</v>
      </c>
    </row>
    <row r="28" spans="1:3" ht="21" customHeight="1">
      <c r="A28" s="95" t="s">
        <v>151</v>
      </c>
      <c r="B28" s="108" t="s">
        <v>152</v>
      </c>
      <c r="C28" s="16">
        <f>'4.mell. - kiadás'!H34</f>
        <v>1421400</v>
      </c>
    </row>
    <row r="29" spans="1:3" ht="21" customHeight="1">
      <c r="A29" s="95" t="s">
        <v>153</v>
      </c>
      <c r="B29" s="108" t="s">
        <v>154</v>
      </c>
      <c r="C29" s="16"/>
    </row>
    <row r="30" spans="1:3" ht="15.75">
      <c r="A30" s="95"/>
      <c r="B30" s="109" t="s">
        <v>155</v>
      </c>
      <c r="C30" s="110">
        <f>'4.mell. - kiadás'!I34</f>
        <v>334540</v>
      </c>
    </row>
    <row r="31" spans="1:5" ht="15.75">
      <c r="A31" s="95"/>
      <c r="B31" s="109" t="s">
        <v>156</v>
      </c>
      <c r="C31" s="94">
        <f>'4.mell. - kiadás'!J34</f>
        <v>5846030</v>
      </c>
      <c r="E31" s="53"/>
    </row>
    <row r="32" spans="1:6" ht="33.75" customHeight="1">
      <c r="A32" s="105"/>
      <c r="B32" s="106" t="s">
        <v>157</v>
      </c>
      <c r="C32" s="107">
        <f>SUM(C25:C31)</f>
        <v>53937589</v>
      </c>
      <c r="E32" s="53"/>
      <c r="F32" s="53"/>
    </row>
    <row r="33" spans="1:6" ht="21.75" customHeight="1">
      <c r="A33" s="101"/>
      <c r="B33" s="102"/>
      <c r="C33" s="103"/>
      <c r="E33" s="53"/>
      <c r="F33" s="53"/>
    </row>
    <row r="34" spans="1:6" ht="22.5" customHeight="1">
      <c r="A34" s="101"/>
      <c r="B34" s="102"/>
      <c r="C34" s="103"/>
      <c r="E34" s="53"/>
      <c r="F34" s="53"/>
    </row>
    <row r="35" spans="1:6" ht="22.5" customHeight="1">
      <c r="A35" s="101"/>
      <c r="B35" s="102"/>
      <c r="C35" s="103"/>
      <c r="E35" s="53"/>
      <c r="F35" s="53"/>
    </row>
    <row r="36" spans="1:3" ht="19.5" customHeight="1" thickBot="1">
      <c r="A36" s="444"/>
      <c r="B36" s="444"/>
      <c r="C36" s="444"/>
    </row>
    <row r="37" spans="1:3" ht="15.75">
      <c r="A37" s="96" t="s">
        <v>18</v>
      </c>
      <c r="B37" s="89"/>
      <c r="C37" s="97" t="s">
        <v>9</v>
      </c>
    </row>
    <row r="38" spans="1:3" ht="15.75">
      <c r="A38" s="90"/>
      <c r="B38" s="91" t="s">
        <v>0</v>
      </c>
      <c r="C38" s="98"/>
    </row>
    <row r="39" spans="1:3" ht="15.75" customHeight="1" thickBot="1">
      <c r="A39" s="92" t="s">
        <v>19</v>
      </c>
      <c r="B39" s="99"/>
      <c r="C39" s="100" t="s">
        <v>5</v>
      </c>
    </row>
    <row r="40" spans="1:3" ht="21" customHeight="1">
      <c r="A40" s="436" t="s">
        <v>158</v>
      </c>
      <c r="B40" s="436"/>
      <c r="C40" s="436"/>
    </row>
    <row r="41" spans="1:3" ht="21" customHeight="1">
      <c r="A41" s="95" t="s">
        <v>159</v>
      </c>
      <c r="B41" s="30" t="s">
        <v>160</v>
      </c>
      <c r="C41" s="94">
        <f>'2.mell - bevétel'!H71</f>
        <v>100085210</v>
      </c>
    </row>
    <row r="42" spans="1:2" ht="21" customHeight="1">
      <c r="A42" s="95" t="s">
        <v>161</v>
      </c>
      <c r="B42" s="30" t="s">
        <v>162</v>
      </c>
    </row>
    <row r="43" spans="1:2" ht="21" customHeight="1">
      <c r="A43" s="95" t="s">
        <v>163</v>
      </c>
      <c r="B43" s="104" t="s">
        <v>164</v>
      </c>
    </row>
    <row r="44" spans="1:2" ht="31.5" customHeight="1">
      <c r="A44" s="95"/>
      <c r="B44" s="72" t="s">
        <v>165</v>
      </c>
    </row>
    <row r="45" spans="1:3" ht="21" customHeight="1">
      <c r="A45" s="95"/>
      <c r="B45" s="21" t="s">
        <v>166</v>
      </c>
      <c r="C45" s="94">
        <f>'2.mell - bevétel'!H98</f>
        <v>150000</v>
      </c>
    </row>
    <row r="46" spans="1:5" ht="32.25" customHeight="1">
      <c r="A46" s="105"/>
      <c r="B46" s="106" t="s">
        <v>167</v>
      </c>
      <c r="C46" s="107">
        <f>SUM(C41:C45)</f>
        <v>100235210</v>
      </c>
      <c r="E46" s="53"/>
    </row>
    <row r="47" spans="1:3" ht="21" customHeight="1">
      <c r="A47" s="95" t="s">
        <v>168</v>
      </c>
      <c r="B47" s="30" t="s">
        <v>169</v>
      </c>
      <c r="C47" s="94">
        <f>'4.mell. - kiadás'!L34</f>
        <v>88365233</v>
      </c>
    </row>
    <row r="48" spans="1:3" ht="21" customHeight="1">
      <c r="A48" s="95" t="s">
        <v>170</v>
      </c>
      <c r="B48" s="30" t="s">
        <v>171</v>
      </c>
      <c r="C48" s="94">
        <f>'4.mell. - kiadás'!M34</f>
        <v>17077703</v>
      </c>
    </row>
    <row r="49" spans="1:2" ht="18.75" customHeight="1">
      <c r="A49" s="95" t="s">
        <v>172</v>
      </c>
      <c r="B49" s="104" t="s">
        <v>173</v>
      </c>
    </row>
    <row r="50" spans="1:2" ht="33" customHeight="1">
      <c r="A50" s="95"/>
      <c r="B50" s="72" t="s">
        <v>174</v>
      </c>
    </row>
    <row r="51" spans="1:2" ht="18" customHeight="1">
      <c r="A51" s="95"/>
      <c r="B51" s="109" t="s">
        <v>175</v>
      </c>
    </row>
    <row r="52" spans="1:2" ht="18" customHeight="1">
      <c r="A52" s="95"/>
      <c r="B52" s="109" t="s">
        <v>156</v>
      </c>
    </row>
    <row r="53" spans="1:6" s="9" customFormat="1" ht="27" customHeight="1" thickBot="1">
      <c r="A53" s="105"/>
      <c r="B53" s="106" t="s">
        <v>176</v>
      </c>
      <c r="C53" s="107">
        <f>SUM(C47:C52)</f>
        <v>105442936</v>
      </c>
      <c r="F53" s="111"/>
    </row>
    <row r="54" spans="1:3" s="9" customFormat="1" ht="27" customHeight="1" thickBot="1">
      <c r="A54" s="112"/>
      <c r="B54" s="113" t="s">
        <v>177</v>
      </c>
      <c r="C54" s="114">
        <f>C24+C46</f>
        <v>149385315</v>
      </c>
    </row>
    <row r="55" spans="1:6" s="9" customFormat="1" ht="27" customHeight="1" thickBot="1">
      <c r="A55" s="112"/>
      <c r="B55" s="113" t="s">
        <v>178</v>
      </c>
      <c r="C55" s="114">
        <f>C32+C53</f>
        <v>159380525</v>
      </c>
      <c r="F55" s="111"/>
    </row>
    <row r="56" spans="1:3" s="116" customFormat="1" ht="16.5" thickBot="1">
      <c r="A56" s="115"/>
      <c r="B56" s="125"/>
      <c r="C56" s="126"/>
    </row>
    <row r="57" spans="1:3" s="116" customFormat="1" ht="19.5" customHeight="1">
      <c r="A57" s="96" t="s">
        <v>18</v>
      </c>
      <c r="B57" s="439" t="s">
        <v>0</v>
      </c>
      <c r="C57" s="97" t="s">
        <v>9</v>
      </c>
    </row>
    <row r="58" spans="1:3" s="116" customFormat="1" ht="15.75">
      <c r="A58" s="90"/>
      <c r="B58" s="440"/>
      <c r="C58" s="98"/>
    </row>
    <row r="59" spans="1:3" s="116" customFormat="1" ht="12" customHeight="1" thickBot="1">
      <c r="A59" s="92" t="s">
        <v>19</v>
      </c>
      <c r="B59" s="441"/>
      <c r="C59" s="100" t="s">
        <v>5</v>
      </c>
    </row>
    <row r="60" spans="1:3" s="116" customFormat="1" ht="15.75">
      <c r="A60" s="115"/>
      <c r="B60" s="125"/>
      <c r="C60" s="126"/>
    </row>
    <row r="61" spans="1:3" ht="15" customHeight="1">
      <c r="A61" s="442" t="s">
        <v>179</v>
      </c>
      <c r="B61" s="442"/>
      <c r="C61" s="442"/>
    </row>
    <row r="62" spans="1:3" ht="15" customHeight="1">
      <c r="A62" s="117"/>
      <c r="B62" s="117"/>
      <c r="C62" s="117"/>
    </row>
    <row r="63" spans="1:3" ht="20.25" customHeight="1">
      <c r="A63" s="105" t="s">
        <v>180</v>
      </c>
      <c r="B63" s="118" t="s">
        <v>181</v>
      </c>
      <c r="C63" s="107">
        <f>'2.mell - bevétel'!H109</f>
        <v>10810683</v>
      </c>
    </row>
    <row r="64" spans="1:3" ht="21" customHeight="1">
      <c r="A64" s="105"/>
      <c r="B64" s="207" t="s">
        <v>182</v>
      </c>
      <c r="C64" s="119">
        <f>SUM(C63:C63)</f>
        <v>10810683</v>
      </c>
    </row>
    <row r="65" spans="1:3" ht="15.75">
      <c r="A65" s="101" t="s">
        <v>183</v>
      </c>
      <c r="B65" s="118" t="s">
        <v>274</v>
      </c>
      <c r="C65" s="107">
        <f>'4.mell. - kiadás'!P34</f>
        <v>815473</v>
      </c>
    </row>
    <row r="66" spans="1:3" ht="15.75">
      <c r="A66" s="95" t="s">
        <v>184</v>
      </c>
      <c r="B66" s="118" t="s">
        <v>185</v>
      </c>
      <c r="C66" s="107"/>
    </row>
    <row r="67" spans="1:3" s="120" customFormat="1" ht="27" customHeight="1" thickBot="1">
      <c r="A67" s="105"/>
      <c r="B67" s="207" t="s">
        <v>186</v>
      </c>
      <c r="C67" s="119">
        <f>SUM(C65:C66)</f>
        <v>815473</v>
      </c>
    </row>
    <row r="68" spans="1:5" s="120" customFormat="1" ht="27" customHeight="1" thickBot="1">
      <c r="A68" s="121"/>
      <c r="B68" s="122" t="s">
        <v>187</v>
      </c>
      <c r="C68" s="123">
        <f>C54+C64</f>
        <v>160195998</v>
      </c>
      <c r="E68" s="124"/>
    </row>
    <row r="69" spans="1:5" ht="27" customHeight="1" thickBot="1">
      <c r="A69" s="121"/>
      <c r="B69" s="122" t="s">
        <v>188</v>
      </c>
      <c r="C69" s="123">
        <f>C55+C67</f>
        <v>160195998</v>
      </c>
      <c r="E69" s="124"/>
    </row>
  </sheetData>
  <sheetProtection/>
  <mergeCells count="11">
    <mergeCell ref="A36:C36"/>
    <mergeCell ref="A40:C40"/>
    <mergeCell ref="A1:C1"/>
    <mergeCell ref="A5:C5"/>
    <mergeCell ref="A7:C7"/>
    <mergeCell ref="B57:B59"/>
    <mergeCell ref="A61:C61"/>
    <mergeCell ref="A8:C8"/>
    <mergeCell ref="A9:C9"/>
    <mergeCell ref="A10:C10"/>
    <mergeCell ref="A15:C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2018-11-07T13:19:21Z</cp:lastPrinted>
  <dcterms:created xsi:type="dcterms:W3CDTF">2002-11-26T17:22:50Z</dcterms:created>
  <dcterms:modified xsi:type="dcterms:W3CDTF">2018-12-05T06:59:37Z</dcterms:modified>
  <cp:category/>
  <cp:version/>
  <cp:contentType/>
  <cp:contentStatus/>
</cp:coreProperties>
</file>