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2016\2016\Zárszámadás\"/>
    </mc:Choice>
  </mc:AlternateContent>
  <bookViews>
    <workbookView xWindow="360" yWindow="315" windowWidth="9720" windowHeight="7320" tabRatio="650" activeTab="1"/>
  </bookViews>
  <sheets>
    <sheet name="2" sheetId="42" r:id="rId1"/>
    <sheet name="14" sheetId="9" r:id="rId2"/>
    <sheet name="4" sheetId="12" r:id="rId3"/>
    <sheet name="5" sheetId="13" r:id="rId4"/>
    <sheet name="3" sheetId="30" r:id="rId5"/>
    <sheet name="6" sheetId="28" r:id="rId6"/>
    <sheet name="7" sheetId="26" r:id="rId7"/>
    <sheet name="8" sheetId="52" r:id="rId8"/>
    <sheet name="9" sheetId="53" r:id="rId9"/>
    <sheet name="10" sheetId="54" r:id="rId10"/>
    <sheet name="11" sheetId="55" r:id="rId11"/>
    <sheet name="12" sheetId="48" r:id="rId12"/>
    <sheet name="13" sheetId="56" r:id="rId13"/>
    <sheet name="1" sheetId="45" r:id="rId14"/>
  </sheets>
  <definedNames>
    <definedName name="_xlnm.Print_Titles" localSheetId="4">'3'!$1:$7</definedName>
    <definedName name="_xlnm.Print_Titles" localSheetId="2">'4'!$1:$8</definedName>
    <definedName name="_xlnm.Print_Titles" localSheetId="3">'5'!$3:$10</definedName>
    <definedName name="_xlnm.Print_Titles" localSheetId="8">'9'!$1:$4</definedName>
    <definedName name="_xlnm.Print_Area" localSheetId="13">'1'!$A$1:$O$83</definedName>
    <definedName name="_xlnm.Print_Area" localSheetId="11">'12'!$A$1:$M$83</definedName>
    <definedName name="_xlnm.Print_Area" localSheetId="1">'14'!$A$1:$O$83</definedName>
    <definedName name="_xlnm.Print_Area" localSheetId="4">'3'!$A$1:$G$106</definedName>
    <definedName name="_xlnm.Print_Area" localSheetId="2">'4'!$A$1:$W$19</definedName>
    <definedName name="_xlnm.Print_Area" localSheetId="3">'5'!$B$3:$AI$35</definedName>
    <definedName name="_xlnm.Print_Area" localSheetId="5">'6'!$A$1:$D$26</definedName>
    <definedName name="_xlnm.Print_Area" localSheetId="8">'9'!$A$1:$D$128</definedName>
  </definedNames>
  <calcPr calcId="152511"/>
</workbook>
</file>

<file path=xl/calcChain.xml><?xml version="1.0" encoding="utf-8"?>
<calcChain xmlns="http://schemas.openxmlformats.org/spreadsheetml/2006/main">
  <c r="C24" i="42" l="1"/>
  <c r="D29" i="53"/>
  <c r="D21" i="53"/>
  <c r="D17" i="53"/>
  <c r="D19" i="53"/>
  <c r="D23" i="53"/>
  <c r="D14" i="53"/>
  <c r="D13" i="53"/>
  <c r="D15" i="53"/>
  <c r="D10" i="53"/>
  <c r="R45" i="53" l="1"/>
  <c r="R44" i="53"/>
  <c r="R28" i="53"/>
  <c r="R20" i="53"/>
  <c r="R16" i="53"/>
  <c r="R12" i="53"/>
  <c r="R11" i="53"/>
  <c r="R6" i="53" s="1"/>
  <c r="R7" i="53"/>
  <c r="R48" i="53"/>
  <c r="R29" i="53"/>
  <c r="R21" i="53"/>
  <c r="R19" i="53"/>
  <c r="R15" i="53"/>
  <c r="R14" i="53"/>
  <c r="R13" i="53"/>
  <c r="R8" i="53"/>
  <c r="D16" i="53"/>
  <c r="C16" i="53"/>
  <c r="C12" i="53"/>
  <c r="R50" i="53" l="1"/>
  <c r="G40" i="42" l="1"/>
  <c r="C8" i="42"/>
  <c r="C9" i="42"/>
  <c r="L75" i="45"/>
  <c r="M75" i="45"/>
  <c r="N63" i="45"/>
  <c r="M63" i="45"/>
  <c r="M64" i="45"/>
  <c r="N66" i="45"/>
  <c r="M66" i="45"/>
  <c r="N65" i="45"/>
  <c r="M65" i="45"/>
  <c r="N57" i="45"/>
  <c r="M57" i="45"/>
  <c r="N56" i="45"/>
  <c r="M56" i="45"/>
  <c r="N55" i="45"/>
  <c r="M55" i="45"/>
  <c r="N53" i="45"/>
  <c r="M53" i="45"/>
  <c r="N52" i="45"/>
  <c r="M52" i="45"/>
  <c r="N50" i="45"/>
  <c r="M50" i="45"/>
  <c r="N49" i="45"/>
  <c r="M49" i="45"/>
  <c r="N46" i="45"/>
  <c r="M46" i="45"/>
  <c r="N45" i="45"/>
  <c r="M45" i="45"/>
  <c r="N44" i="45"/>
  <c r="M44" i="45"/>
  <c r="N43" i="45"/>
  <c r="M43" i="45"/>
  <c r="N41" i="45"/>
  <c r="M41" i="45"/>
  <c r="N40" i="45"/>
  <c r="M40" i="45"/>
  <c r="N39" i="45"/>
  <c r="M39" i="45"/>
  <c r="N37" i="45"/>
  <c r="M37" i="45"/>
  <c r="N36" i="45"/>
  <c r="M36" i="45"/>
  <c r="N35" i="45"/>
  <c r="M35" i="45"/>
  <c r="N33" i="45"/>
  <c r="M33" i="45"/>
  <c r="L11" i="45"/>
  <c r="L12" i="45"/>
  <c r="L10" i="45"/>
  <c r="N25" i="45"/>
  <c r="M25" i="45"/>
  <c r="N24" i="45"/>
  <c r="M24" i="45"/>
  <c r="N23" i="45"/>
  <c r="M23" i="45"/>
  <c r="N21" i="45"/>
  <c r="M21" i="45"/>
  <c r="N20" i="45"/>
  <c r="M20" i="45"/>
  <c r="N19" i="45"/>
  <c r="M19" i="45"/>
  <c r="N18" i="45"/>
  <c r="M18" i="45"/>
  <c r="N17" i="45"/>
  <c r="M17" i="45"/>
  <c r="N16" i="45"/>
  <c r="M16" i="45"/>
  <c r="N15" i="45"/>
  <c r="M15" i="45"/>
  <c r="M11" i="45"/>
  <c r="N11" i="45"/>
  <c r="M12" i="45"/>
  <c r="N12" i="45"/>
  <c r="M13" i="45"/>
  <c r="N13" i="45"/>
  <c r="N10" i="45"/>
  <c r="M10" i="45"/>
  <c r="I64" i="45"/>
  <c r="I65" i="45"/>
  <c r="I80" i="45"/>
  <c r="I79" i="45"/>
  <c r="I78" i="45"/>
  <c r="I73" i="45"/>
  <c r="I72" i="45"/>
  <c r="I71" i="45"/>
  <c r="I70" i="45"/>
  <c r="I68" i="45"/>
  <c r="J85" i="45"/>
  <c r="I63" i="45"/>
  <c r="I46" i="45"/>
  <c r="I45" i="45"/>
  <c r="I44" i="45"/>
  <c r="I43" i="45"/>
  <c r="J39" i="45"/>
  <c r="J37" i="45"/>
  <c r="J36" i="45"/>
  <c r="J35" i="45"/>
  <c r="J33" i="45"/>
  <c r="I41" i="45"/>
  <c r="I40" i="45"/>
  <c r="I39" i="45"/>
  <c r="I37" i="45"/>
  <c r="I36" i="45"/>
  <c r="I35" i="45"/>
  <c r="I33" i="45"/>
  <c r="I12" i="45"/>
  <c r="I11" i="45"/>
  <c r="I10" i="45"/>
  <c r="H11" i="45" l="1"/>
  <c r="H12" i="45"/>
  <c r="H13" i="45"/>
  <c r="H14" i="45"/>
  <c r="H15" i="45"/>
  <c r="H16" i="45"/>
  <c r="H17" i="45"/>
  <c r="H18" i="45"/>
  <c r="H19" i="45"/>
  <c r="H20" i="45"/>
  <c r="H21" i="45"/>
  <c r="H10" i="45"/>
  <c r="J25" i="45"/>
  <c r="I25" i="45"/>
  <c r="J24" i="45"/>
  <c r="J26" i="45" s="1"/>
  <c r="I24" i="45"/>
  <c r="I26" i="45" s="1"/>
  <c r="J23" i="45"/>
  <c r="I23" i="45"/>
  <c r="J21" i="45"/>
  <c r="I21" i="45"/>
  <c r="J20" i="45"/>
  <c r="I20" i="45"/>
  <c r="J19" i="45"/>
  <c r="I19" i="45"/>
  <c r="J18" i="45"/>
  <c r="I18" i="45"/>
  <c r="J17" i="45"/>
  <c r="I17" i="45"/>
  <c r="J16" i="45"/>
  <c r="I16" i="45"/>
  <c r="J15" i="45"/>
  <c r="I15" i="45"/>
  <c r="J11" i="45"/>
  <c r="J12" i="45"/>
  <c r="J22" i="45" s="1"/>
  <c r="I13" i="45"/>
  <c r="J13" i="45"/>
  <c r="J10" i="45"/>
  <c r="E75" i="45"/>
  <c r="D75" i="45"/>
  <c r="F80" i="45"/>
  <c r="E80" i="45"/>
  <c r="F79" i="45"/>
  <c r="E79" i="45"/>
  <c r="F78" i="45"/>
  <c r="E78" i="45"/>
  <c r="F77" i="45"/>
  <c r="F81" i="45" s="1"/>
  <c r="E77" i="45"/>
  <c r="F76" i="45"/>
  <c r="E76" i="45"/>
  <c r="F73" i="45"/>
  <c r="E73" i="45"/>
  <c r="F72" i="45"/>
  <c r="E72" i="45"/>
  <c r="F71" i="45"/>
  <c r="E71" i="45"/>
  <c r="F70" i="45"/>
  <c r="E70" i="45"/>
  <c r="F69" i="45"/>
  <c r="E69" i="45"/>
  <c r="F68" i="45"/>
  <c r="E68" i="45"/>
  <c r="D63" i="45"/>
  <c r="F66" i="45"/>
  <c r="E66" i="45"/>
  <c r="F65" i="45"/>
  <c r="E65" i="45"/>
  <c r="E67" i="45" s="1"/>
  <c r="F64" i="45"/>
  <c r="E64" i="45"/>
  <c r="F63" i="45"/>
  <c r="E63" i="45"/>
  <c r="E48" i="45"/>
  <c r="F48" i="45"/>
  <c r="E49" i="45"/>
  <c r="F49" i="45"/>
  <c r="E50" i="45"/>
  <c r="D50" i="45" s="1"/>
  <c r="D48" i="45" s="1"/>
  <c r="F50" i="45"/>
  <c r="E51" i="45"/>
  <c r="F51" i="45"/>
  <c r="E52" i="45"/>
  <c r="F52" i="45"/>
  <c r="E53" i="45"/>
  <c r="F53" i="45"/>
  <c r="E54" i="45"/>
  <c r="F54" i="45"/>
  <c r="E55" i="45"/>
  <c r="F55" i="45"/>
  <c r="E56" i="45"/>
  <c r="F56" i="45"/>
  <c r="E57" i="45"/>
  <c r="F57" i="45"/>
  <c r="E58" i="45"/>
  <c r="F58" i="45"/>
  <c r="E59" i="45"/>
  <c r="F59" i="45"/>
  <c r="E60" i="45"/>
  <c r="F60" i="45"/>
  <c r="E34" i="45"/>
  <c r="F34" i="45"/>
  <c r="E35" i="45"/>
  <c r="F35" i="45"/>
  <c r="E36" i="45"/>
  <c r="F36" i="45"/>
  <c r="E37" i="45"/>
  <c r="F37" i="45"/>
  <c r="E38" i="45"/>
  <c r="F38" i="45"/>
  <c r="E39" i="45"/>
  <c r="D39" i="45" s="1"/>
  <c r="F39" i="45"/>
  <c r="E40" i="45"/>
  <c r="F40" i="45"/>
  <c r="D40" i="45" s="1"/>
  <c r="E41" i="45"/>
  <c r="F41" i="45"/>
  <c r="D41" i="45" s="1"/>
  <c r="E42" i="45"/>
  <c r="F42" i="45"/>
  <c r="E43" i="45"/>
  <c r="D43" i="45" s="1"/>
  <c r="F43" i="45"/>
  <c r="E44" i="45"/>
  <c r="F44" i="45"/>
  <c r="E45" i="45"/>
  <c r="F45" i="45"/>
  <c r="D45" i="45" s="1"/>
  <c r="E46" i="45"/>
  <c r="F46" i="45"/>
  <c r="E47" i="45"/>
  <c r="F47" i="45"/>
  <c r="F33" i="45"/>
  <c r="E33" i="45"/>
  <c r="F11" i="45"/>
  <c r="F12" i="45"/>
  <c r="F13" i="45"/>
  <c r="F10" i="45"/>
  <c r="D23" i="45"/>
  <c r="E15" i="45"/>
  <c r="D15" i="45" s="1"/>
  <c r="F15" i="45"/>
  <c r="E16" i="45"/>
  <c r="D16" i="45" s="1"/>
  <c r="F16" i="45"/>
  <c r="E17" i="45"/>
  <c r="D17" i="45" s="1"/>
  <c r="F17" i="45"/>
  <c r="E18" i="45"/>
  <c r="F18" i="45"/>
  <c r="E19" i="45"/>
  <c r="D19" i="45" s="1"/>
  <c r="F19" i="45"/>
  <c r="E20" i="45"/>
  <c r="F20" i="45"/>
  <c r="D20" i="45" s="1"/>
  <c r="E21" i="45"/>
  <c r="F21" i="45"/>
  <c r="E22" i="45"/>
  <c r="F22" i="45"/>
  <c r="E23" i="45"/>
  <c r="F23" i="45"/>
  <c r="E24" i="45"/>
  <c r="D24" i="45" s="1"/>
  <c r="F24" i="45"/>
  <c r="E25" i="45"/>
  <c r="D25" i="45" s="1"/>
  <c r="F25" i="45"/>
  <c r="E26" i="45"/>
  <c r="F26" i="45"/>
  <c r="E27" i="45"/>
  <c r="F27" i="45"/>
  <c r="E28" i="45"/>
  <c r="F28" i="45"/>
  <c r="E29" i="45"/>
  <c r="F29" i="45"/>
  <c r="F14" i="45"/>
  <c r="E13" i="45"/>
  <c r="E14" i="45"/>
  <c r="E11" i="45"/>
  <c r="D11" i="45" s="1"/>
  <c r="E12" i="45"/>
  <c r="E10" i="45"/>
  <c r="N81" i="45"/>
  <c r="M81" i="45"/>
  <c r="L81" i="45"/>
  <c r="I81" i="45"/>
  <c r="H81" i="45"/>
  <c r="L79" i="45"/>
  <c r="J79" i="45"/>
  <c r="L78" i="45"/>
  <c r="J78" i="45"/>
  <c r="L77" i="45"/>
  <c r="J77" i="45"/>
  <c r="J81" i="45" s="1"/>
  <c r="D74" i="45"/>
  <c r="F74" i="45" s="1"/>
  <c r="L73" i="45"/>
  <c r="L72" i="45"/>
  <c r="L71" i="45"/>
  <c r="L70" i="45"/>
  <c r="J70" i="45"/>
  <c r="L69" i="45"/>
  <c r="J69" i="45"/>
  <c r="D69" i="45"/>
  <c r="N67" i="45"/>
  <c r="M67" i="45"/>
  <c r="L67" i="45"/>
  <c r="I67" i="45"/>
  <c r="N74" i="45"/>
  <c r="L66" i="45"/>
  <c r="J66" i="45"/>
  <c r="J74" i="45" s="1"/>
  <c r="L65" i="45"/>
  <c r="H65" i="45"/>
  <c r="L64" i="45"/>
  <c r="H64" i="45"/>
  <c r="L63" i="45"/>
  <c r="H63" i="45"/>
  <c r="L62" i="45"/>
  <c r="H62" i="45"/>
  <c r="G61" i="45"/>
  <c r="G83" i="45" s="1"/>
  <c r="N60" i="45"/>
  <c r="N61" i="45" s="1"/>
  <c r="N83" i="45" s="1"/>
  <c r="L59" i="45"/>
  <c r="J58" i="45"/>
  <c r="I58" i="45"/>
  <c r="H58" i="45"/>
  <c r="G58" i="45"/>
  <c r="L56" i="45"/>
  <c r="J56" i="45"/>
  <c r="L55" i="45"/>
  <c r="J55" i="45"/>
  <c r="D55" i="45"/>
  <c r="D54" i="45" s="1"/>
  <c r="L54" i="45"/>
  <c r="I54" i="45"/>
  <c r="H54" i="45"/>
  <c r="L53" i="45"/>
  <c r="L52" i="45"/>
  <c r="J52" i="45"/>
  <c r="N51" i="45"/>
  <c r="N58" i="45" s="1"/>
  <c r="L51" i="45"/>
  <c r="J51" i="45"/>
  <c r="D51" i="45"/>
  <c r="L50" i="45"/>
  <c r="L49" i="45"/>
  <c r="M48" i="45"/>
  <c r="L48" i="45" s="1"/>
  <c r="I48" i="45"/>
  <c r="H48" i="45"/>
  <c r="G47" i="45"/>
  <c r="L45" i="45"/>
  <c r="L44" i="45"/>
  <c r="L43" i="45"/>
  <c r="H43" i="45"/>
  <c r="H42" i="45" s="1"/>
  <c r="M42" i="45"/>
  <c r="L42" i="45"/>
  <c r="I42" i="45"/>
  <c r="J41" i="45"/>
  <c r="L40" i="45"/>
  <c r="L39" i="45"/>
  <c r="H39" i="45"/>
  <c r="H38" i="45" s="1"/>
  <c r="M38" i="45"/>
  <c r="I38" i="45"/>
  <c r="D38" i="45"/>
  <c r="L37" i="45"/>
  <c r="H35" i="45"/>
  <c r="M34" i="45"/>
  <c r="L34" i="45"/>
  <c r="I34" i="45"/>
  <c r="I47" i="45" s="1"/>
  <c r="I61" i="45" s="1"/>
  <c r="D34" i="45"/>
  <c r="L33" i="45"/>
  <c r="H33" i="45"/>
  <c r="G30" i="45"/>
  <c r="N28" i="45"/>
  <c r="L28" i="45"/>
  <c r="J28" i="45"/>
  <c r="N27" i="45"/>
  <c r="L27" i="45"/>
  <c r="J27" i="45"/>
  <c r="N26" i="45"/>
  <c r="M26" i="45"/>
  <c r="L25" i="45"/>
  <c r="H25" i="45"/>
  <c r="L24" i="45"/>
  <c r="L23" i="45"/>
  <c r="H23" i="45"/>
  <c r="N22" i="45"/>
  <c r="D21" i="45"/>
  <c r="L20" i="45"/>
  <c r="L19" i="45"/>
  <c r="L18" i="45"/>
  <c r="L17" i="45"/>
  <c r="L16" i="45"/>
  <c r="L15" i="45"/>
  <c r="M14" i="45"/>
  <c r="M22" i="45" s="1"/>
  <c r="M30" i="45" s="1"/>
  <c r="M82" i="45" s="1"/>
  <c r="I14" i="45"/>
  <c r="D14" i="45"/>
  <c r="L13" i="45"/>
  <c r="D13" i="45"/>
  <c r="D12" i="45"/>
  <c r="D10" i="45"/>
  <c r="U16" i="12"/>
  <c r="U19" i="12" s="1"/>
  <c r="V19" i="12"/>
  <c r="W19" i="12"/>
  <c r="L38" i="45" l="1"/>
  <c r="L47" i="45"/>
  <c r="L61" i="45" s="1"/>
  <c r="L83" i="45" s="1"/>
  <c r="M47" i="45"/>
  <c r="L26" i="45"/>
  <c r="L14" i="45"/>
  <c r="L22" i="45"/>
  <c r="L30" i="45" s="1"/>
  <c r="L82" i="45" s="1"/>
  <c r="H67" i="45"/>
  <c r="H75" i="45" s="1"/>
  <c r="I75" i="45"/>
  <c r="I83" i="45" s="1"/>
  <c r="I85" i="45" s="1"/>
  <c r="H34" i="45"/>
  <c r="H47" i="45" s="1"/>
  <c r="H61" i="45" s="1"/>
  <c r="H83" i="45" s="1"/>
  <c r="H22" i="45"/>
  <c r="J30" i="45"/>
  <c r="H24" i="45"/>
  <c r="I22" i="45"/>
  <c r="I30" i="45" s="1"/>
  <c r="I82" i="45" s="1"/>
  <c r="D65" i="45"/>
  <c r="D42" i="45"/>
  <c r="D26" i="45"/>
  <c r="E30" i="45"/>
  <c r="D22" i="45"/>
  <c r="F61" i="45"/>
  <c r="D64" i="45"/>
  <c r="F67" i="45"/>
  <c r="J82" i="45"/>
  <c r="G82" i="45"/>
  <c r="G85" i="45" s="1"/>
  <c r="G62" i="45"/>
  <c r="L58" i="45"/>
  <c r="D58" i="45"/>
  <c r="N30" i="45"/>
  <c r="N82" i="45" s="1"/>
  <c r="M58" i="45"/>
  <c r="F30" i="45"/>
  <c r="H26" i="45"/>
  <c r="E61" i="45"/>
  <c r="E83" i="45" s="1"/>
  <c r="D33" i="45"/>
  <c r="J46" i="45"/>
  <c r="J60" i="45" s="1"/>
  <c r="J61" i="45" s="1"/>
  <c r="J83" i="45" s="1"/>
  <c r="H37" i="45"/>
  <c r="J53" i="45"/>
  <c r="J57" i="45" s="1"/>
  <c r="E81" i="45"/>
  <c r="D77" i="45"/>
  <c r="D81" i="45" s="1"/>
  <c r="H24" i="9"/>
  <c r="M75" i="9"/>
  <c r="M83" i="9" s="1"/>
  <c r="L75" i="9"/>
  <c r="L83" i="9" s="1"/>
  <c r="I75" i="9"/>
  <c r="H75" i="9"/>
  <c r="I83" i="9"/>
  <c r="H83" i="9"/>
  <c r="N67" i="9"/>
  <c r="M67" i="9"/>
  <c r="L67" i="9"/>
  <c r="I67" i="9"/>
  <c r="H67" i="9" s="1"/>
  <c r="L65" i="9"/>
  <c r="L64" i="9"/>
  <c r="H65" i="9"/>
  <c r="H64" i="9"/>
  <c r="N83" i="9"/>
  <c r="N81" i="9"/>
  <c r="M81" i="9"/>
  <c r="L81" i="9"/>
  <c r="J81" i="9"/>
  <c r="I81" i="9"/>
  <c r="H81" i="9"/>
  <c r="H54" i="9"/>
  <c r="I54" i="9"/>
  <c r="J61" i="9"/>
  <c r="N58" i="9"/>
  <c r="M58" i="9"/>
  <c r="J58" i="9"/>
  <c r="I58" i="9"/>
  <c r="H58" i="9"/>
  <c r="M48" i="9"/>
  <c r="I48" i="9"/>
  <c r="H48" i="9"/>
  <c r="E33" i="9"/>
  <c r="H35" i="9"/>
  <c r="M34" i="9"/>
  <c r="L34" i="9"/>
  <c r="L37" i="9"/>
  <c r="L33" i="9"/>
  <c r="H33" i="9"/>
  <c r="I34" i="9"/>
  <c r="H34" i="9" s="1"/>
  <c r="H37" i="9"/>
  <c r="M38" i="9"/>
  <c r="M42" i="9"/>
  <c r="I42" i="9"/>
  <c r="H42" i="9"/>
  <c r="M61" i="45" l="1"/>
  <c r="M83" i="45" s="1"/>
  <c r="H30" i="45"/>
  <c r="H82" i="45" s="1"/>
  <c r="D47" i="45"/>
  <c r="D30" i="45"/>
  <c r="D82" i="45" s="1"/>
  <c r="E82" i="45"/>
  <c r="E85" i="45" s="1"/>
  <c r="F82" i="45"/>
  <c r="F62" i="45"/>
  <c r="D61" i="45"/>
  <c r="F75" i="45"/>
  <c r="F83" i="45" s="1"/>
  <c r="D67" i="45"/>
  <c r="E62" i="45"/>
  <c r="F85" i="45" l="1"/>
  <c r="H85" i="45" s="1"/>
  <c r="D83" i="45"/>
  <c r="D85" i="45" s="1"/>
  <c r="D62" i="45"/>
  <c r="J51" i="9" l="1"/>
  <c r="J52" i="9"/>
  <c r="J55" i="9"/>
  <c r="J53" i="9" s="1"/>
  <c r="J57" i="9" s="1"/>
  <c r="J56" i="9"/>
  <c r="H43" i="9"/>
  <c r="I38" i="9"/>
  <c r="H38" i="9"/>
  <c r="H39" i="9"/>
  <c r="H23" i="9"/>
  <c r="G16" i="30"/>
  <c r="F9" i="30"/>
  <c r="N12" i="30"/>
  <c r="G10" i="30"/>
  <c r="N10" i="30"/>
  <c r="N11" i="30"/>
  <c r="N9" i="30"/>
  <c r="F10" i="30"/>
  <c r="L10" i="30"/>
  <c r="L12" i="30"/>
  <c r="L11" i="30"/>
  <c r="M10" i="30"/>
  <c r="M12" i="30" s="1"/>
  <c r="G8" i="30"/>
  <c r="G11" i="30"/>
  <c r="F11" i="30"/>
  <c r="G9" i="30"/>
  <c r="F16" i="30"/>
  <c r="L102" i="30" l="1"/>
  <c r="L56" i="30"/>
  <c r="M56" i="30"/>
  <c r="L57" i="30"/>
  <c r="M57" i="30" s="1"/>
  <c r="L58" i="30"/>
  <c r="M58" i="30"/>
  <c r="L59" i="30"/>
  <c r="M59" i="30" s="1"/>
  <c r="L60" i="30"/>
  <c r="M60" i="30"/>
  <c r="L61" i="30"/>
  <c r="M61" i="30" s="1"/>
  <c r="L62" i="30"/>
  <c r="M62" i="30"/>
  <c r="L63" i="30"/>
  <c r="M63" i="30" s="1"/>
  <c r="L64" i="30"/>
  <c r="M64" i="30"/>
  <c r="L65" i="30"/>
  <c r="M65" i="30" s="1"/>
  <c r="L66" i="30"/>
  <c r="M66" i="30"/>
  <c r="L67" i="30"/>
  <c r="M67" i="30" s="1"/>
  <c r="L68" i="30"/>
  <c r="M68" i="30"/>
  <c r="L69" i="30"/>
  <c r="M69" i="30" s="1"/>
  <c r="L70" i="30"/>
  <c r="M70" i="30"/>
  <c r="L71" i="30"/>
  <c r="M71" i="30" s="1"/>
  <c r="L72" i="30"/>
  <c r="M72" i="30"/>
  <c r="L73" i="30"/>
  <c r="M73" i="30" s="1"/>
  <c r="L74" i="30"/>
  <c r="M74" i="30"/>
  <c r="L75" i="30"/>
  <c r="M75" i="30" s="1"/>
  <c r="L76" i="30"/>
  <c r="M76" i="30"/>
  <c r="L77" i="30"/>
  <c r="M77" i="30" s="1"/>
  <c r="L78" i="30"/>
  <c r="M78" i="30"/>
  <c r="L79" i="30"/>
  <c r="M79" i="30" s="1"/>
  <c r="L80" i="30"/>
  <c r="M80" i="30"/>
  <c r="L81" i="30"/>
  <c r="M81" i="30" s="1"/>
  <c r="L82" i="30"/>
  <c r="M82" i="30"/>
  <c r="L83" i="30"/>
  <c r="M83" i="30" s="1"/>
  <c r="L84" i="30"/>
  <c r="M84" i="30"/>
  <c r="L85" i="30"/>
  <c r="M85" i="30" s="1"/>
  <c r="L86" i="30"/>
  <c r="M86" i="30"/>
  <c r="L87" i="30"/>
  <c r="M87" i="30" s="1"/>
  <c r="L88" i="30"/>
  <c r="M88" i="30"/>
  <c r="L89" i="30"/>
  <c r="M89" i="30" s="1"/>
  <c r="L90" i="30"/>
  <c r="M90" i="30"/>
  <c r="L91" i="30"/>
  <c r="M91" i="30" s="1"/>
  <c r="L92" i="30"/>
  <c r="M92" i="30"/>
  <c r="L93" i="30"/>
  <c r="M93" i="30" s="1"/>
  <c r="L94" i="30"/>
  <c r="M94" i="30"/>
  <c r="L95" i="30"/>
  <c r="M95" i="30" s="1"/>
  <c r="L96" i="30"/>
  <c r="M96" i="30"/>
  <c r="L97" i="30"/>
  <c r="M97" i="30" s="1"/>
  <c r="L98" i="30"/>
  <c r="M98" i="30"/>
  <c r="L99" i="30"/>
  <c r="M99" i="30" s="1"/>
  <c r="L100" i="30"/>
  <c r="M100" i="30"/>
  <c r="L101" i="30"/>
  <c r="M101" i="30" s="1"/>
  <c r="G50" i="30"/>
  <c r="G51" i="30"/>
  <c r="L51" i="30" s="1"/>
  <c r="M51" i="30" s="1"/>
  <c r="G52" i="30"/>
  <c r="G53" i="30"/>
  <c r="L53" i="30" s="1"/>
  <c r="M53" i="30" s="1"/>
  <c r="G54" i="30"/>
  <c r="G55" i="30"/>
  <c r="L55" i="30" s="1"/>
  <c r="M55" i="30" s="1"/>
  <c r="G56" i="30"/>
  <c r="G57" i="30"/>
  <c r="G58" i="30"/>
  <c r="G59" i="30"/>
  <c r="G60" i="30"/>
  <c r="G61" i="30"/>
  <c r="G62" i="30"/>
  <c r="G63" i="30"/>
  <c r="G64" i="30"/>
  <c r="G65" i="30"/>
  <c r="G66" i="30"/>
  <c r="G67" i="30"/>
  <c r="G68" i="30"/>
  <c r="G69" i="30"/>
  <c r="G70" i="30"/>
  <c r="G71" i="30"/>
  <c r="G72" i="30"/>
  <c r="G73" i="30"/>
  <c r="G74" i="30"/>
  <c r="G75" i="30"/>
  <c r="G76" i="30"/>
  <c r="G77" i="30"/>
  <c r="G78" i="30"/>
  <c r="G79" i="30"/>
  <c r="G80" i="30"/>
  <c r="G81" i="30"/>
  <c r="G82" i="30"/>
  <c r="G83" i="30"/>
  <c r="G84" i="30"/>
  <c r="G85" i="30"/>
  <c r="G86" i="30"/>
  <c r="G87" i="30"/>
  <c r="G88" i="30"/>
  <c r="G89" i="30"/>
  <c r="G90" i="30"/>
  <c r="G91" i="30"/>
  <c r="G92" i="30"/>
  <c r="G93" i="30"/>
  <c r="G94" i="30"/>
  <c r="G95" i="30"/>
  <c r="G96" i="30"/>
  <c r="G97" i="30"/>
  <c r="G98" i="30"/>
  <c r="G99" i="30"/>
  <c r="G100" i="30"/>
  <c r="G101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1" i="30"/>
  <c r="F52" i="30"/>
  <c r="F50" i="30"/>
  <c r="L54" i="30"/>
  <c r="M54" i="30" s="1"/>
  <c r="L52" i="30"/>
  <c r="M52" i="30" s="1"/>
  <c r="L50" i="30"/>
  <c r="M50" i="30" s="1"/>
  <c r="L49" i="30"/>
  <c r="M49" i="30" s="1"/>
  <c r="F49" i="30"/>
  <c r="M48" i="30"/>
  <c r="F47" i="30"/>
  <c r="F46" i="30"/>
  <c r="O44" i="30"/>
  <c r="P43" i="30"/>
  <c r="Q43" i="30"/>
  <c r="P42" i="30"/>
  <c r="Q42" i="30" s="1"/>
  <c r="F43" i="30"/>
  <c r="L47" i="30"/>
  <c r="M47" i="30" s="1"/>
  <c r="L46" i="30"/>
  <c r="M46" i="30" s="1"/>
  <c r="L45" i="30"/>
  <c r="M45" i="30" s="1"/>
  <c r="L44" i="30"/>
  <c r="M44" i="30" s="1"/>
  <c r="L43" i="30"/>
  <c r="M43" i="30" s="1"/>
  <c r="L42" i="30"/>
  <c r="M42" i="30" s="1"/>
  <c r="F42" i="30"/>
  <c r="L39" i="30"/>
  <c r="M39" i="30" s="1"/>
  <c r="L38" i="30"/>
  <c r="M38" i="30" s="1"/>
  <c r="L37" i="30"/>
  <c r="M37" i="30" s="1"/>
  <c r="M36" i="30"/>
  <c r="O40" i="30"/>
  <c r="P39" i="30"/>
  <c r="Q39" i="30" s="1"/>
  <c r="P38" i="30"/>
  <c r="Q38" i="30" s="1"/>
  <c r="P37" i="30"/>
  <c r="Q37" i="30" s="1"/>
  <c r="Q36" i="30"/>
  <c r="P35" i="30"/>
  <c r="Q35" i="30"/>
  <c r="F39" i="30"/>
  <c r="F37" i="30"/>
  <c r="F35" i="30"/>
  <c r="F34" i="30"/>
  <c r="L40" i="30" l="1"/>
  <c r="L41" i="30" s="1"/>
  <c r="L33" i="30" l="1"/>
  <c r="L25" i="30"/>
  <c r="M25" i="30"/>
  <c r="L26" i="30"/>
  <c r="M26" i="30"/>
  <c r="L27" i="30"/>
  <c r="M27" i="30"/>
  <c r="L28" i="30"/>
  <c r="M28" i="30"/>
  <c r="L29" i="30"/>
  <c r="M29" i="30"/>
  <c r="L30" i="30"/>
  <c r="M30" i="30"/>
  <c r="L31" i="30"/>
  <c r="M31" i="30"/>
  <c r="L32" i="30"/>
  <c r="M32" i="30"/>
  <c r="M24" i="30"/>
  <c r="L24" i="30"/>
  <c r="O33" i="30"/>
  <c r="F24" i="30"/>
  <c r="F25" i="30"/>
  <c r="F26" i="30"/>
  <c r="F27" i="30"/>
  <c r="F28" i="30"/>
  <c r="F29" i="30"/>
  <c r="F30" i="30"/>
  <c r="F31" i="30"/>
  <c r="F8" i="30"/>
  <c r="F106" i="30" s="1"/>
  <c r="P23" i="30" l="1"/>
  <c r="P25" i="30"/>
  <c r="Q25" i="30" s="1"/>
  <c r="P26" i="30"/>
  <c r="Q26" i="30" s="1"/>
  <c r="P27" i="30"/>
  <c r="Q27" i="30" s="1"/>
  <c r="P28" i="30"/>
  <c r="Q28" i="30"/>
  <c r="P29" i="30"/>
  <c r="Q29" i="30" s="1"/>
  <c r="P30" i="30"/>
  <c r="Q30" i="30" s="1"/>
  <c r="P31" i="30"/>
  <c r="Q31" i="30"/>
  <c r="P32" i="30"/>
  <c r="Q32" i="30" s="1"/>
  <c r="P33" i="30"/>
  <c r="Q33" i="30"/>
  <c r="P34" i="30"/>
  <c r="Q34" i="30" s="1"/>
  <c r="P24" i="30"/>
  <c r="Q24" i="30" s="1"/>
  <c r="Q17" i="30"/>
  <c r="P17" i="30"/>
  <c r="R27" i="30" l="1"/>
  <c r="N26" i="9"/>
  <c r="N30" i="9" s="1"/>
  <c r="N82" i="9" s="1"/>
  <c r="M26" i="9"/>
  <c r="M30" i="9" s="1"/>
  <c r="M82" i="9" s="1"/>
  <c r="I26" i="9"/>
  <c r="I30" i="9" s="1"/>
  <c r="I82" i="9" s="1"/>
  <c r="J26" i="9"/>
  <c r="J30" i="9" s="1"/>
  <c r="J82" i="9" s="1"/>
  <c r="L25" i="9"/>
  <c r="H21" i="9"/>
  <c r="H14" i="9" l="1"/>
  <c r="L16" i="9"/>
  <c r="H16" i="9"/>
  <c r="AE33" i="13"/>
  <c r="AE35" i="13" s="1"/>
  <c r="Z33" i="13"/>
  <c r="Z35" i="13"/>
  <c r="AE32" i="13"/>
  <c r="Z32" i="13"/>
  <c r="AE31" i="13"/>
  <c r="Z31" i="13"/>
  <c r="Z23" i="13"/>
  <c r="Z13" i="13"/>
  <c r="Z19" i="13"/>
  <c r="AE19" i="13"/>
  <c r="AE13" i="13"/>
  <c r="N22" i="9"/>
  <c r="M22" i="9"/>
  <c r="M14" i="9"/>
  <c r="L14" i="9"/>
  <c r="I14" i="9"/>
  <c r="L79" i="9"/>
  <c r="J79" i="9"/>
  <c r="L78" i="9"/>
  <c r="J78" i="9"/>
  <c r="L77" i="9"/>
  <c r="J77" i="9"/>
  <c r="J83" i="9"/>
  <c r="L73" i="9"/>
  <c r="L72" i="9"/>
  <c r="L71" i="9"/>
  <c r="L70" i="9"/>
  <c r="J70" i="9"/>
  <c r="L69" i="9"/>
  <c r="J69" i="9"/>
  <c r="N66" i="9"/>
  <c r="L66" i="9" s="1"/>
  <c r="M66" i="9"/>
  <c r="J66" i="9"/>
  <c r="I66" i="9"/>
  <c r="L63" i="9"/>
  <c r="H63" i="9"/>
  <c r="H66" i="9" s="1"/>
  <c r="L62" i="9"/>
  <c r="H62" i="9"/>
  <c r="L59" i="9"/>
  <c r="L56" i="9"/>
  <c r="L55" i="9"/>
  <c r="L54" i="9"/>
  <c r="N52" i="9"/>
  <c r="L52" i="9" s="1"/>
  <c r="N51" i="9"/>
  <c r="L51" i="9"/>
  <c r="L50" i="9"/>
  <c r="L49" i="9"/>
  <c r="L48" i="9"/>
  <c r="L45" i="9"/>
  <c r="J41" i="9"/>
  <c r="J46" i="9" s="1"/>
  <c r="L44" i="9"/>
  <c r="L43" i="9"/>
  <c r="L40" i="9"/>
  <c r="L39" i="9"/>
  <c r="L38" i="9" s="1"/>
  <c r="J39" i="9"/>
  <c r="J37" i="9"/>
  <c r="N33" i="9"/>
  <c r="M47" i="9"/>
  <c r="M61" i="9" s="1"/>
  <c r="J33" i="9"/>
  <c r="I47" i="9"/>
  <c r="I61" i="9" s="1"/>
  <c r="H47" i="9"/>
  <c r="N28" i="9"/>
  <c r="L28" i="9" s="1"/>
  <c r="J28" i="9"/>
  <c r="N27" i="9"/>
  <c r="L27" i="9"/>
  <c r="J27" i="9"/>
  <c r="L24" i="9"/>
  <c r="L23" i="9"/>
  <c r="J22" i="9"/>
  <c r="H25" i="9" s="1"/>
  <c r="L20" i="9"/>
  <c r="L19" i="9"/>
  <c r="L18" i="9"/>
  <c r="L17" i="9"/>
  <c r="L15" i="9"/>
  <c r="L13" i="9"/>
  <c r="K65" i="48"/>
  <c r="K64" i="48"/>
  <c r="J74" i="9" l="1"/>
  <c r="L58" i="9"/>
  <c r="N53" i="9"/>
  <c r="L53" i="9" s="1"/>
  <c r="H61" i="9"/>
  <c r="N60" i="9"/>
  <c r="L42" i="9"/>
  <c r="L47" i="9" s="1"/>
  <c r="L61" i="9" s="1"/>
  <c r="H26" i="9"/>
  <c r="H30" i="9" s="1"/>
  <c r="H82" i="9" s="1"/>
  <c r="L26" i="9"/>
  <c r="L30" i="9" s="1"/>
  <c r="L82" i="9" s="1"/>
  <c r="J60" i="9"/>
  <c r="N74" i="9"/>
  <c r="L22" i="9"/>
  <c r="I22" i="9" l="1"/>
  <c r="H22" i="9"/>
  <c r="N61" i="9"/>
  <c r="L81" i="48" l="1"/>
  <c r="K81" i="48"/>
  <c r="I81" i="48"/>
  <c r="K80" i="48"/>
  <c r="J80" i="48"/>
  <c r="K79" i="48"/>
  <c r="J79" i="48"/>
  <c r="K78" i="48"/>
  <c r="J78" i="48"/>
  <c r="K77" i="48"/>
  <c r="H77" i="48"/>
  <c r="H81" i="48" s="1"/>
  <c r="J81" i="48" s="1"/>
  <c r="K76" i="48"/>
  <c r="J76" i="48"/>
  <c r="K74" i="48"/>
  <c r="K73" i="48"/>
  <c r="K72" i="48"/>
  <c r="K71" i="48"/>
  <c r="J71" i="48"/>
  <c r="K70" i="48"/>
  <c r="J70" i="48"/>
  <c r="K69" i="48"/>
  <c r="H69" i="48"/>
  <c r="H74" i="48" s="1"/>
  <c r="J74" i="48" s="1"/>
  <c r="K68" i="48"/>
  <c r="J68" i="48"/>
  <c r="M67" i="48"/>
  <c r="M75" i="48" s="1"/>
  <c r="L67" i="48"/>
  <c r="L75" i="48" s="1"/>
  <c r="K75" i="48" s="1"/>
  <c r="J67" i="48"/>
  <c r="J75" i="48" s="1"/>
  <c r="I67" i="48"/>
  <c r="I75" i="48" s="1"/>
  <c r="K66" i="48"/>
  <c r="H65" i="48"/>
  <c r="H64" i="48"/>
  <c r="H67" i="48" s="1"/>
  <c r="K63" i="48"/>
  <c r="H63" i="48"/>
  <c r="K60" i="48"/>
  <c r="K59" i="48"/>
  <c r="I58" i="48"/>
  <c r="M57" i="48"/>
  <c r="M54" i="48" s="1"/>
  <c r="K54" i="48" s="1"/>
  <c r="K57" i="48"/>
  <c r="J57" i="48"/>
  <c r="M56" i="48"/>
  <c r="K56" i="48"/>
  <c r="J56" i="48"/>
  <c r="K55" i="48"/>
  <c r="L54" i="48"/>
  <c r="J54" i="48"/>
  <c r="I54" i="48"/>
  <c r="H54" i="48"/>
  <c r="M53" i="48"/>
  <c r="K53" i="48"/>
  <c r="J53" i="48"/>
  <c r="M52" i="48"/>
  <c r="K52" i="48"/>
  <c r="J52" i="48"/>
  <c r="L51" i="48"/>
  <c r="J51" i="48"/>
  <c r="J58" i="48" s="1"/>
  <c r="I51" i="48"/>
  <c r="M51" i="48" s="1"/>
  <c r="K51" i="48" s="1"/>
  <c r="H51" i="48"/>
  <c r="K50" i="48"/>
  <c r="M49" i="48"/>
  <c r="K49" i="48" s="1"/>
  <c r="J49" i="48"/>
  <c r="L48" i="48"/>
  <c r="L58" i="48" s="1"/>
  <c r="J48" i="48"/>
  <c r="I48" i="48"/>
  <c r="H48" i="48"/>
  <c r="H58" i="48" s="1"/>
  <c r="M46" i="48"/>
  <c r="K46" i="48"/>
  <c r="J46" i="48"/>
  <c r="M45" i="48"/>
  <c r="K45" i="48"/>
  <c r="J45" i="48"/>
  <c r="J42" i="48" s="1"/>
  <c r="M44" i="48"/>
  <c r="K44" i="48"/>
  <c r="J44" i="48"/>
  <c r="K43" i="48"/>
  <c r="L42" i="48"/>
  <c r="K42" i="48" s="1"/>
  <c r="I42" i="48"/>
  <c r="K41" i="48"/>
  <c r="M40" i="48"/>
  <c r="K40" i="48"/>
  <c r="J40" i="48"/>
  <c r="K39" i="48"/>
  <c r="M38" i="48"/>
  <c r="K38" i="48"/>
  <c r="J38" i="48"/>
  <c r="H38" i="48"/>
  <c r="K37" i="48"/>
  <c r="K36" i="48"/>
  <c r="K35" i="48"/>
  <c r="M34" i="48"/>
  <c r="M47" i="48" s="1"/>
  <c r="L34" i="48"/>
  <c r="K34" i="48"/>
  <c r="J34" i="48"/>
  <c r="J47" i="48" s="1"/>
  <c r="J61" i="48" s="1"/>
  <c r="J83" i="48" s="1"/>
  <c r="I34" i="48"/>
  <c r="I47" i="48" s="1"/>
  <c r="I61" i="48" s="1"/>
  <c r="H34" i="48"/>
  <c r="K33" i="48"/>
  <c r="H33" i="48"/>
  <c r="H47" i="48" s="1"/>
  <c r="H61" i="48" s="1"/>
  <c r="K30" i="48"/>
  <c r="M29" i="48"/>
  <c r="K29" i="48"/>
  <c r="J29" i="48"/>
  <c r="M28" i="48"/>
  <c r="K28" i="48"/>
  <c r="J28" i="48"/>
  <c r="J30" i="48" s="1"/>
  <c r="K27" i="48"/>
  <c r="J26" i="48"/>
  <c r="H26" i="48"/>
  <c r="K25" i="48"/>
  <c r="K24" i="48"/>
  <c r="M22" i="48"/>
  <c r="M30" i="48" s="1"/>
  <c r="L22" i="48"/>
  <c r="L30" i="48" s="1"/>
  <c r="J22" i="48"/>
  <c r="I22" i="48"/>
  <c r="I30" i="48" s="1"/>
  <c r="K21" i="48"/>
  <c r="K19" i="48"/>
  <c r="K18" i="48"/>
  <c r="K17" i="48"/>
  <c r="K15" i="48"/>
  <c r="K13" i="48"/>
  <c r="G65" i="54"/>
  <c r="D23" i="54"/>
  <c r="H75" i="48" l="1"/>
  <c r="H83" i="48" s="1"/>
  <c r="K67" i="48"/>
  <c r="I83" i="48"/>
  <c r="L47" i="48"/>
  <c r="L61" i="48" s="1"/>
  <c r="K22" i="48"/>
  <c r="H22" i="48"/>
  <c r="H30" i="48" s="1"/>
  <c r="H62" i="48" s="1"/>
  <c r="J62" i="48"/>
  <c r="J82" i="48"/>
  <c r="L82" i="48"/>
  <c r="K82" i="48" s="1"/>
  <c r="I62" i="48"/>
  <c r="I82" i="48"/>
  <c r="M82" i="48"/>
  <c r="M48" i="48"/>
  <c r="M58" i="48" s="1"/>
  <c r="K58" i="48" s="1"/>
  <c r="J69" i="48"/>
  <c r="J77" i="48"/>
  <c r="K47" i="48" l="1"/>
  <c r="H82" i="48"/>
  <c r="L83" i="48"/>
  <c r="M61" i="48"/>
  <c r="L62" i="48"/>
  <c r="K48" i="48"/>
  <c r="M83" i="48" l="1"/>
  <c r="M62" i="48"/>
  <c r="K61" i="48"/>
  <c r="K62" i="48" l="1"/>
  <c r="K83" i="48"/>
  <c r="F23" i="55" l="1"/>
  <c r="E22" i="55"/>
  <c r="F22" i="55" s="1"/>
  <c r="F21" i="55"/>
  <c r="E20" i="55"/>
  <c r="F20" i="55" s="1"/>
  <c r="F19" i="55"/>
  <c r="E18" i="55"/>
  <c r="E24" i="55" s="1"/>
  <c r="F17" i="55"/>
  <c r="F16" i="55"/>
  <c r="F14" i="55"/>
  <c r="F13" i="55"/>
  <c r="K81" i="54"/>
  <c r="J81" i="54"/>
  <c r="H81" i="54"/>
  <c r="G81" i="54"/>
  <c r="E81" i="54"/>
  <c r="J80" i="54"/>
  <c r="F80" i="54"/>
  <c r="I80" i="54" s="1"/>
  <c r="J79" i="54"/>
  <c r="F79" i="54"/>
  <c r="I79" i="54" s="1"/>
  <c r="J78" i="54"/>
  <c r="F78" i="54"/>
  <c r="I78" i="54" s="1"/>
  <c r="J77" i="54"/>
  <c r="G77" i="54"/>
  <c r="D77" i="54"/>
  <c r="D81" i="54" s="1"/>
  <c r="F81" i="54" s="1"/>
  <c r="I81" i="54" s="1"/>
  <c r="J76" i="54"/>
  <c r="F76" i="54"/>
  <c r="I76" i="54" s="1"/>
  <c r="L75" i="54"/>
  <c r="J74" i="54"/>
  <c r="D74" i="54"/>
  <c r="F74" i="54" s="1"/>
  <c r="I74" i="54" s="1"/>
  <c r="J73" i="54"/>
  <c r="J72" i="54"/>
  <c r="J71" i="54"/>
  <c r="I71" i="54"/>
  <c r="F71" i="54"/>
  <c r="J70" i="54"/>
  <c r="F70" i="54"/>
  <c r="I70" i="54" s="1"/>
  <c r="J69" i="54"/>
  <c r="G69" i="54"/>
  <c r="G74" i="54" s="1"/>
  <c r="F69" i="54"/>
  <c r="I69" i="54" s="1"/>
  <c r="D69" i="54"/>
  <c r="J68" i="54"/>
  <c r="F68" i="54"/>
  <c r="I68" i="54" s="1"/>
  <c r="L67" i="54"/>
  <c r="K67" i="54"/>
  <c r="K75" i="54" s="1"/>
  <c r="J75" i="54" s="1"/>
  <c r="J67" i="54"/>
  <c r="I67" i="54"/>
  <c r="H67" i="54"/>
  <c r="H75" i="54" s="1"/>
  <c r="F67" i="54"/>
  <c r="F75" i="54" s="1"/>
  <c r="E67" i="54"/>
  <c r="E75" i="54" s="1"/>
  <c r="J66" i="54"/>
  <c r="J65" i="54"/>
  <c r="J64" i="54"/>
  <c r="G64" i="54"/>
  <c r="G67" i="54" s="1"/>
  <c r="D64" i="54"/>
  <c r="D67" i="54" s="1"/>
  <c r="J63" i="54"/>
  <c r="G63" i="54"/>
  <c r="D63" i="54"/>
  <c r="J60" i="54"/>
  <c r="J59" i="54"/>
  <c r="H58" i="54"/>
  <c r="D58" i="54"/>
  <c r="L57" i="54"/>
  <c r="J57" i="54"/>
  <c r="F57" i="54"/>
  <c r="I57" i="54" s="1"/>
  <c r="L56" i="54"/>
  <c r="J56" i="54"/>
  <c r="F56" i="54"/>
  <c r="I56" i="54" s="1"/>
  <c r="J55" i="54"/>
  <c r="L54" i="54"/>
  <c r="K54" i="54"/>
  <c r="J54" i="54"/>
  <c r="H54" i="54"/>
  <c r="G54" i="54"/>
  <c r="E54" i="54"/>
  <c r="D54" i="54"/>
  <c r="L53" i="54"/>
  <c r="J53" i="54"/>
  <c r="F53" i="54"/>
  <c r="I53" i="54" s="1"/>
  <c r="L52" i="54"/>
  <c r="J52" i="54"/>
  <c r="F52" i="54"/>
  <c r="I52" i="54" s="1"/>
  <c r="K51" i="54"/>
  <c r="H51" i="54"/>
  <c r="L51" i="54" s="1"/>
  <c r="L58" i="54" s="1"/>
  <c r="G51" i="54"/>
  <c r="E51" i="54"/>
  <c r="D51" i="54"/>
  <c r="F51" i="54" s="1"/>
  <c r="I51" i="54" s="1"/>
  <c r="J50" i="54"/>
  <c r="L49" i="54"/>
  <c r="J49" i="54"/>
  <c r="F49" i="54"/>
  <c r="L48" i="54"/>
  <c r="K48" i="54"/>
  <c r="J48" i="54"/>
  <c r="H48" i="54"/>
  <c r="G48" i="54"/>
  <c r="G58" i="54" s="1"/>
  <c r="E48" i="54"/>
  <c r="E58" i="54" s="1"/>
  <c r="D48" i="54"/>
  <c r="L46" i="54"/>
  <c r="J46" i="54"/>
  <c r="F46" i="54"/>
  <c r="I46" i="54" s="1"/>
  <c r="I42" i="54" s="1"/>
  <c r="L45" i="54"/>
  <c r="J45" i="54"/>
  <c r="F45" i="54"/>
  <c r="I45" i="54" s="1"/>
  <c r="L44" i="54"/>
  <c r="J44" i="54" s="1"/>
  <c r="F44" i="54"/>
  <c r="I44" i="54" s="1"/>
  <c r="J43" i="54"/>
  <c r="D43" i="54"/>
  <c r="K42" i="54"/>
  <c r="J42" i="54"/>
  <c r="H42" i="54"/>
  <c r="E42" i="54"/>
  <c r="J41" i="54"/>
  <c r="L40" i="54"/>
  <c r="J40" i="54"/>
  <c r="F40" i="54"/>
  <c r="F38" i="54" s="1"/>
  <c r="J39" i="54"/>
  <c r="L38" i="54"/>
  <c r="J38" i="54"/>
  <c r="G38" i="54"/>
  <c r="D38" i="54"/>
  <c r="J37" i="54"/>
  <c r="J36" i="54"/>
  <c r="J35" i="54"/>
  <c r="L34" i="54"/>
  <c r="L47" i="54" s="1"/>
  <c r="K34" i="54"/>
  <c r="I34" i="54"/>
  <c r="H34" i="54"/>
  <c r="H47" i="54" s="1"/>
  <c r="H61" i="54" s="1"/>
  <c r="G34" i="54"/>
  <c r="F34" i="54"/>
  <c r="E34" i="54"/>
  <c r="E47" i="54" s="1"/>
  <c r="E61" i="54" s="1"/>
  <c r="D34" i="54"/>
  <c r="J33" i="54"/>
  <c r="G33" i="54"/>
  <c r="D33" i="54"/>
  <c r="J30" i="54"/>
  <c r="L29" i="54"/>
  <c r="J29" i="54" s="1"/>
  <c r="F29" i="54"/>
  <c r="I29" i="54" s="1"/>
  <c r="L28" i="54"/>
  <c r="J28" i="54" s="1"/>
  <c r="F28" i="54"/>
  <c r="I28" i="54" s="1"/>
  <c r="J27" i="54"/>
  <c r="I26" i="54"/>
  <c r="G26" i="54"/>
  <c r="F26" i="54"/>
  <c r="D26" i="54"/>
  <c r="J25" i="54"/>
  <c r="J24" i="54"/>
  <c r="L22" i="54"/>
  <c r="K22" i="54"/>
  <c r="K30" i="54" s="1"/>
  <c r="I22" i="54"/>
  <c r="I30" i="54" s="1"/>
  <c r="H22" i="54"/>
  <c r="H30" i="54" s="1"/>
  <c r="H82" i="54" s="1"/>
  <c r="J21" i="54"/>
  <c r="J19" i="54"/>
  <c r="J18" i="54"/>
  <c r="J17" i="54"/>
  <c r="J15" i="54"/>
  <c r="D14" i="54"/>
  <c r="J13" i="54"/>
  <c r="Q122" i="53"/>
  <c r="Q117" i="53" s="1"/>
  <c r="D117" i="53"/>
  <c r="C117" i="53"/>
  <c r="Q109" i="53"/>
  <c r="D109" i="53"/>
  <c r="C109" i="53"/>
  <c r="Q99" i="53"/>
  <c r="Q127" i="53" s="1"/>
  <c r="D99" i="53"/>
  <c r="C99" i="53"/>
  <c r="Q92" i="53"/>
  <c r="D92" i="53"/>
  <c r="C92" i="53"/>
  <c r="Q88" i="53"/>
  <c r="D88" i="53"/>
  <c r="Q80" i="53"/>
  <c r="Q75" i="53" s="1"/>
  <c r="D80" i="53"/>
  <c r="C80" i="53"/>
  <c r="C75" i="53"/>
  <c r="Q71" i="53"/>
  <c r="D71" i="53"/>
  <c r="C71" i="53"/>
  <c r="Q55" i="53"/>
  <c r="D55" i="53"/>
  <c r="C55" i="53"/>
  <c r="Q48" i="53"/>
  <c r="Q45" i="53" s="1"/>
  <c r="Q44" i="53" s="1"/>
  <c r="D45" i="53"/>
  <c r="D44" i="53" s="1"/>
  <c r="C45" i="53"/>
  <c r="C44" i="53" s="1"/>
  <c r="Q29" i="53"/>
  <c r="Q28" i="53" s="1"/>
  <c r="D28" i="53"/>
  <c r="C28" i="53"/>
  <c r="C11" i="53" s="1"/>
  <c r="Q21" i="53"/>
  <c r="Q20" i="53"/>
  <c r="D20" i="53"/>
  <c r="C20" i="53"/>
  <c r="Q19" i="53"/>
  <c r="Q16" i="53"/>
  <c r="Q15" i="53"/>
  <c r="Q14" i="53"/>
  <c r="Q13" i="53"/>
  <c r="Q12" i="53" s="1"/>
  <c r="D12" i="53"/>
  <c r="Q8" i="53"/>
  <c r="Q7" i="53" s="1"/>
  <c r="D7" i="53"/>
  <c r="C7" i="53"/>
  <c r="B17" i="52"/>
  <c r="G43" i="42"/>
  <c r="G44" i="42" s="1"/>
  <c r="G53" i="42" s="1"/>
  <c r="C43" i="42"/>
  <c r="C40" i="42"/>
  <c r="C22" i="42"/>
  <c r="G13" i="42"/>
  <c r="C12" i="42"/>
  <c r="C11" i="42"/>
  <c r="G10" i="42"/>
  <c r="C10" i="42"/>
  <c r="D75" i="53" l="1"/>
  <c r="D11" i="53"/>
  <c r="D6" i="53" s="1"/>
  <c r="D97" i="53" s="1"/>
  <c r="C44" i="42"/>
  <c r="C13" i="42"/>
  <c r="C14" i="42" s="1"/>
  <c r="C23" i="42" s="1"/>
  <c r="C25" i="42" s="1"/>
  <c r="G14" i="42"/>
  <c r="G23" i="42" s="1"/>
  <c r="G25" i="42" s="1"/>
  <c r="G75" i="54"/>
  <c r="H83" i="54"/>
  <c r="E83" i="54"/>
  <c r="G47" i="54"/>
  <c r="G61" i="54" s="1"/>
  <c r="J22" i="54"/>
  <c r="D22" i="54"/>
  <c r="D30" i="54" s="1"/>
  <c r="D82" i="54" s="1"/>
  <c r="F24" i="55"/>
  <c r="F18" i="55"/>
  <c r="L30" i="54"/>
  <c r="E22" i="54"/>
  <c r="E30" i="54" s="1"/>
  <c r="I47" i="54"/>
  <c r="I49" i="54"/>
  <c r="I48" i="54" s="1"/>
  <c r="F48" i="54"/>
  <c r="J51" i="54"/>
  <c r="I54" i="54"/>
  <c r="I82" i="54"/>
  <c r="F30" i="54"/>
  <c r="J34" i="54"/>
  <c r="K47" i="54"/>
  <c r="I40" i="54"/>
  <c r="I38" i="54" s="1"/>
  <c r="F54" i="54"/>
  <c r="D75" i="54"/>
  <c r="G22" i="54"/>
  <c r="G30" i="54" s="1"/>
  <c r="K82" i="54"/>
  <c r="G83" i="54"/>
  <c r="L61" i="54"/>
  <c r="L83" i="54" s="1"/>
  <c r="K58" i="54"/>
  <c r="J58" i="54" s="1"/>
  <c r="H62" i="54"/>
  <c r="I75" i="54"/>
  <c r="F77" i="54"/>
  <c r="I77" i="54" s="1"/>
  <c r="F42" i="54"/>
  <c r="D42" i="54" s="1"/>
  <c r="D47" i="54" s="1"/>
  <c r="D61" i="54" s="1"/>
  <c r="Q6" i="53"/>
  <c r="Q97" i="53" s="1"/>
  <c r="Q128" i="53" s="1"/>
  <c r="Q11" i="53"/>
  <c r="D127" i="53"/>
  <c r="C6" i="53"/>
  <c r="C97" i="53" s="1"/>
  <c r="C127" i="53"/>
  <c r="C128" i="53" l="1"/>
  <c r="F47" i="54"/>
  <c r="G62" i="54"/>
  <c r="G82" i="54"/>
  <c r="K61" i="54"/>
  <c r="J47" i="54"/>
  <c r="L82" i="54"/>
  <c r="L62" i="54"/>
  <c r="D83" i="54"/>
  <c r="J82" i="54"/>
  <c r="F82" i="54"/>
  <c r="F58" i="54"/>
  <c r="E62" i="54"/>
  <c r="E82" i="54"/>
  <c r="D62" i="54"/>
  <c r="I58" i="54"/>
  <c r="I61" i="54" s="1"/>
  <c r="F61" i="54" l="1"/>
  <c r="F83" i="54" s="1"/>
  <c r="I83" i="54"/>
  <c r="I62" i="54"/>
  <c r="F62" i="54"/>
  <c r="K83" i="54"/>
  <c r="J61" i="54"/>
  <c r="K62" i="54"/>
  <c r="J62" i="54" l="1"/>
  <c r="J83" i="54"/>
  <c r="U33" i="13" l="1"/>
  <c r="U23" i="13"/>
  <c r="E16" i="30"/>
  <c r="U14" i="13" l="1"/>
  <c r="E8" i="30" l="1"/>
  <c r="E106" i="30" s="1"/>
  <c r="U17" i="13"/>
  <c r="D77" i="9"/>
  <c r="F77" i="9"/>
  <c r="E77" i="9"/>
  <c r="E81" i="9"/>
  <c r="F26" i="9" l="1"/>
  <c r="D15" i="9"/>
  <c r="U34" i="13"/>
  <c r="U35" i="13" s="1"/>
  <c r="D19" i="9"/>
  <c r="D10" i="9"/>
  <c r="D55" i="9"/>
  <c r="D54" i="9" s="1"/>
  <c r="D12" i="9"/>
  <c r="I20" i="26"/>
  <c r="D20" i="9"/>
  <c r="D11" i="9"/>
  <c r="D16" i="28"/>
  <c r="C16" i="28"/>
  <c r="C26" i="28" s="1"/>
  <c r="U31" i="13"/>
  <c r="U19" i="13"/>
  <c r="E34" i="9"/>
  <c r="D34" i="9" s="1"/>
  <c r="F40" i="48"/>
  <c r="F44" i="48"/>
  <c r="F42" i="48" s="1"/>
  <c r="F45" i="48"/>
  <c r="F46" i="48"/>
  <c r="F46" i="9"/>
  <c r="F42" i="9" s="1"/>
  <c r="F49" i="48"/>
  <c r="F48" i="48"/>
  <c r="F56" i="48"/>
  <c r="F56" i="9"/>
  <c r="F54" i="9" s="1"/>
  <c r="F57" i="48"/>
  <c r="F57" i="9"/>
  <c r="F53" i="48"/>
  <c r="F53" i="9"/>
  <c r="F52" i="48"/>
  <c r="F52" i="9"/>
  <c r="G86" i="45"/>
  <c r="G47" i="48"/>
  <c r="G61" i="48" s="1"/>
  <c r="G58" i="48"/>
  <c r="G30" i="48"/>
  <c r="G82" i="48"/>
  <c r="F28" i="48"/>
  <c r="F29" i="48"/>
  <c r="D77" i="48"/>
  <c r="F77" i="48" s="1"/>
  <c r="D81" i="48"/>
  <c r="F81" i="48" s="1"/>
  <c r="E81" i="48"/>
  <c r="F34" i="48"/>
  <c r="F38" i="48"/>
  <c r="D51" i="48"/>
  <c r="D58" i="48" s="1"/>
  <c r="D61" i="48" s="1"/>
  <c r="F51" i="48"/>
  <c r="F58" i="48" s="1"/>
  <c r="F54" i="48"/>
  <c r="F67" i="48"/>
  <c r="D69" i="48"/>
  <c r="D74" i="48"/>
  <c r="F74" i="48" s="1"/>
  <c r="F75" i="48" s="1"/>
  <c r="E34" i="48"/>
  <c r="E42" i="48"/>
  <c r="E47" i="48" s="1"/>
  <c r="E61" i="48" s="1"/>
  <c r="E48" i="48"/>
  <c r="E51" i="48"/>
  <c r="E54" i="48"/>
  <c r="E58" i="48"/>
  <c r="E75" i="48"/>
  <c r="E22" i="48"/>
  <c r="E30" i="48"/>
  <c r="E82" i="48" s="1"/>
  <c r="D34" i="48"/>
  <c r="D38" i="48"/>
  <c r="D42" i="48"/>
  <c r="D47" i="48"/>
  <c r="D48" i="48"/>
  <c r="D54" i="48"/>
  <c r="D14" i="48"/>
  <c r="D22" i="48"/>
  <c r="D30" i="48" s="1"/>
  <c r="D26" i="48"/>
  <c r="F80" i="48"/>
  <c r="F79" i="48"/>
  <c r="F78" i="48"/>
  <c r="F76" i="48"/>
  <c r="F71" i="48"/>
  <c r="F70" i="48"/>
  <c r="F68" i="48"/>
  <c r="D13" i="9"/>
  <c r="E14" i="9"/>
  <c r="F64" i="9"/>
  <c r="D64" i="9"/>
  <c r="D50" i="9"/>
  <c r="D51" i="9"/>
  <c r="F51" i="9" s="1"/>
  <c r="D65" i="9"/>
  <c r="F67" i="9"/>
  <c r="F75" i="9" s="1"/>
  <c r="E67" i="9"/>
  <c r="E75" i="9" s="1"/>
  <c r="E38" i="9"/>
  <c r="F38" i="9"/>
  <c r="D33" i="9"/>
  <c r="F34" i="9"/>
  <c r="F47" i="9"/>
  <c r="D43" i="9"/>
  <c r="D16" i="9"/>
  <c r="D17" i="9"/>
  <c r="D69" i="9"/>
  <c r="D74" i="9" s="1"/>
  <c r="D24" i="9"/>
  <c r="D25" i="9"/>
  <c r="D39" i="9"/>
  <c r="D41" i="9"/>
  <c r="F28" i="9"/>
  <c r="F29" i="9"/>
  <c r="F74" i="9"/>
  <c r="E42" i="9"/>
  <c r="E48" i="9"/>
  <c r="E58" i="9" s="1"/>
  <c r="E51" i="9"/>
  <c r="E54" i="9"/>
  <c r="G30" i="9"/>
  <c r="G47" i="9"/>
  <c r="G58" i="9"/>
  <c r="G61" i="9" s="1"/>
  <c r="G83" i="9" s="1"/>
  <c r="F68" i="9"/>
  <c r="F69" i="9"/>
  <c r="F70" i="9"/>
  <c r="F71" i="9"/>
  <c r="F78" i="9"/>
  <c r="F79" i="9"/>
  <c r="D9" i="26"/>
  <c r="I10" i="26"/>
  <c r="I11" i="26"/>
  <c r="D12" i="26"/>
  <c r="E12" i="26"/>
  <c r="F12" i="26"/>
  <c r="G12" i="26"/>
  <c r="G21" i="26" s="1"/>
  <c r="H12" i="26"/>
  <c r="I13" i="26"/>
  <c r="I14" i="26"/>
  <c r="D15" i="26"/>
  <c r="H15" i="26"/>
  <c r="I15" i="26"/>
  <c r="I16" i="26"/>
  <c r="D17" i="26"/>
  <c r="E17" i="26"/>
  <c r="I17" i="26" s="1"/>
  <c r="F17" i="26"/>
  <c r="G17" i="26"/>
  <c r="H17" i="26"/>
  <c r="I18" i="26"/>
  <c r="D19" i="26"/>
  <c r="E19" i="26"/>
  <c r="D21" i="26"/>
  <c r="E21" i="26"/>
  <c r="D26" i="28"/>
  <c r="F15" i="30"/>
  <c r="B106" i="30"/>
  <c r="D106" i="30"/>
  <c r="F48" i="9"/>
  <c r="D40" i="9"/>
  <c r="D45" i="9"/>
  <c r="F22" i="9"/>
  <c r="F69" i="48"/>
  <c r="U32" i="13" l="1"/>
  <c r="F30" i="9"/>
  <c r="D14" i="9"/>
  <c r="D48" i="9"/>
  <c r="D58" i="9" s="1"/>
  <c r="G83" i="48"/>
  <c r="G85" i="48" s="1"/>
  <c r="G62" i="48"/>
  <c r="E62" i="48"/>
  <c r="E83" i="48"/>
  <c r="E85" i="48" s="1"/>
  <c r="G82" i="9"/>
  <c r="G85" i="9" s="1"/>
  <c r="G62" i="9"/>
  <c r="D82" i="48"/>
  <c r="D62" i="48"/>
  <c r="F19" i="26"/>
  <c r="I19" i="26" s="1"/>
  <c r="H21" i="26"/>
  <c r="F47" i="48"/>
  <c r="F61" i="48" s="1"/>
  <c r="F83" i="48" s="1"/>
  <c r="D21" i="9"/>
  <c r="D26" i="9"/>
  <c r="I12" i="26"/>
  <c r="D42" i="9"/>
  <c r="D75" i="48"/>
  <c r="D83" i="48" s="1"/>
  <c r="E22" i="9"/>
  <c r="E30" i="9" s="1"/>
  <c r="E82" i="9" s="1"/>
  <c r="F30" i="48"/>
  <c r="D38" i="9"/>
  <c r="D67" i="9"/>
  <c r="D75" i="9" s="1"/>
  <c r="F58" i="9"/>
  <c r="F61" i="9" s="1"/>
  <c r="E47" i="9"/>
  <c r="E61" i="9" s="1"/>
  <c r="D47" i="9" l="1"/>
  <c r="D61" i="9" s="1"/>
  <c r="D83" i="9" s="1"/>
  <c r="D85" i="48"/>
  <c r="F62" i="9"/>
  <c r="D22" i="9"/>
  <c r="D30" i="9" s="1"/>
  <c r="E62" i="9"/>
  <c r="F83" i="9"/>
  <c r="F82" i="48"/>
  <c r="F85" i="48" s="1"/>
  <c r="F62" i="48"/>
  <c r="F21" i="26"/>
  <c r="I21" i="26" s="1"/>
  <c r="E83" i="9"/>
  <c r="E85" i="9" s="1"/>
  <c r="D62" i="9" l="1"/>
  <c r="D81" i="9"/>
  <c r="F81" i="9"/>
  <c r="F82" i="9" s="1"/>
  <c r="F85" i="9" s="1"/>
  <c r="H85" i="9" s="1"/>
  <c r="D82" i="9" l="1"/>
  <c r="D85" i="9" s="1"/>
</calcChain>
</file>

<file path=xl/sharedStrings.xml><?xml version="1.0" encoding="utf-8"?>
<sst xmlns="http://schemas.openxmlformats.org/spreadsheetml/2006/main" count="1251" uniqueCount="473">
  <si>
    <t xml:space="preserve"> Ezer forintban </t>
  </si>
  <si>
    <t>Önkormányzatok sajátos felhalmozási és tőke bevételei</t>
  </si>
  <si>
    <t>Felhalmozási célú pénzeszközátvétel államháztartáson kívülről</t>
  </si>
  <si>
    <t>Pénzforgalom nélküli bevételek</t>
  </si>
  <si>
    <t>Működési célú pénzeszköz átadás ÁHT-n belül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</si>
  <si>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</si>
  <si>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</si>
  <si>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</si>
  <si>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1.</t>
  </si>
  <si>
    <t>10.</t>
  </si>
  <si>
    <t>Rendszeres szociális segély az SZt. 37/B (1) bek. b-c) pontok szerint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</si>
  <si>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</si>
  <si>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</si>
  <si>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</si>
  <si>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</si>
  <si>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</si>
  <si>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</si>
  <si>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2.</t>
  </si>
  <si>
    <t>3.</t>
  </si>
  <si>
    <t>4.</t>
  </si>
  <si>
    <t>Felhalmozási célú 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</si>
  <si>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</si>
  <si>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</si>
  <si>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</si>
  <si>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</si>
  <si>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</si>
  <si>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</si>
  <si>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</si>
  <si>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............................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</si>
  <si>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</si>
  <si>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</si>
  <si>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</si>
  <si>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</si>
  <si>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</si>
  <si>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</si>
  <si>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</si>
  <si>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</si>
  <si>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</si>
  <si>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</si>
  <si>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</si>
  <si>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</si>
  <si>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</si>
  <si>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</si>
  <si>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</si>
  <si>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</si>
  <si>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</si>
  <si>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</si>
  <si>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</si>
  <si>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Előző évi működési célú előirányzat-maradvány, pénzmaradvány átadás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</si>
  <si>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</si>
  <si>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</si>
  <si>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</si>
  <si>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</si>
  <si>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</si>
  <si>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</si>
  <si>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</si>
  <si>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</si>
  <si>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</si>
  <si>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</si>
  <si>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</si>
  <si>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</si>
  <si>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</si>
  <si>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</si>
  <si>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</si>
  <si>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</si>
  <si>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</si>
  <si>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</si>
  <si>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</si>
  <si>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</si>
  <si>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</si>
  <si>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</si>
  <si>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</si>
  <si>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</si>
  <si>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</si>
  <si>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</si>
  <si>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</si>
  <si>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</si>
  <si>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</si>
  <si>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</si>
  <si>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</si>
  <si>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</si>
  <si>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</si>
  <si>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</si>
  <si>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</si>
  <si>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</si>
  <si>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</si>
  <si>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</si>
  <si>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</si>
  <si>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</si>
  <si>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</si>
  <si>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</si>
  <si>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</si>
  <si>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</si>
  <si>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</si>
  <si>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</si>
  <si>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</si>
  <si>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</si>
  <si>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</si>
  <si>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</si>
  <si>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</si>
  <si>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ÖSSZESEN: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</si>
  <si>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</si>
  <si>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</si>
  <si>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</si>
  <si>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</si>
  <si>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</si>
  <si>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</si>
  <si>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</si>
  <si>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</si>
  <si>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</si>
  <si>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</si>
  <si>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</si>
  <si>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</si>
  <si>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</si>
  <si>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</si>
  <si>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</si>
  <si>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</si>
  <si>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</si>
  <si>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</si>
  <si>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</si>
  <si>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</si>
  <si>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</si>
  <si>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</si>
  <si>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</si>
  <si>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</si>
  <si>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</si>
  <si>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</si>
  <si>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</si>
  <si>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</si>
  <si>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</si>
  <si>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</si>
  <si>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</si>
  <si>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>Helyi adók</t>
  </si>
  <si>
    <t>Átengedett központi adók</t>
  </si>
  <si>
    <t>Bírságok, egyéb bevételek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</si>
  <si>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</si>
  <si>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</si>
  <si>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</si>
  <si>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</si>
  <si>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</si>
  <si>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</si>
  <si>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</si>
  <si>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</si>
  <si>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</si>
  <si>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</si>
  <si>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</si>
  <si>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</si>
  <si>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</si>
  <si>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</si>
  <si>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</si>
  <si>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</si>
  <si>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</si>
  <si>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</si>
  <si>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</si>
  <si>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</si>
  <si>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</si>
  <si>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</si>
  <si>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01</t>
  </si>
  <si>
    <t>G.</t>
  </si>
  <si>
    <t>H.</t>
  </si>
  <si>
    <t>Tárgyévi kiadások  össsesen (A+F)</t>
  </si>
  <si>
    <t>Tárgyévi bevételek összesen (B+E)</t>
  </si>
  <si>
    <t>Önkormányzatok által folyósított ellátások részletezése</t>
  </si>
  <si>
    <t>Teljesítés</t>
  </si>
  <si>
    <t>Eredeti előirányzat</t>
  </si>
  <si>
    <t>Működési célú pénzeszköz-átadások részletezése</t>
  </si>
  <si>
    <t>Bursa Hungarica ösztöndíj-támogatás</t>
  </si>
  <si>
    <t>Felhalmozási bevételek (5+6+7)</t>
  </si>
  <si>
    <t>Felhalmozási kiadások feladatonként</t>
  </si>
  <si>
    <t xml:space="preserve">Adott, közvetett támogatások  </t>
  </si>
  <si>
    <t>2014.</t>
  </si>
  <si>
    <t>Többéves kihatással járó kötelezettségvállalások listája</t>
  </si>
  <si>
    <t>Működési célú hitel törlesztése (éven túli)</t>
  </si>
  <si>
    <t>Működési célú hitel törlesztése (folyószámlahitel)</t>
  </si>
  <si>
    <t>Önkormányzat által saját hatáskörben (nem szociális és gyermekvédelmi előírások alapján) adott természetbeni ellátás (szociális tüzifa)</t>
  </si>
  <si>
    <t>Működési célú hiteltörlesztés tőke</t>
  </si>
  <si>
    <t>Bérhitel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</si>
  <si>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</si>
  <si>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</si>
  <si>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</si>
  <si>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</si>
  <si>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</si>
  <si>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Helyi önkormányzatok kiegészítő támogatása</t>
  </si>
  <si>
    <t>Működési célú pénzeszközátadás AHT-n kívülre és belül</t>
  </si>
  <si>
    <t>Kötelező feladat</t>
  </si>
  <si>
    <t>Önként vállalt feladat</t>
  </si>
  <si>
    <t>Állami feladat</t>
  </si>
  <si>
    <t>4.melléklet</t>
  </si>
  <si>
    <t>6.melléklet</t>
  </si>
  <si>
    <t>Sármelléki Közös Önkormányzati Hivatal</t>
  </si>
  <si>
    <t>Sármellék Község Önkormányzata</t>
  </si>
  <si>
    <t>Keszthelyi Kistérségi támogatás ( belső ellenőr)</t>
  </si>
  <si>
    <t>Sármelléki Sportegyesület</t>
  </si>
  <si>
    <t>RNÖ</t>
  </si>
  <si>
    <t>Erdős Bt (Iskola e.ü.)</t>
  </si>
  <si>
    <t>Hévízi TASZI</t>
  </si>
  <si>
    <t>Felügyeleti szervi támogatás</t>
  </si>
  <si>
    <t>2014. előtti kifizetés</t>
  </si>
  <si>
    <t>2015.</t>
  </si>
  <si>
    <t>2016.</t>
  </si>
  <si>
    <t>2016. után</t>
  </si>
  <si>
    <t>Sármelléki Polgárőrség</t>
  </si>
  <si>
    <t>8.melléklet</t>
  </si>
  <si>
    <t>9.melléklet</t>
  </si>
  <si>
    <t>FHT</t>
  </si>
  <si>
    <t>Felhalmozási célú pe.átadás, Római Katolikus Plébánia</t>
  </si>
  <si>
    <t>ÁFA visszaigénylés</t>
  </si>
  <si>
    <t>Előző évi működési célú előirányzat-maradvány, pénzmaradvány átvétel</t>
  </si>
  <si>
    <t>Felügyeleti szervtől kapott támogatás</t>
  </si>
  <si>
    <t>Értékpapír vásárlásainak kiadása</t>
  </si>
  <si>
    <t>11.melléklet</t>
  </si>
  <si>
    <t>Keszthelyi és Környéke többcélú Kistérségi Társulás 2015</t>
  </si>
  <si>
    <t>Felhalmozási célú pe.átadás Sármelléki Sport Egy.</t>
  </si>
  <si>
    <t>Működési célú pénzeszköz átadás ÁHT-n belűl és kívül összesen</t>
  </si>
  <si>
    <t>Felhalmozási célúcélú pénzeszköz átadás  összesen</t>
  </si>
  <si>
    <t>Sármellékért Közh. Nonpr. Kft</t>
  </si>
  <si>
    <t>Előző évi állami támogatás visszafizetés</t>
  </si>
  <si>
    <t>Felhalmozási célú támogatásérétkű kiadás</t>
  </si>
  <si>
    <t>Hévíz családsegítés, gyerekjóléti szolgáltatás 2013.1231-ig</t>
  </si>
  <si>
    <t>13.melléklet</t>
  </si>
  <si>
    <t>15.melléklet</t>
  </si>
  <si>
    <t>Lakásfenntartási támogatás t (államilag kötelező normatív)</t>
  </si>
  <si>
    <t>Települési támogatás, Lakásfenntartási támogatás</t>
  </si>
  <si>
    <t>Egyéb önkormányzati támogatás</t>
  </si>
  <si>
    <t>Temetési segély</t>
  </si>
  <si>
    <t>Rendkívüli települési támogatás (pénzbeli)</t>
  </si>
  <si>
    <t>216 évi állami előleg visszafizetése</t>
  </si>
  <si>
    <t>X.</t>
  </si>
  <si>
    <t>Sármellék Zalavár Kármentesítő Társulás</t>
  </si>
  <si>
    <t>Zalaegerszegi Mentőszolg.Alapítvány</t>
  </si>
  <si>
    <t>Dózsa 314 lakás felújítás (tető, festés, kazán, kerítés)</t>
  </si>
  <si>
    <t>Felhasználás
2015. XII.31-ig</t>
  </si>
  <si>
    <t>Buszmegálló (vasútállomás)</t>
  </si>
  <si>
    <t>Közfoglalkoztatotti támogatás kisértékű t.e.</t>
  </si>
  <si>
    <t>Fénymásoló</t>
  </si>
  <si>
    <t>Kisértékű tárgyieszközök</t>
  </si>
  <si>
    <t>Kötött  céltartalék , koncessziós díj+bank szla , lakásért.</t>
  </si>
  <si>
    <t>Általánostartalék</t>
  </si>
  <si>
    <t>Közvilágítás tovább fejlesztése</t>
  </si>
  <si>
    <t>Hungaricum pályázat (ÁMK-ból 401eFt)</t>
  </si>
  <si>
    <t>Sármellék Község Önkormányzata és Intézményei összesen</t>
  </si>
  <si>
    <t>Maradvány kimutatás</t>
  </si>
  <si>
    <t>sr.</t>
  </si>
  <si>
    <t>összeg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</si>
  <si>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</si>
  <si>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</si>
  <si>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</si>
  <si>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</si>
  <si>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</si>
  <si>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</si>
  <si>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 3+6</t>
  </si>
  <si>
    <t>Vállalkozásitevékenység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</si>
  <si>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</si>
  <si>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</si>
  <si>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</si>
  <si>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</si>
  <si>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</si>
  <si>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 10.+13.</t>
  </si>
  <si>
    <t>Maradvány korrekció</t>
  </si>
  <si>
    <t>Összes pénzmaradvány 7.+15.</t>
  </si>
  <si>
    <t>Alaptevékenség kötelezettségvállalással terhelt maradványa</t>
  </si>
  <si>
    <t>Alaptevékenység szabad pénzmaradványa</t>
  </si>
  <si>
    <t>Vállalkozási tevékenységet terhelő befizetési kötelezettség</t>
  </si>
  <si>
    <t>20.</t>
  </si>
  <si>
    <t>Vállalkozási tevékenység felhasználható maradványa</t>
  </si>
  <si>
    <t xml:space="preserve">ÁMK Sármellék </t>
  </si>
  <si>
    <t>2016 évi zárszámadás</t>
  </si>
  <si>
    <t>adatok Ft</t>
  </si>
  <si>
    <t>Adósságállomány</t>
  </si>
  <si>
    <t>Hitelek</t>
  </si>
  <si>
    <t>eFt</t>
  </si>
  <si>
    <t>Összeg</t>
  </si>
  <si>
    <t>Lejárat</t>
  </si>
  <si>
    <t>Hitelező</t>
  </si>
  <si>
    <t>Hosszúlejáratú működési célú hitel</t>
  </si>
  <si>
    <t>2016 ÉVI ZÁRSZÁMADÁS</t>
  </si>
  <si>
    <t>9. melléklet</t>
  </si>
  <si>
    <t>Vagyonkimutatás</t>
  </si>
  <si>
    <t>Befektetett eszközök</t>
  </si>
  <si>
    <t>Immateriális javak</t>
  </si>
  <si>
    <t>Törzsvagyon forgalomképes</t>
  </si>
  <si>
    <t>Törzsvagyon forgalomképtelen</t>
  </si>
  <si>
    <t>Törzsvagyonon kívüli egyéb vagyon</t>
  </si>
  <si>
    <t>Tárgyi eszközök</t>
  </si>
  <si>
    <t>Ingalanok és a kapcsolódó vagyoni értékű jogok</t>
  </si>
  <si>
    <t>Korlátozottan forgalomképes törzsvagyon</t>
  </si>
  <si>
    <t>Forgalomképtelen törzsvagyon</t>
  </si>
  <si>
    <t>Üzleti vagyon</t>
  </si>
  <si>
    <t>Gépek berendezések és felszerelések</t>
  </si>
  <si>
    <t>Járművek</t>
  </si>
  <si>
    <t>Tenyészállatok</t>
  </si>
  <si>
    <t>Beruházások, felújítások</t>
  </si>
  <si>
    <t>Beruházásra adott előlegek</t>
  </si>
  <si>
    <t>Állami készletek, tartalékok</t>
  </si>
  <si>
    <t>Tárgyi eszközök értékhelyesbítése</t>
  </si>
  <si>
    <t>Befektetett pénzügyi eszközök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</si>
  <si>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</si>
  <si>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</si>
  <si>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</si>
  <si>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</si>
  <si>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</si>
  <si>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pénzügyi eszközök értékhelyesbítése</t>
  </si>
  <si>
    <t>Üzemeltetésre, kezelésre átadott, koncesszióba, vagyonkezelésbe adott, illetve vett eszközök</t>
  </si>
  <si>
    <t>FORGÓESZKÖZÖK</t>
  </si>
  <si>
    <t>Készletek</t>
  </si>
  <si>
    <t>Követelések</t>
  </si>
  <si>
    <t>Értékpapírok</t>
  </si>
  <si>
    <t>Pénzeszközök</t>
  </si>
  <si>
    <t>Egyéb aktív pénzügyi elszámolások</t>
  </si>
  <si>
    <t>Egyéb sajátos eszközelszámoás</t>
  </si>
  <si>
    <t>ESZKÖZÖK ÖSSZESEN</t>
  </si>
  <si>
    <t>FORRÁSOK</t>
  </si>
  <si>
    <t>Saját tőke</t>
  </si>
  <si>
    <t>Tartós Tőke</t>
  </si>
  <si>
    <t>Tőke változás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</si>
  <si>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</si>
  <si>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</si>
  <si>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</si>
  <si>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</si>
  <si>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</si>
  <si>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</si>
  <si>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TARTALÉKOK</t>
  </si>
  <si>
    <t>Költségvetési tartalékok</t>
  </si>
  <si>
    <t>Vállalkozási tartalékok</t>
  </si>
  <si>
    <t>KÖTELEZETTSÉGEK</t>
  </si>
  <si>
    <t>Hosszú lejáratú kötelezettségek</t>
  </si>
  <si>
    <t>Rövid lejártú kötelezettségek</t>
  </si>
  <si>
    <t>Egyéb passzív pénzügyi elszámolások</t>
  </si>
  <si>
    <t>FORRÁSOK ÖSSZESEN</t>
  </si>
  <si>
    <t>ÁMK</t>
  </si>
  <si>
    <t>10.melléklet</t>
  </si>
  <si>
    <t>ÁMK összesen eredeti</t>
  </si>
  <si>
    <t>Kötelező feladat eredeti</t>
  </si>
  <si>
    <t>Önként vállalt feladat eredeti</t>
  </si>
  <si>
    <t>ÁMK összesen módosított</t>
  </si>
  <si>
    <t>Kötelező feladat módosítás</t>
  </si>
  <si>
    <t>Önként vállalt feladat módosítás</t>
  </si>
  <si>
    <t>ÁMK teljesítés</t>
  </si>
  <si>
    <t>Kötelező feladat teljesítés</t>
  </si>
  <si>
    <t>Önként vállalt feladat teljesítés</t>
  </si>
  <si>
    <t>Stabilitási tv 3§-aszerinti adósságot keletkeztető ügyletek és értékei</t>
  </si>
  <si>
    <t>Adósságot keletkezetető ügylet neve:</t>
  </si>
  <si>
    <t>Összege:</t>
  </si>
  <si>
    <t>Köt. váll.
 Összege</t>
  </si>
  <si>
    <t>2015. törlesztés</t>
  </si>
  <si>
    <t>Fennmaradó összeg:</t>
  </si>
  <si>
    <t>Részesedések alakulása</t>
  </si>
  <si>
    <t>Sr.</t>
  </si>
  <si>
    <t>Sármellékért Nonprofit Közhasznú Kft</t>
  </si>
  <si>
    <t>ZSA Kft</t>
  </si>
  <si>
    <t xml:space="preserve">DRV </t>
  </si>
  <si>
    <t>összesen:</t>
  </si>
  <si>
    <t xml:space="preserve"> előirányzat (Ft)</t>
  </si>
  <si>
    <t>Közös Önk.Hiv. eredeti</t>
  </si>
  <si>
    <t>előirányzat (Ft)</t>
  </si>
  <si>
    <t>Közös Önk.Hiv.módosított</t>
  </si>
  <si>
    <t>Közös Önk.Hiv.teljesítés</t>
  </si>
  <si>
    <t xml:space="preserve">2016 ÉVI Zárszámadás </t>
  </si>
  <si>
    <t>Sármellék Önkorm.eredeti</t>
  </si>
  <si>
    <t>Sármellék Önkorm.módosított</t>
  </si>
  <si>
    <t>Sármellék Önkorm.teljesítés</t>
  </si>
  <si>
    <t>Módosított előirányzat</t>
  </si>
  <si>
    <t>Felsőtiszavidéki Társulás</t>
  </si>
  <si>
    <t>Zalamegyei Polgárőrség</t>
  </si>
  <si>
    <t>Zalamegyei Polgárvédelem</t>
  </si>
  <si>
    <t>ÉFOÉSZ</t>
  </si>
  <si>
    <t>DRV Zrt. Lakossági víz támogatás</t>
  </si>
  <si>
    <t xml:space="preserve"> forintban</t>
  </si>
  <si>
    <t>2016 ÉVI Zárszámadás</t>
  </si>
  <si>
    <t>Bölcsőde korsz.építési terv.</t>
  </si>
  <si>
    <t>Óvoda fejl. Pályá.tanácsadás</t>
  </si>
  <si>
    <t>Ipari park fejl. Tanácsadás</t>
  </si>
  <si>
    <t>Vírusellenőrző prg.</t>
  </si>
  <si>
    <t>Energia pályázat</t>
  </si>
  <si>
    <t xml:space="preserve">Ipari park </t>
  </si>
  <si>
    <t>Építési szabályozási terv</t>
  </si>
  <si>
    <t>Iskola energetikai pályázat</t>
  </si>
  <si>
    <t>2016. évi eredeti előirányzat</t>
  </si>
  <si>
    <t>2016. évi módosított előirányzat</t>
  </si>
  <si>
    <t>2016. évi teljesítés</t>
  </si>
  <si>
    <t>Honlapkészítés</t>
  </si>
  <si>
    <t xml:space="preserve">Módosítás: immateriális javak </t>
  </si>
  <si>
    <t>Módosítás: ingatlanok</t>
  </si>
  <si>
    <t>Tanyafejl. Talajelőkész.</t>
  </si>
  <si>
    <t>Kerékpárútbépítési engedély</t>
  </si>
  <si>
    <t>Tanyafejlesztés szőlőoltvány</t>
  </si>
  <si>
    <t>Építőanyag hulladékgyűjtő</t>
  </si>
  <si>
    <t>Módosítás: Informatikai eszközök</t>
  </si>
  <si>
    <t xml:space="preserve">HP DeskJet </t>
  </si>
  <si>
    <t>ASP Intensa PC</t>
  </si>
  <si>
    <t>Módosítás: egyéb tárgyi eszközök</t>
  </si>
  <si>
    <t>HP Elite számítógép</t>
  </si>
  <si>
    <t>Router</t>
  </si>
  <si>
    <t>Utcanévtábla 5 db</t>
  </si>
  <si>
    <t>Zászlók magyar, EU, Székely</t>
  </si>
  <si>
    <t>Pillanatszorító nagy</t>
  </si>
  <si>
    <t xml:space="preserve">Pillanatszorító </t>
  </si>
  <si>
    <t>Kalapács 3db</t>
  </si>
  <si>
    <t>Vízmérték</t>
  </si>
  <si>
    <t>Fém vödör 10 db</t>
  </si>
  <si>
    <t>Satu forgatható</t>
  </si>
  <si>
    <t>Ágazófűrész gardena 3db</t>
  </si>
  <si>
    <t>Magasnyomású mosó</t>
  </si>
  <si>
    <t>Cseh talicska 2db</t>
  </si>
  <si>
    <t>Emelő krokodil</t>
  </si>
  <si>
    <t>Ágvágó göllerolló 5 db</t>
  </si>
  <si>
    <t>Forgalomtechnikai tükör</t>
  </si>
  <si>
    <t>Védőnő számítógépes hálózat kiépítés</t>
  </si>
  <si>
    <t>Fémállvány 4 polcos</t>
  </si>
  <si>
    <t>Roló</t>
  </si>
  <si>
    <t>Tork kéztörlőadagoló</t>
  </si>
  <si>
    <t>102 db leves- és főzelékes tál</t>
  </si>
  <si>
    <t>Település címeres zászló 4 db</t>
  </si>
  <si>
    <t>Nyeles lábas, alacsonylábas,</t>
  </si>
  <si>
    <t>Dinamikus mikrofon 2db</t>
  </si>
  <si>
    <t>Komplett mikrofon szett 2db</t>
  </si>
  <si>
    <t>2db hangszóró, 2db kézi és 2db fejmikrofon</t>
  </si>
  <si>
    <t>LED PAR  fénytechnika 2db</t>
  </si>
  <si>
    <t>Cameo Light DMX hangvezérlő</t>
  </si>
  <si>
    <t>Pulpitus</t>
  </si>
  <si>
    <t>Audio hossabbító 10 m</t>
  </si>
  <si>
    <t>Audio hosszabbító 5 m</t>
  </si>
  <si>
    <t>Audio kábel 10 2 db</t>
  </si>
  <si>
    <t>Panasonic DMC fényképező</t>
  </si>
  <si>
    <t>Hama 4161 állvány táskával</t>
  </si>
  <si>
    <t>Panasonic HC-V180EP FHD video</t>
  </si>
  <si>
    <t>Halogén reflektor 2 db</t>
  </si>
  <si>
    <t>Üvegajtós szekrény 3db</t>
  </si>
  <si>
    <t xml:space="preserve">Vasgereblye </t>
  </si>
  <si>
    <t>Sony Xperia telefon</t>
  </si>
  <si>
    <t>2 db lengő hosszabbító</t>
  </si>
  <si>
    <t>Hosszabbító 3-as</t>
  </si>
  <si>
    <t>4 db hosszabító asztali 6-os</t>
  </si>
  <si>
    <t>Lengőhosszabbító</t>
  </si>
  <si>
    <t>12 db Luminarc tányér</t>
  </si>
  <si>
    <t>Lapozható tábla</t>
  </si>
  <si>
    <t>2 db Rollexco 6 kg-os tűzoltó készülék</t>
  </si>
  <si>
    <t>Trágyavilla</t>
  </si>
  <si>
    <t>1956-os emlékzászló</t>
  </si>
  <si>
    <t>Lengőhosszabító 10 m</t>
  </si>
  <si>
    <t>Samsung SLM2875 nyomtató</t>
  </si>
  <si>
    <t>LG 8 db monitor</t>
  </si>
  <si>
    <t>TP link</t>
  </si>
  <si>
    <t>Kyocera fénymásoló</t>
  </si>
  <si>
    <t>Reiner kártyaolvasó 8 db</t>
  </si>
  <si>
    <t xml:space="preserve">Sármellék 063 hrsz közút </t>
  </si>
  <si>
    <t>Dózsa 324 . Járda kialakítása, redőny</t>
  </si>
  <si>
    <t xml:space="preserve">Működési célú átvett pénzeszköz </t>
  </si>
  <si>
    <t xml:space="preserve">Felhalmozási célú pénzeszközátvétel </t>
  </si>
  <si>
    <t>Államháztartáson belüli megelőlegezés</t>
  </si>
  <si>
    <t>Módosított e.i.</t>
  </si>
  <si>
    <t>Eredeti e.i.</t>
  </si>
  <si>
    <t>forintban</t>
  </si>
  <si>
    <t>Rendkívüli települési támogatás (babakötvény)+ gyerekvédelmi támogatás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</si>
  <si>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</si>
  <si>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</si>
  <si>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</si>
  <si>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</si>
  <si>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</si>
  <si>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</si>
  <si>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</si>
  <si>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</si>
  <si>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</si>
  <si>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</si>
  <si>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Önkormányzatok által folyósított ellátások összesen</t>
  </si>
  <si>
    <t>2016 Évi Zárszámadás</t>
  </si>
  <si>
    <t>Ft</t>
  </si>
  <si>
    <t xml:space="preserve"> 2016 évi Zárszámadás</t>
  </si>
  <si>
    <t xml:space="preserve">2016 év Zárszámadás </t>
  </si>
  <si>
    <t>2016 évi Zárszámadás</t>
  </si>
  <si>
    <t xml:space="preserve">Önként vállalt feladat </t>
  </si>
  <si>
    <t xml:space="preserve">Kötelező feladat </t>
  </si>
  <si>
    <t>Sármellék Község Önkormányzata és Intézményei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</si>
</sst>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0__"/>
    <numFmt numFmtId="167" formatCode="#,###"/>
    <numFmt numFmtId="168" formatCode="#"/>
    <numFmt numFmtId="169" formatCode="_-* #,##0\ _F_t_-;\-* #,##0\ _F_t_-;_-* &quot;-&quot;??\ _F_t_-;_-@_-"/>
    <numFmt numFmtId="170" formatCode="#,##0_ ;\-#,##0\ "/>
  </numFmts>
  <fonts count="6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3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9" fillId="10" borderId="1" applyNumberFormat="0" applyAlignment="0" applyProtection="0"/>
    <xf numFmtId="0" fontId="20" fillId="0" borderId="0" applyNumberFormat="0" applyFill="0" applyBorder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6" borderId="7" applyNumberFormat="0" applyFont="0" applyAlignment="0" applyProtection="0"/>
    <xf numFmtId="0" fontId="18" fillId="2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8" applyNumberFormat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7" fillId="0" borderId="0"/>
    <xf numFmtId="0" fontId="31" fillId="0" borderId="9" applyNumberFormat="0" applyFill="0" applyAlignment="0" applyProtection="0"/>
    <xf numFmtId="0" fontId="32" fillId="17" borderId="0" applyNumberFormat="0" applyBorder="0" applyAlignment="0" applyProtection="0"/>
    <xf numFmtId="0" fontId="33" fillId="10" borderId="0" applyNumberFormat="0" applyBorder="0" applyAlignment="0" applyProtection="0"/>
    <xf numFmtId="0" fontId="34" fillId="16" borderId="1" applyNumberFormat="0" applyAlignment="0" applyProtection="0"/>
  </cellStyleXfs>
  <cellXfs count="601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6" fillId="0" borderId="0" xfId="40" applyFont="1" applyAlignment="1">
      <alignment vertical="center"/>
    </xf>
    <xf numFmtId="165" fontId="4" fillId="0" borderId="11" xfId="27" applyNumberFormat="1" applyFont="1" applyFill="1" applyBorder="1" applyAlignment="1">
      <alignment horizontal="center"/>
    </xf>
    <xf numFmtId="165" fontId="5" fillId="0" borderId="12" xfId="40" applyNumberFormat="1" applyFont="1" applyBorder="1" applyAlignment="1">
      <alignment horizontal="center" vertical="center"/>
    </xf>
    <xf numFmtId="165" fontId="5" fillId="0" borderId="11" xfId="27" applyNumberFormat="1" applyFont="1" applyFill="1" applyBorder="1" applyAlignment="1">
      <alignment horizont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165" fontId="7" fillId="0" borderId="11" xfId="27" applyNumberFormat="1" applyFont="1" applyFill="1" applyBorder="1" applyAlignment="1">
      <alignment horizontal="center"/>
    </xf>
    <xf numFmtId="0" fontId="5" fillId="18" borderId="10" xfId="40" applyFont="1" applyFill="1" applyBorder="1" applyAlignment="1">
      <alignment horizontal="center" vertical="center"/>
    </xf>
    <xf numFmtId="165" fontId="5" fillId="18" borderId="12" xfId="27" applyNumberFormat="1" applyFont="1" applyFill="1" applyBorder="1" applyAlignment="1">
      <alignment horizontal="center"/>
    </xf>
    <xf numFmtId="165" fontId="5" fillId="18" borderId="11" xfId="27" applyNumberFormat="1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Continuous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16" xfId="0" applyFont="1" applyBorder="1" applyAlignment="1">
      <alignment horizontal="centerContinuous"/>
    </xf>
    <xf numFmtId="0" fontId="11" fillId="0" borderId="17" xfId="0" applyFont="1" applyBorder="1" applyAlignment="1">
      <alignment horizontal="centerContinuous"/>
    </xf>
    <xf numFmtId="166" fontId="11" fillId="0" borderId="0" xfId="0" applyNumberFormat="1" applyFont="1"/>
    <xf numFmtId="0" fontId="11" fillId="0" borderId="0" xfId="0" applyFont="1" applyAlignment="1"/>
    <xf numFmtId="0" fontId="13" fillId="0" borderId="0" xfId="0" applyFont="1" applyAlignment="1">
      <alignment horizontal="center"/>
    </xf>
    <xf numFmtId="165" fontId="4" fillId="0" borderId="24" xfId="40" applyNumberFormat="1" applyFont="1" applyBorder="1" applyAlignment="1">
      <alignment horizontal="center"/>
    </xf>
    <xf numFmtId="0" fontId="11" fillId="0" borderId="12" xfId="0" applyFont="1" applyBorder="1"/>
    <xf numFmtId="167" fontId="27" fillId="0" borderId="0" xfId="41" applyNumberFormat="1" applyFill="1" applyAlignment="1">
      <alignment horizontal="center" vertical="center" wrapText="1"/>
    </xf>
    <xf numFmtId="167" fontId="27" fillId="0" borderId="0" xfId="41" applyNumberFormat="1" applyFill="1" applyAlignment="1">
      <alignment vertical="center" wrapText="1"/>
    </xf>
    <xf numFmtId="167" fontId="36" fillId="0" borderId="25" xfId="41" applyNumberFormat="1" applyFont="1" applyFill="1" applyBorder="1" applyAlignment="1">
      <alignment horizontal="center" vertical="center"/>
    </xf>
    <xf numFmtId="167" fontId="36" fillId="0" borderId="26" xfId="41" applyNumberFormat="1" applyFont="1" applyFill="1" applyBorder="1" applyAlignment="1">
      <alignment horizontal="center" vertical="center"/>
    </xf>
    <xf numFmtId="167" fontId="36" fillId="0" borderId="27" xfId="41" applyNumberFormat="1" applyFont="1" applyFill="1" applyBorder="1" applyAlignment="1">
      <alignment horizontal="center" vertical="center" wrapText="1"/>
    </xf>
    <xf numFmtId="167" fontId="37" fillId="0" borderId="28" xfId="41" applyNumberFormat="1" applyFont="1" applyFill="1" applyBorder="1" applyAlignment="1">
      <alignment horizontal="center" vertical="center" wrapText="1"/>
    </xf>
    <xf numFmtId="167" fontId="37" fillId="0" borderId="29" xfId="41" applyNumberFormat="1" applyFont="1" applyFill="1" applyBorder="1" applyAlignment="1">
      <alignment horizontal="center" vertical="center" wrapText="1"/>
    </xf>
    <xf numFmtId="167" fontId="37" fillId="0" borderId="30" xfId="41" applyNumberFormat="1" applyFont="1" applyFill="1" applyBorder="1" applyAlignment="1">
      <alignment horizontal="center" vertical="center" wrapText="1"/>
    </xf>
    <xf numFmtId="167" fontId="37" fillId="0" borderId="31" xfId="41" applyNumberFormat="1" applyFont="1" applyFill="1" applyBorder="1" applyAlignment="1">
      <alignment horizontal="center" vertical="center" wrapText="1"/>
    </xf>
    <xf numFmtId="167" fontId="37" fillId="0" borderId="32" xfId="41" applyNumberFormat="1" applyFont="1" applyFill="1" applyBorder="1" applyAlignment="1">
      <alignment horizontal="center" vertical="center" wrapText="1"/>
    </xf>
    <xf numFmtId="167" fontId="37" fillId="0" borderId="33" xfId="41" applyNumberFormat="1" applyFont="1" applyFill="1" applyBorder="1" applyAlignment="1">
      <alignment horizontal="center" vertical="center" wrapText="1"/>
    </xf>
    <xf numFmtId="167" fontId="37" fillId="0" borderId="29" xfId="41" applyNumberFormat="1" applyFont="1" applyFill="1" applyBorder="1" applyAlignment="1">
      <alignment horizontal="left" vertical="center" wrapText="1" indent="1"/>
    </xf>
    <xf numFmtId="167" fontId="38" fillId="0" borderId="34" xfId="41" applyNumberFormat="1" applyFont="1" applyFill="1" applyBorder="1" applyAlignment="1" applyProtection="1">
      <alignment horizontal="left" vertical="center" wrapText="1" indent="2"/>
    </xf>
    <xf numFmtId="167" fontId="38" fillId="0" borderId="29" xfId="41" applyNumberFormat="1" applyFont="1" applyFill="1" applyBorder="1" applyAlignment="1" applyProtection="1">
      <alignment vertical="center" wrapText="1"/>
    </xf>
    <xf numFmtId="167" fontId="38" fillId="0" borderId="33" xfId="41" applyNumberFormat="1" applyFont="1" applyFill="1" applyBorder="1" applyAlignment="1" applyProtection="1">
      <alignment vertical="center" wrapText="1"/>
    </xf>
    <xf numFmtId="167" fontId="38" fillId="0" borderId="34" xfId="41" applyNumberFormat="1" applyFont="1" applyFill="1" applyBorder="1" applyAlignment="1" applyProtection="1">
      <alignment vertical="center" wrapText="1"/>
    </xf>
    <xf numFmtId="167" fontId="38" fillId="0" borderId="31" xfId="41" applyNumberFormat="1" applyFont="1" applyFill="1" applyBorder="1" applyAlignment="1" applyProtection="1">
      <alignment vertical="center" wrapText="1"/>
    </xf>
    <xf numFmtId="167" fontId="38" fillId="0" borderId="29" xfId="41" applyNumberFormat="1" applyFont="1" applyFill="1" applyBorder="1" applyAlignment="1">
      <alignment vertical="center" wrapText="1"/>
    </xf>
    <xf numFmtId="167" fontId="37" fillId="0" borderId="10" xfId="41" applyNumberFormat="1" applyFont="1" applyFill="1" applyBorder="1" applyAlignment="1">
      <alignment horizontal="center" vertical="center" wrapText="1"/>
    </xf>
    <xf numFmtId="167" fontId="38" fillId="0" borderId="35" xfId="41" applyNumberFormat="1" applyFont="1" applyFill="1" applyBorder="1" applyAlignment="1" applyProtection="1">
      <alignment horizontal="left" vertical="center" wrapText="1" indent="1"/>
      <protection locked="0"/>
    </xf>
    <xf numFmtId="168" fontId="39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38" fillId="0" borderId="35" xfId="41" applyNumberFormat="1" applyFont="1" applyFill="1" applyBorder="1" applyAlignment="1" applyProtection="1">
      <alignment vertical="center" wrapText="1"/>
      <protection locked="0"/>
    </xf>
    <xf numFmtId="167" fontId="38" fillId="0" borderId="10" xfId="41" applyNumberFormat="1" applyFont="1" applyFill="1" applyBorder="1" applyAlignment="1" applyProtection="1">
      <alignment vertical="center" wrapText="1"/>
      <protection locked="0"/>
    </xf>
    <xf numFmtId="167" fontId="38" fillId="0" borderId="12" xfId="41" applyNumberFormat="1" applyFont="1" applyFill="1" applyBorder="1" applyAlignment="1" applyProtection="1">
      <alignment vertical="center" wrapText="1"/>
      <protection locked="0"/>
    </xf>
    <xf numFmtId="167" fontId="38" fillId="0" borderId="11" xfId="41" applyNumberFormat="1" applyFont="1" applyFill="1" applyBorder="1" applyAlignment="1" applyProtection="1">
      <alignment vertical="center" wrapText="1"/>
      <protection locked="0"/>
    </xf>
    <xf numFmtId="167" fontId="38" fillId="0" borderId="35" xfId="41" applyNumberFormat="1" applyFont="1" applyFill="1" applyBorder="1" applyAlignment="1">
      <alignment vertical="center" wrapText="1"/>
    </xf>
    <xf numFmtId="167" fontId="37" fillId="0" borderId="29" xfId="41" applyNumberFormat="1" applyFont="1" applyFill="1" applyBorder="1" applyAlignment="1" applyProtection="1">
      <alignment horizontal="left" vertical="center" wrapText="1" indent="1"/>
      <protection locked="0"/>
    </xf>
    <xf numFmtId="167" fontId="39" fillId="0" borderId="34" xfId="41" applyNumberFormat="1" applyFont="1" applyFill="1" applyBorder="1" applyAlignment="1" applyProtection="1">
      <alignment horizontal="left" vertical="center" wrapText="1" indent="2"/>
    </xf>
    <xf numFmtId="167" fontId="37" fillId="0" borderId="36" xfId="41" applyNumberFormat="1" applyFont="1" applyFill="1" applyBorder="1" applyAlignment="1">
      <alignment horizontal="center" vertical="center" wrapText="1"/>
    </xf>
    <xf numFmtId="167" fontId="38" fillId="0" borderId="37" xfId="41" applyNumberFormat="1" applyFont="1" applyFill="1" applyBorder="1" applyAlignment="1" applyProtection="1">
      <alignment horizontal="left" vertical="center" wrapText="1" indent="1"/>
      <protection locked="0"/>
    </xf>
    <xf numFmtId="168" fontId="39" fillId="0" borderId="38" xfId="41" applyNumberFormat="1" applyFont="1" applyFill="1" applyBorder="1" applyAlignment="1" applyProtection="1">
      <alignment horizontal="left" vertical="center" wrapText="1" indent="2"/>
      <protection locked="0"/>
    </xf>
    <xf numFmtId="167" fontId="38" fillId="0" borderId="37" xfId="41" applyNumberFormat="1" applyFont="1" applyFill="1" applyBorder="1" applyAlignment="1" applyProtection="1">
      <alignment vertical="center" wrapText="1"/>
      <protection locked="0"/>
    </xf>
    <xf numFmtId="167" fontId="38" fillId="0" borderId="36" xfId="41" applyNumberFormat="1" applyFont="1" applyFill="1" applyBorder="1" applyAlignment="1" applyProtection="1">
      <alignment vertical="center" wrapText="1"/>
      <protection locked="0"/>
    </xf>
    <xf numFmtId="167" fontId="38" fillId="0" borderId="38" xfId="41" applyNumberFormat="1" applyFont="1" applyFill="1" applyBorder="1" applyAlignment="1" applyProtection="1">
      <alignment vertical="center" wrapText="1"/>
      <protection locked="0"/>
    </xf>
    <xf numFmtId="167" fontId="38" fillId="0" borderId="39" xfId="41" applyNumberFormat="1" applyFont="1" applyFill="1" applyBorder="1" applyAlignment="1" applyProtection="1">
      <alignment vertical="center" wrapText="1"/>
      <protection locked="0"/>
    </xf>
    <xf numFmtId="167" fontId="38" fillId="0" borderId="37" xfId="41" applyNumberFormat="1" applyFont="1" applyFill="1" applyBorder="1" applyAlignment="1">
      <alignment vertical="center" wrapText="1"/>
    </xf>
    <xf numFmtId="167" fontId="40" fillId="0" borderId="29" xfId="41" applyNumberFormat="1" applyFont="1" applyFill="1" applyBorder="1" applyAlignment="1" applyProtection="1">
      <alignment horizontal="left" vertical="center" wrapText="1" indent="1"/>
      <protection locked="0"/>
    </xf>
    <xf numFmtId="167" fontId="38" fillId="0" borderId="29" xfId="41" applyNumberFormat="1" applyFont="1" applyFill="1" applyBorder="1" applyAlignment="1" applyProtection="1">
      <alignment vertical="center" wrapText="1"/>
      <protection locked="0"/>
    </xf>
    <xf numFmtId="167" fontId="38" fillId="0" borderId="33" xfId="41" applyNumberFormat="1" applyFont="1" applyFill="1" applyBorder="1" applyAlignment="1" applyProtection="1">
      <alignment vertical="center" wrapText="1"/>
      <protection locked="0"/>
    </xf>
    <xf numFmtId="167" fontId="38" fillId="0" borderId="34" xfId="41" applyNumberFormat="1" applyFont="1" applyFill="1" applyBorder="1" applyAlignment="1" applyProtection="1">
      <alignment vertical="center" wrapText="1"/>
      <protection locked="0"/>
    </xf>
    <xf numFmtId="167" fontId="38" fillId="0" borderId="31" xfId="41" applyNumberFormat="1" applyFont="1" applyFill="1" applyBorder="1" applyAlignment="1" applyProtection="1">
      <alignment vertical="center" wrapText="1"/>
      <protection locked="0"/>
    </xf>
    <xf numFmtId="167" fontId="37" fillId="0" borderId="40" xfId="41" applyNumberFormat="1" applyFont="1" applyFill="1" applyBorder="1" applyAlignment="1">
      <alignment horizontal="center" vertical="center" wrapText="1"/>
    </xf>
    <xf numFmtId="167" fontId="38" fillId="0" borderId="41" xfId="41" applyNumberFormat="1" applyFont="1" applyFill="1" applyBorder="1" applyAlignment="1" applyProtection="1">
      <alignment horizontal="left" vertical="center" wrapText="1" indent="1"/>
      <protection locked="0"/>
    </xf>
    <xf numFmtId="168" fontId="39" fillId="0" borderId="16" xfId="41" applyNumberFormat="1" applyFont="1" applyFill="1" applyBorder="1" applyAlignment="1" applyProtection="1">
      <alignment horizontal="left" vertical="center" wrapText="1" indent="2"/>
      <protection locked="0"/>
    </xf>
    <xf numFmtId="167" fontId="38" fillId="0" borderId="32" xfId="41" applyNumberFormat="1" applyFont="1" applyFill="1" applyBorder="1" applyAlignment="1" applyProtection="1">
      <alignment vertical="center" wrapText="1"/>
      <protection locked="0"/>
    </xf>
    <xf numFmtId="167" fontId="38" fillId="0" borderId="40" xfId="41" applyNumberFormat="1" applyFont="1" applyFill="1" applyBorder="1" applyAlignment="1" applyProtection="1">
      <alignment vertical="center" wrapText="1"/>
      <protection locked="0"/>
    </xf>
    <xf numFmtId="167" fontId="38" fillId="0" borderId="42" xfId="41" applyNumberFormat="1" applyFont="1" applyFill="1" applyBorder="1" applyAlignment="1" applyProtection="1">
      <alignment vertical="center" wrapText="1"/>
      <protection locked="0"/>
    </xf>
    <xf numFmtId="167" fontId="38" fillId="0" borderId="43" xfId="41" applyNumberFormat="1" applyFont="1" applyFill="1" applyBorder="1" applyAlignment="1" applyProtection="1">
      <alignment vertical="center" wrapText="1"/>
      <protection locked="0"/>
    </xf>
    <xf numFmtId="167" fontId="38" fillId="0" borderId="32" xfId="41" applyNumberFormat="1" applyFont="1" applyFill="1" applyBorder="1" applyAlignment="1">
      <alignment vertical="center" wrapText="1"/>
    </xf>
    <xf numFmtId="167" fontId="39" fillId="18" borderId="30" xfId="41" applyNumberFormat="1" applyFont="1" applyFill="1" applyBorder="1" applyAlignment="1" applyProtection="1">
      <alignment horizontal="left" vertical="center" wrapText="1" indent="2"/>
    </xf>
    <xf numFmtId="167" fontId="42" fillId="0" borderId="0" xfId="41" applyNumberFormat="1" applyFont="1" applyFill="1" applyAlignment="1">
      <alignment horizontal="center" vertical="center" wrapText="1"/>
    </xf>
    <xf numFmtId="167" fontId="42" fillId="0" borderId="0" xfId="41" applyNumberFormat="1" applyFont="1" applyFill="1" applyAlignment="1">
      <alignment vertical="center" wrapText="1"/>
    </xf>
    <xf numFmtId="0" fontId="36" fillId="0" borderId="33" xfId="41" applyFont="1" applyFill="1" applyBorder="1" applyAlignment="1">
      <alignment horizontal="center" vertical="center" wrapText="1"/>
    </xf>
    <xf numFmtId="0" fontId="36" fillId="0" borderId="34" xfId="41" applyFont="1" applyFill="1" applyBorder="1" applyAlignment="1">
      <alignment horizontal="center" vertical="center" wrapText="1"/>
    </xf>
    <xf numFmtId="0" fontId="36" fillId="0" borderId="31" xfId="41" applyFont="1" applyFill="1" applyBorder="1" applyAlignment="1">
      <alignment horizontal="center" vertical="center" wrapText="1"/>
    </xf>
    <xf numFmtId="0" fontId="43" fillId="0" borderId="0" xfId="41" applyFont="1" applyFill="1" applyAlignment="1">
      <alignment horizontal="center" vertical="center" wrapText="1"/>
    </xf>
    <xf numFmtId="0" fontId="37" fillId="0" borderId="33" xfId="41" applyFont="1" applyFill="1" applyBorder="1" applyAlignment="1">
      <alignment horizontal="center" vertical="center" wrapText="1"/>
    </xf>
    <xf numFmtId="0" fontId="37" fillId="0" borderId="34" xfId="41" applyFont="1" applyFill="1" applyBorder="1" applyAlignment="1">
      <alignment horizontal="center" vertical="center" wrapText="1"/>
    </xf>
    <xf numFmtId="0" fontId="37" fillId="0" borderId="31" xfId="41" applyFont="1" applyFill="1" applyBorder="1" applyAlignment="1">
      <alignment horizontal="center" vertical="center" wrapText="1"/>
    </xf>
    <xf numFmtId="0" fontId="44" fillId="0" borderId="44" xfId="41" applyFont="1" applyFill="1" applyBorder="1" applyAlignment="1">
      <alignment horizontal="center" vertical="center" wrapText="1"/>
    </xf>
    <xf numFmtId="0" fontId="41" fillId="0" borderId="23" xfId="41" applyFont="1" applyFill="1" applyBorder="1" applyAlignment="1" applyProtection="1">
      <alignment horizontal="left" vertical="center" wrapText="1" indent="1"/>
      <protection locked="0"/>
    </xf>
    <xf numFmtId="167" fontId="44" fillId="0" borderId="23" xfId="41" applyNumberFormat="1" applyFont="1" applyFill="1" applyBorder="1" applyAlignment="1" applyProtection="1">
      <alignment horizontal="right" vertical="center" wrapText="1" indent="1"/>
      <protection locked="0"/>
    </xf>
    <xf numFmtId="167" fontId="44" fillId="0" borderId="45" xfId="41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41" applyFill="1" applyAlignment="1">
      <alignment vertical="center" wrapText="1"/>
    </xf>
    <xf numFmtId="0" fontId="44" fillId="0" borderId="10" xfId="41" applyFont="1" applyFill="1" applyBorder="1" applyAlignment="1">
      <alignment horizontal="center" vertical="center" wrapText="1"/>
    </xf>
    <xf numFmtId="0" fontId="41" fillId="0" borderId="20" xfId="41" applyFont="1" applyFill="1" applyBorder="1" applyAlignment="1" applyProtection="1">
      <alignment horizontal="left" vertical="center" wrapText="1" indent="1"/>
      <protection locked="0"/>
    </xf>
    <xf numFmtId="167" fontId="44" fillId="0" borderId="20" xfId="41" applyNumberFormat="1" applyFont="1" applyFill="1" applyBorder="1" applyAlignment="1" applyProtection="1">
      <alignment horizontal="right" vertical="center" wrapText="1" indent="1"/>
      <protection locked="0"/>
    </xf>
    <xf numFmtId="167" fontId="44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20" xfId="41" applyFont="1" applyFill="1" applyBorder="1" applyAlignment="1" applyProtection="1">
      <alignment horizontal="left" vertical="center" wrapText="1" indent="8"/>
      <protection locked="0"/>
    </xf>
    <xf numFmtId="0" fontId="44" fillId="0" borderId="46" xfId="41" applyFont="1" applyFill="1" applyBorder="1" applyAlignment="1" applyProtection="1">
      <alignment vertical="center" wrapText="1"/>
      <protection locked="0"/>
    </xf>
    <xf numFmtId="167" fontId="44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33" xfId="41" applyFont="1" applyFill="1" applyBorder="1" applyAlignment="1">
      <alignment horizontal="center" vertical="center" wrapText="1"/>
    </xf>
    <xf numFmtId="0" fontId="45" fillId="0" borderId="47" xfId="41" applyFont="1" applyFill="1" applyBorder="1" applyAlignment="1">
      <alignment vertical="center" wrapText="1"/>
    </xf>
    <xf numFmtId="167" fontId="40" fillId="0" borderId="47" xfId="41" applyNumberFormat="1" applyFont="1" applyFill="1" applyBorder="1" applyAlignment="1">
      <alignment vertical="center" wrapText="1"/>
    </xf>
    <xf numFmtId="167" fontId="40" fillId="0" borderId="48" xfId="41" applyNumberFormat="1" applyFont="1" applyFill="1" applyBorder="1" applyAlignment="1">
      <alignment vertical="center" wrapText="1"/>
    </xf>
    <xf numFmtId="0" fontId="27" fillId="0" borderId="0" xfId="41" applyFill="1" applyAlignment="1">
      <alignment horizontal="right" vertical="center" wrapText="1"/>
    </xf>
    <xf numFmtId="0" fontId="27" fillId="0" borderId="0" xfId="41" applyFill="1" applyAlignment="1">
      <alignment horizontal="center" vertical="center" wrapText="1"/>
    </xf>
    <xf numFmtId="0" fontId="5" fillId="0" borderId="12" xfId="0" applyFont="1" applyBorder="1"/>
    <xf numFmtId="167" fontId="36" fillId="0" borderId="33" xfId="41" applyNumberFormat="1" applyFont="1" applyFill="1" applyBorder="1" applyAlignment="1">
      <alignment horizontal="center" vertical="center" wrapText="1"/>
    </xf>
    <xf numFmtId="167" fontId="36" fillId="0" borderId="34" xfId="41" applyNumberFormat="1" applyFont="1" applyFill="1" applyBorder="1" applyAlignment="1">
      <alignment horizontal="center" vertical="center" wrapText="1"/>
    </xf>
    <xf numFmtId="167" fontId="46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47" fillId="0" borderId="12" xfId="41" applyNumberFormat="1" applyFont="1" applyFill="1" applyBorder="1" applyAlignment="1" applyProtection="1">
      <alignment vertical="center" wrapText="1"/>
      <protection locked="0"/>
    </xf>
    <xf numFmtId="1" fontId="47" fillId="0" borderId="12" xfId="41" applyNumberFormat="1" applyFont="1" applyFill="1" applyBorder="1" applyAlignment="1" applyProtection="1">
      <alignment vertical="center" wrapText="1"/>
      <protection locked="0"/>
    </xf>
    <xf numFmtId="167" fontId="48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49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36" fillId="0" borderId="33" xfId="41" applyNumberFormat="1" applyFont="1" applyFill="1" applyBorder="1" applyAlignment="1">
      <alignment horizontal="left" vertical="center" wrapText="1"/>
    </xf>
    <xf numFmtId="167" fontId="36" fillId="0" borderId="34" xfId="41" applyNumberFormat="1" applyFont="1" applyFill="1" applyBorder="1" applyAlignment="1">
      <alignment vertical="center" wrapText="1"/>
    </xf>
    <xf numFmtId="167" fontId="36" fillId="18" borderId="34" xfId="41" applyNumberFormat="1" applyFont="1" applyFill="1" applyBorder="1" applyAlignment="1" applyProtection="1">
      <alignment vertical="center" wrapText="1"/>
    </xf>
    <xf numFmtId="0" fontId="0" fillId="0" borderId="12" xfId="0" applyBorder="1"/>
    <xf numFmtId="1" fontId="47" fillId="0" borderId="12" xfId="41" applyNumberFormat="1" applyFont="1" applyFill="1" applyBorder="1" applyAlignment="1" applyProtection="1">
      <alignment horizontal="right" vertical="center" wrapText="1"/>
      <protection locked="0"/>
    </xf>
    <xf numFmtId="0" fontId="4" fillId="0" borderId="10" xfId="40" applyFont="1" applyBorder="1" applyAlignment="1">
      <alignment horizontal="center" vertical="center"/>
    </xf>
    <xf numFmtId="0" fontId="50" fillId="0" borderId="0" xfId="40" applyFont="1" applyAlignment="1">
      <alignment vertical="center"/>
    </xf>
    <xf numFmtId="165" fontId="6" fillId="0" borderId="0" xfId="40" applyNumberFormat="1" applyFont="1" applyAlignment="1">
      <alignment vertical="center"/>
    </xf>
    <xf numFmtId="0" fontId="0" fillId="0" borderId="49" xfId="0" applyBorder="1"/>
    <xf numFmtId="0" fontId="0" fillId="0" borderId="10" xfId="0" applyBorder="1"/>
    <xf numFmtId="0" fontId="0" fillId="0" borderId="51" xfId="0" applyBorder="1"/>
    <xf numFmtId="0" fontId="0" fillId="0" borderId="44" xfId="0" applyBorder="1"/>
    <xf numFmtId="165" fontId="4" fillId="0" borderId="11" xfId="40" applyNumberFormat="1" applyFont="1" applyBorder="1" applyAlignment="1">
      <alignment horizontal="center"/>
    </xf>
    <xf numFmtId="0" fontId="4" fillId="0" borderId="51" xfId="40" applyFont="1" applyBorder="1" applyAlignment="1">
      <alignment horizontal="center" vertical="center"/>
    </xf>
    <xf numFmtId="0" fontId="4" fillId="0" borderId="24" xfId="40" applyFont="1" applyBorder="1" applyAlignment="1">
      <alignment vertical="center"/>
    </xf>
    <xf numFmtId="165" fontId="4" fillId="0" borderId="27" xfId="40" applyNumberFormat="1" applyFont="1" applyBorder="1" applyAlignment="1">
      <alignment horizontal="center"/>
    </xf>
    <xf numFmtId="14" fontId="39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5" fontId="11" fillId="0" borderId="0" xfId="0" applyNumberFormat="1" applyFont="1"/>
    <xf numFmtId="165" fontId="5" fillId="0" borderId="0" xfId="40" applyNumberFormat="1" applyFont="1" applyAlignment="1">
      <alignment horizontal="center" vertical="center" wrapText="1"/>
    </xf>
    <xf numFmtId="165" fontId="5" fillId="0" borderId="12" xfId="27" applyNumberFormat="1" applyFont="1" applyFill="1" applyBorder="1" applyAlignment="1">
      <alignment horizontal="center"/>
    </xf>
    <xf numFmtId="165" fontId="4" fillId="0" borderId="12" xfId="27" applyNumberFormat="1" applyFont="1" applyFill="1" applyBorder="1" applyAlignment="1">
      <alignment horizontal="center"/>
    </xf>
    <xf numFmtId="165" fontId="5" fillId="0" borderId="45" xfId="27" applyNumberFormat="1" applyFont="1" applyFill="1" applyBorder="1" applyAlignment="1">
      <alignment horizontal="center"/>
    </xf>
    <xf numFmtId="0" fontId="5" fillId="0" borderId="12" xfId="40" applyFont="1" applyBorder="1" applyAlignment="1">
      <alignment horizontal="left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2" fillId="0" borderId="0" xfId="40" applyFont="1" applyAlignment="1">
      <alignment vertical="center"/>
    </xf>
    <xf numFmtId="167" fontId="54" fillId="0" borderId="0" xfId="41" applyNumberFormat="1" applyFont="1" applyFill="1" applyAlignment="1">
      <alignment horizontal="center" vertical="center" wrapText="1"/>
    </xf>
    <xf numFmtId="167" fontId="54" fillId="0" borderId="0" xfId="41" applyNumberFormat="1" applyFont="1" applyFill="1" applyAlignment="1">
      <alignment vertical="center" wrapText="1"/>
    </xf>
    <xf numFmtId="167" fontId="27" fillId="0" borderId="0" xfId="41" applyNumberFormat="1" applyFont="1" applyFill="1" applyAlignment="1">
      <alignment horizontal="right" vertical="center"/>
    </xf>
    <xf numFmtId="167" fontId="35" fillId="0" borderId="0" xfId="41" applyNumberFormat="1" applyFont="1" applyFill="1" applyAlignment="1">
      <alignment horizontal="right"/>
    </xf>
    <xf numFmtId="167" fontId="27" fillId="0" borderId="0" xfId="41" applyNumberFormat="1" applyFont="1" applyFill="1" applyAlignment="1">
      <alignment horizontal="right" vertical="center" wrapText="1"/>
    </xf>
    <xf numFmtId="167" fontId="27" fillId="0" borderId="0" xfId="41" applyNumberFormat="1" applyFont="1" applyFill="1" applyAlignment="1">
      <alignment vertical="center" wrapText="1"/>
    </xf>
    <xf numFmtId="167" fontId="27" fillId="0" borderId="0" xfId="41" applyNumberFormat="1" applyFont="1" applyFill="1" applyBorder="1" applyAlignment="1">
      <alignment vertical="center" wrapText="1"/>
    </xf>
    <xf numFmtId="167" fontId="48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167" fontId="27" fillId="0" borderId="0" xfId="41" applyNumberFormat="1" applyFill="1" applyBorder="1" applyAlignment="1">
      <alignment vertical="center" wrapText="1"/>
    </xf>
    <xf numFmtId="0" fontId="27" fillId="0" borderId="0" xfId="41" applyNumberFormat="1" applyFill="1" applyBorder="1" applyAlignment="1">
      <alignment horizontal="center" vertical="center" wrapText="1"/>
    </xf>
    <xf numFmtId="167" fontId="27" fillId="0" borderId="0" xfId="41" applyNumberFormat="1" applyFill="1" applyBorder="1" applyAlignment="1">
      <alignment horizontal="center" vertical="center" wrapText="1"/>
    </xf>
    <xf numFmtId="0" fontId="27" fillId="0" borderId="0" xfId="41" applyNumberFormat="1" applyFill="1" applyBorder="1" applyAlignment="1">
      <alignment vertical="center" wrapText="1"/>
    </xf>
    <xf numFmtId="0" fontId="27" fillId="0" borderId="0" xfId="41" applyNumberFormat="1" applyFont="1" applyFill="1" applyBorder="1" applyAlignment="1">
      <alignment horizontal="center" vertical="center" wrapText="1"/>
    </xf>
    <xf numFmtId="0" fontId="27" fillId="0" borderId="0" xfId="41" applyNumberFormat="1" applyFill="1" applyAlignment="1">
      <alignment horizontal="center" vertical="center" wrapText="1"/>
    </xf>
    <xf numFmtId="0" fontId="5" fillId="0" borderId="0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0" fontId="9" fillId="18" borderId="12" xfId="40" applyFont="1" applyFill="1" applyBorder="1" applyAlignment="1">
      <alignment horizontal="center" vertical="center" wrapText="1"/>
    </xf>
    <xf numFmtId="49" fontId="5" fillId="0" borderId="12" xfId="40" applyNumberFormat="1" applyFont="1" applyBorder="1" applyAlignment="1">
      <alignment horizontal="right"/>
    </xf>
    <xf numFmtId="165" fontId="8" fillId="0" borderId="12" xfId="27" applyNumberFormat="1" applyFont="1" applyFill="1" applyBorder="1" applyAlignment="1">
      <alignment horizontal="center"/>
    </xf>
    <xf numFmtId="0" fontId="10" fillId="0" borderId="44" xfId="40" applyFont="1" applyBorder="1" applyAlignment="1">
      <alignment horizontal="center" vertical="center" wrapText="1"/>
    </xf>
    <xf numFmtId="0" fontId="6" fillId="0" borderId="11" xfId="40" applyFont="1" applyBorder="1" applyAlignment="1">
      <alignment vertical="center"/>
    </xf>
    <xf numFmtId="169" fontId="6" fillId="0" borderId="11" xfId="26" applyNumberFormat="1" applyFont="1" applyBorder="1" applyAlignment="1">
      <alignment vertical="center"/>
    </xf>
    <xf numFmtId="169" fontId="50" fillId="0" borderId="11" xfId="26" applyNumberFormat="1" applyFont="1" applyBorder="1" applyAlignment="1">
      <alignment vertical="center"/>
    </xf>
    <xf numFmtId="0" fontId="9" fillId="18" borderId="20" xfId="40" applyFont="1" applyFill="1" applyBorder="1" applyAlignment="1">
      <alignment horizontal="center" vertical="center" wrapText="1"/>
    </xf>
    <xf numFmtId="165" fontId="5" fillId="0" borderId="20" xfId="40" applyNumberFormat="1" applyFont="1" applyBorder="1" applyAlignment="1">
      <alignment horizontal="center" vertical="center"/>
    </xf>
    <xf numFmtId="165" fontId="5" fillId="0" borderId="20" xfId="27" applyNumberFormat="1" applyFont="1" applyBorder="1" applyAlignment="1">
      <alignment horizontal="center"/>
    </xf>
    <xf numFmtId="165" fontId="7" fillId="0" borderId="20" xfId="27" applyNumberFormat="1" applyFont="1" applyBorder="1" applyAlignment="1">
      <alignment horizontal="center"/>
    </xf>
    <xf numFmtId="165" fontId="4" fillId="0" borderId="20" xfId="27" applyNumberFormat="1" applyFont="1" applyBorder="1" applyAlignment="1">
      <alignment horizontal="center"/>
    </xf>
    <xf numFmtId="165" fontId="5" fillId="18" borderId="20" xfId="27" applyNumberFormat="1" applyFont="1" applyFill="1" applyBorder="1" applyAlignment="1">
      <alignment horizontal="center"/>
    </xf>
    <xf numFmtId="165" fontId="8" fillId="0" borderId="20" xfId="27" applyNumberFormat="1" applyFont="1" applyBorder="1" applyAlignment="1">
      <alignment horizontal="center"/>
    </xf>
    <xf numFmtId="0" fontId="9" fillId="18" borderId="53" xfId="40" applyFont="1" applyFill="1" applyBorder="1" applyAlignment="1">
      <alignment horizontal="center" vertical="center" wrapText="1"/>
    </xf>
    <xf numFmtId="169" fontId="5" fillId="0" borderId="11" xfId="26" applyNumberFormat="1" applyFont="1" applyBorder="1" applyAlignment="1">
      <alignment horizontal="center" vertical="center"/>
    </xf>
    <xf numFmtId="169" fontId="6" fillId="0" borderId="19" xfId="26" applyNumberFormat="1" applyFont="1" applyBorder="1" applyAlignment="1">
      <alignment vertical="center"/>
    </xf>
    <xf numFmtId="165" fontId="5" fillId="0" borderId="19" xfId="40" applyNumberFormat="1" applyFont="1" applyBorder="1" applyAlignment="1">
      <alignment horizontal="center" vertical="center"/>
    </xf>
    <xf numFmtId="165" fontId="5" fillId="0" borderId="18" xfId="40" applyNumberFormat="1" applyFont="1" applyBorder="1" applyAlignment="1">
      <alignment horizontal="center" vertical="center"/>
    </xf>
    <xf numFmtId="165" fontId="5" fillId="0" borderId="19" xfId="27" applyNumberFormat="1" applyFont="1" applyBorder="1" applyAlignment="1">
      <alignment horizontal="center"/>
    </xf>
    <xf numFmtId="165" fontId="4" fillId="0" borderId="19" xfId="27" applyNumberFormat="1" applyFont="1" applyBorder="1" applyAlignment="1">
      <alignment horizontal="center"/>
    </xf>
    <xf numFmtId="165" fontId="4" fillId="0" borderId="54" xfId="27" applyNumberFormat="1" applyFont="1" applyBorder="1" applyAlignment="1">
      <alignment horizontal="center"/>
    </xf>
    <xf numFmtId="165" fontId="7" fillId="0" borderId="12" xfId="27" applyNumberFormat="1" applyFont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3" fontId="5" fillId="0" borderId="12" xfId="40" applyNumberFormat="1" applyFont="1" applyBorder="1" applyAlignment="1">
      <alignment horizontal="center" vertical="center"/>
    </xf>
    <xf numFmtId="3" fontId="5" fillId="0" borderId="20" xfId="27" applyNumberFormat="1" applyFont="1" applyBorder="1" applyAlignment="1">
      <alignment horizontal="center"/>
    </xf>
    <xf numFmtId="3" fontId="5" fillId="0" borderId="12" xfId="27" applyNumberFormat="1" applyFont="1" applyFill="1" applyBorder="1" applyAlignment="1">
      <alignment horizontal="center"/>
    </xf>
    <xf numFmtId="3" fontId="5" fillId="0" borderId="12" xfId="27" applyNumberFormat="1" applyFont="1" applyBorder="1" applyAlignment="1">
      <alignment horizontal="center"/>
    </xf>
    <xf numFmtId="3" fontId="7" fillId="0" borderId="19" xfId="27" applyNumberFormat="1" applyFont="1" applyBorder="1" applyAlignment="1">
      <alignment horizontal="center"/>
    </xf>
    <xf numFmtId="3" fontId="7" fillId="0" borderId="12" xfId="27" applyNumberFormat="1" applyFont="1" applyFill="1" applyBorder="1" applyAlignment="1">
      <alignment horizontal="center"/>
    </xf>
    <xf numFmtId="3" fontId="4" fillId="0" borderId="12" xfId="27" applyNumberFormat="1" applyFont="1" applyBorder="1" applyAlignment="1">
      <alignment horizontal="center"/>
    </xf>
    <xf numFmtId="3" fontId="5" fillId="0" borderId="19" xfId="27" applyNumberFormat="1" applyFont="1" applyBorder="1" applyAlignment="1">
      <alignment horizontal="center"/>
    </xf>
    <xf numFmtId="3" fontId="4" fillId="0" borderId="19" xfId="27" applyNumberFormat="1" applyFont="1" applyBorder="1" applyAlignment="1">
      <alignment horizontal="center"/>
    </xf>
    <xf numFmtId="3" fontId="7" fillId="0" borderId="12" xfId="27" applyNumberFormat="1" applyFont="1" applyBorder="1" applyAlignment="1">
      <alignment horizontal="center"/>
    </xf>
    <xf numFmtId="165" fontId="8" fillId="0" borderId="12" xfId="27" applyNumberFormat="1" applyFont="1" applyBorder="1" applyAlignment="1">
      <alignment horizontal="center"/>
    </xf>
    <xf numFmtId="165" fontId="4" fillId="0" borderId="54" xfId="40" applyNumberFormat="1" applyFont="1" applyBorder="1" applyAlignment="1">
      <alignment horizontal="center"/>
    </xf>
    <xf numFmtId="165" fontId="4" fillId="0" borderId="12" xfId="40" applyNumberFormat="1" applyFont="1" applyBorder="1" applyAlignment="1">
      <alignment horizontal="center"/>
    </xf>
    <xf numFmtId="0" fontId="56" fillId="0" borderId="0" xfId="0" applyFont="1"/>
    <xf numFmtId="167" fontId="49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0" fontId="11" fillId="0" borderId="12" xfId="0" applyFont="1" applyBorder="1" applyAlignment="1">
      <alignment horizontal="center"/>
    </xf>
    <xf numFmtId="165" fontId="4" fillId="0" borderId="18" xfId="27" applyNumberFormat="1" applyFont="1" applyBorder="1" applyAlignment="1">
      <alignment horizontal="center"/>
    </xf>
    <xf numFmtId="165" fontId="5" fillId="18" borderId="18" xfId="27" applyNumberFormat="1" applyFont="1" applyFill="1" applyBorder="1" applyAlignment="1">
      <alignment horizontal="center"/>
    </xf>
    <xf numFmtId="165" fontId="5" fillId="19" borderId="15" xfId="27" applyNumberFormat="1" applyFont="1" applyFill="1" applyBorder="1" applyAlignment="1">
      <alignment horizontal="center"/>
    </xf>
    <xf numFmtId="165" fontId="5" fillId="0" borderId="23" xfId="27" applyNumberFormat="1" applyFont="1" applyBorder="1" applyAlignment="1">
      <alignment horizontal="center"/>
    </xf>
    <xf numFmtId="165" fontId="5" fillId="19" borderId="20" xfId="27" applyNumberFormat="1" applyFont="1" applyFill="1" applyBorder="1" applyAlignment="1">
      <alignment horizontal="center"/>
    </xf>
    <xf numFmtId="165" fontId="4" fillId="0" borderId="11" xfId="27" applyNumberFormat="1" applyFont="1" applyBorder="1" applyAlignment="1">
      <alignment horizontal="center"/>
    </xf>
    <xf numFmtId="165" fontId="7" fillId="0" borderId="12" xfId="27" applyNumberFormat="1" applyFont="1" applyFill="1" applyBorder="1" applyAlignment="1">
      <alignment horizontal="center"/>
    </xf>
    <xf numFmtId="165" fontId="5" fillId="0" borderId="11" xfId="40" applyNumberFormat="1" applyFont="1" applyBorder="1" applyAlignment="1">
      <alignment horizontal="center" vertical="center"/>
    </xf>
    <xf numFmtId="165" fontId="5" fillId="0" borderId="11" xfId="27" applyNumberFormat="1" applyFont="1" applyBorder="1" applyAlignment="1">
      <alignment horizontal="center"/>
    </xf>
    <xf numFmtId="165" fontId="7" fillId="0" borderId="11" xfId="27" applyNumberFormat="1" applyFont="1" applyBorder="1" applyAlignment="1">
      <alignment horizontal="center"/>
    </xf>
    <xf numFmtId="165" fontId="7" fillId="0" borderId="18" xfId="27" applyNumberFormat="1" applyFont="1" applyBorder="1" applyAlignment="1">
      <alignment horizontal="center"/>
    </xf>
    <xf numFmtId="169" fontId="52" fillId="0" borderId="11" xfId="26" applyNumberFormat="1" applyFont="1" applyBorder="1" applyAlignment="1">
      <alignment vertical="center"/>
    </xf>
    <xf numFmtId="165" fontId="8" fillId="0" borderId="11" xfId="27" applyNumberFormat="1" applyFont="1" applyBorder="1" applyAlignment="1">
      <alignment horizontal="center"/>
    </xf>
    <xf numFmtId="165" fontId="5" fillId="0" borderId="20" xfId="27" applyNumberFormat="1" applyFont="1" applyFill="1" applyBorder="1" applyAlignment="1">
      <alignment horizontal="center"/>
    </xf>
    <xf numFmtId="3" fontId="58" fillId="0" borderId="20" xfId="27" applyNumberFormat="1" applyFont="1" applyBorder="1" applyAlignment="1">
      <alignment horizontal="center"/>
    </xf>
    <xf numFmtId="3" fontId="58" fillId="0" borderId="12" xfId="27" applyNumberFormat="1" applyFont="1" applyFill="1" applyBorder="1" applyAlignment="1">
      <alignment horizontal="center"/>
    </xf>
    <xf numFmtId="3" fontId="5" fillId="0" borderId="20" xfId="27" applyNumberFormat="1" applyFont="1" applyFill="1" applyBorder="1" applyAlignment="1">
      <alignment horizontal="center"/>
    </xf>
    <xf numFmtId="167" fontId="49" fillId="0" borderId="50" xfId="41" applyNumberFormat="1" applyFont="1" applyFill="1" applyBorder="1" applyAlignment="1" applyProtection="1">
      <alignment horizontal="left" vertical="center" wrapText="1" indent="1"/>
      <protection locked="0"/>
    </xf>
    <xf numFmtId="167" fontId="47" fillId="0" borderId="47" xfId="41" applyNumberFormat="1" applyFont="1" applyFill="1" applyBorder="1" applyAlignment="1" applyProtection="1">
      <alignment vertical="center" wrapText="1"/>
      <protection locked="0"/>
    </xf>
    <xf numFmtId="1" fontId="47" fillId="0" borderId="47" xfId="41" applyNumberFormat="1" applyFont="1" applyFill="1" applyBorder="1" applyAlignment="1" applyProtection="1">
      <alignment vertical="center" wrapText="1"/>
      <protection locked="0"/>
    </xf>
    <xf numFmtId="165" fontId="5" fillId="0" borderId="54" xfId="27" applyNumberFormat="1" applyFont="1" applyBorder="1" applyAlignment="1">
      <alignment horizontal="center"/>
    </xf>
    <xf numFmtId="165" fontId="8" fillId="0" borderId="11" xfId="27" applyNumberFormat="1" applyFont="1" applyFill="1" applyBorder="1" applyAlignment="1">
      <alignment horizontal="center"/>
    </xf>
    <xf numFmtId="0" fontId="7" fillId="0" borderId="0" xfId="40" applyFont="1" applyAlignment="1">
      <alignment horizontal="center" vertical="center"/>
    </xf>
    <xf numFmtId="0" fontId="5" fillId="0" borderId="12" xfId="40" applyFont="1" applyBorder="1" applyAlignment="1">
      <alignment horizontal="left" vertical="center"/>
    </xf>
    <xf numFmtId="0" fontId="4" fillId="0" borderId="0" xfId="40" applyFont="1" applyAlignment="1">
      <alignment horizontal="center"/>
    </xf>
    <xf numFmtId="0" fontId="7" fillId="0" borderId="0" xfId="40" applyFont="1" applyBorder="1" applyAlignment="1">
      <alignment horizontal="right"/>
    </xf>
    <xf numFmtId="0" fontId="5" fillId="0" borderId="18" xfId="40" applyFont="1" applyBorder="1" applyAlignment="1">
      <alignment horizontal="left"/>
    </xf>
    <xf numFmtId="0" fontId="10" fillId="0" borderId="44" xfId="4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65" fontId="11" fillId="0" borderId="18" xfId="0" applyNumberFormat="1" applyFont="1" applyFill="1" applyBorder="1" applyAlignment="1">
      <alignment horizontal="center"/>
    </xf>
    <xf numFmtId="165" fontId="11" fillId="0" borderId="19" xfId="0" applyNumberFormat="1" applyFont="1" applyFill="1" applyBorder="1" applyAlignment="1">
      <alignment horizontal="center"/>
    </xf>
    <xf numFmtId="165" fontId="11" fillId="0" borderId="2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65" fontId="11" fillId="0" borderId="18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1" xfId="0" applyBorder="1"/>
    <xf numFmtId="0" fontId="0" fillId="0" borderId="46" xfId="0" applyBorder="1" applyAlignment="1">
      <alignment horizontal="right"/>
    </xf>
    <xf numFmtId="169" fontId="0" fillId="0" borderId="45" xfId="26" applyNumberFormat="1" applyFont="1" applyBorder="1"/>
    <xf numFmtId="0" fontId="0" fillId="0" borderId="12" xfId="0" applyBorder="1" applyAlignment="1">
      <alignment horizontal="right"/>
    </xf>
    <xf numFmtId="169" fontId="0" fillId="0" borderId="11" xfId="26" applyNumberFormat="1" applyFont="1" applyBorder="1"/>
    <xf numFmtId="0" fontId="0" fillId="0" borderId="12" xfId="0" applyBorder="1" applyAlignment="1">
      <alignment horizontal="left"/>
    </xf>
    <xf numFmtId="16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4" xfId="0" applyBorder="1"/>
    <xf numFmtId="0" fontId="0" fillId="0" borderId="27" xfId="0" applyBorder="1" applyAlignment="1">
      <alignment horizontal="center"/>
    </xf>
    <xf numFmtId="0" fontId="6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52" xfId="0" applyBorder="1"/>
    <xf numFmtId="0" fontId="0" fillId="0" borderId="53" xfId="0" applyBorder="1"/>
    <xf numFmtId="169" fontId="0" fillId="0" borderId="12" xfId="26" applyNumberFormat="1" applyFont="1" applyBorder="1"/>
    <xf numFmtId="14" fontId="0" fillId="0" borderId="12" xfId="0" applyNumberFormat="1" applyBorder="1"/>
    <xf numFmtId="0" fontId="0" fillId="0" borderId="11" xfId="0" applyBorder="1"/>
    <xf numFmtId="169" fontId="0" fillId="0" borderId="24" xfId="26" applyNumberFormat="1" applyFont="1" applyBorder="1"/>
    <xf numFmtId="0" fontId="0" fillId="0" borderId="27" xfId="0" applyBorder="1"/>
    <xf numFmtId="169" fontId="0" fillId="0" borderId="0" xfId="26" applyNumberFormat="1" applyFont="1"/>
    <xf numFmtId="0" fontId="15" fillId="0" borderId="0" xfId="0" applyFont="1"/>
    <xf numFmtId="0" fontId="7" fillId="0" borderId="0" xfId="0" applyFont="1" applyAlignment="1">
      <alignment horizontal="center"/>
    </xf>
    <xf numFmtId="170" fontId="15" fillId="0" borderId="0" xfId="26" applyNumberFormat="1" applyFont="1"/>
    <xf numFmtId="0" fontId="15" fillId="0" borderId="44" xfId="0" applyFont="1" applyBorder="1"/>
    <xf numFmtId="0" fontId="15" fillId="0" borderId="52" xfId="0" applyFont="1" applyBorder="1"/>
    <xf numFmtId="170" fontId="15" fillId="0" borderId="53" xfId="26" applyNumberFormat="1" applyFont="1" applyBorder="1" applyAlignment="1">
      <alignment horizontal="center"/>
    </xf>
    <xf numFmtId="170" fontId="15" fillId="0" borderId="0" xfId="26" applyNumberFormat="1" applyFont="1" applyBorder="1"/>
    <xf numFmtId="169" fontId="0" fillId="0" borderId="20" xfId="26" applyNumberFormat="1" applyFont="1" applyBorder="1"/>
    <xf numFmtId="0" fontId="10" fillId="0" borderId="10" xfId="0" applyFont="1" applyBorder="1"/>
    <xf numFmtId="0" fontId="10" fillId="0" borderId="12" xfId="0" applyFont="1" applyBorder="1"/>
    <xf numFmtId="169" fontId="0" fillId="0" borderId="0" xfId="26" applyNumberFormat="1" applyFont="1" applyBorder="1"/>
    <xf numFmtId="169" fontId="56" fillId="0" borderId="11" xfId="26" applyNumberFormat="1" applyFont="1" applyBorder="1"/>
    <xf numFmtId="169" fontId="56" fillId="0" borderId="0" xfId="26" applyNumberFormat="1" applyFont="1" applyBorder="1"/>
    <xf numFmtId="169" fontId="56" fillId="0" borderId="20" xfId="26" applyNumberFormat="1" applyFont="1" applyBorder="1"/>
    <xf numFmtId="0" fontId="15" fillId="0" borderId="10" xfId="0" applyFont="1" applyBorder="1"/>
    <xf numFmtId="0" fontId="15" fillId="0" borderId="12" xfId="0" applyFont="1" applyBorder="1"/>
    <xf numFmtId="169" fontId="56" fillId="0" borderId="15" xfId="26" applyNumberFormat="1" applyFont="1" applyBorder="1"/>
    <xf numFmtId="169" fontId="0" fillId="0" borderId="23" xfId="26" applyNumberFormat="1" applyFont="1" applyBorder="1"/>
    <xf numFmtId="169" fontId="0" fillId="0" borderId="15" xfId="26" applyNumberFormat="1" applyFont="1" applyBorder="1"/>
    <xf numFmtId="0" fontId="10" fillId="0" borderId="12" xfId="0" applyFont="1" applyBorder="1" applyAlignment="1">
      <alignment wrapText="1"/>
    </xf>
    <xf numFmtId="0" fontId="10" fillId="0" borderId="51" xfId="0" applyFont="1" applyBorder="1"/>
    <xf numFmtId="0" fontId="10" fillId="0" borderId="24" xfId="0" applyFont="1" applyBorder="1" applyAlignment="1">
      <alignment wrapText="1"/>
    </xf>
    <xf numFmtId="169" fontId="56" fillId="0" borderId="27" xfId="26" applyNumberFormat="1" applyFont="1" applyBorder="1"/>
    <xf numFmtId="0" fontId="10" fillId="0" borderId="42" xfId="0" applyFont="1" applyBorder="1"/>
    <xf numFmtId="0" fontId="10" fillId="0" borderId="42" xfId="0" applyFont="1" applyBorder="1" applyAlignment="1">
      <alignment wrapText="1"/>
    </xf>
    <xf numFmtId="169" fontId="0" fillId="0" borderId="42" xfId="26" applyNumberFormat="1" applyFont="1" applyBorder="1"/>
    <xf numFmtId="169" fontId="0" fillId="0" borderId="16" xfId="26" applyNumberFormat="1" applyFont="1" applyBorder="1"/>
    <xf numFmtId="0" fontId="9" fillId="18" borderId="65" xfId="40" applyFont="1" applyFill="1" applyBorder="1" applyAlignment="1">
      <alignment horizontal="center" vertical="center" wrapText="1"/>
    </xf>
    <xf numFmtId="0" fontId="9" fillId="18" borderId="15" xfId="40" applyFont="1" applyFill="1" applyBorder="1" applyAlignment="1">
      <alignment horizontal="center" vertical="center" wrapText="1"/>
    </xf>
    <xf numFmtId="0" fontId="9" fillId="18" borderId="38" xfId="40" applyFont="1" applyFill="1" applyBorder="1" applyAlignment="1">
      <alignment horizontal="center" vertical="center" wrapText="1"/>
    </xf>
    <xf numFmtId="0" fontId="9" fillId="18" borderId="39" xfId="40" applyFont="1" applyFill="1" applyBorder="1" applyAlignment="1">
      <alignment horizontal="center" vertical="center" wrapText="1"/>
    </xf>
    <xf numFmtId="0" fontId="9" fillId="18" borderId="52" xfId="40" applyFont="1" applyFill="1" applyBorder="1" applyAlignment="1">
      <alignment horizontal="center" vertical="center" wrapText="1"/>
    </xf>
    <xf numFmtId="165" fontId="5" fillId="0" borderId="44" xfId="40" applyNumberFormat="1" applyFont="1" applyBorder="1" applyAlignment="1">
      <alignment horizontal="center" vertical="center"/>
    </xf>
    <xf numFmtId="165" fontId="5" fillId="0" borderId="52" xfId="40" applyNumberFormat="1" applyFont="1" applyBorder="1" applyAlignment="1">
      <alignment horizontal="center" vertical="center"/>
    </xf>
    <xf numFmtId="165" fontId="5" fillId="0" borderId="53" xfId="27" applyNumberFormat="1" applyFont="1" applyFill="1" applyBorder="1" applyAlignment="1">
      <alignment horizontal="center"/>
    </xf>
    <xf numFmtId="165" fontId="5" fillId="0" borderId="44" xfId="27" applyNumberFormat="1" applyFont="1" applyFill="1" applyBorder="1" applyAlignment="1">
      <alignment horizontal="center"/>
    </xf>
    <xf numFmtId="165" fontId="5" fillId="0" borderId="66" xfId="40" applyNumberFormat="1" applyFont="1" applyBorder="1" applyAlignment="1">
      <alignment horizontal="center" vertical="center"/>
    </xf>
    <xf numFmtId="165" fontId="5" fillId="0" borderId="10" xfId="40" applyNumberFormat="1" applyFont="1" applyBorder="1" applyAlignment="1">
      <alignment horizontal="center" vertical="center"/>
    </xf>
    <xf numFmtId="165" fontId="5" fillId="0" borderId="10" xfId="27" applyNumberFormat="1" applyFont="1" applyFill="1" applyBorder="1" applyAlignment="1">
      <alignment horizontal="center"/>
    </xf>
    <xf numFmtId="165" fontId="5" fillId="0" borderId="10" xfId="27" applyNumberFormat="1" applyFont="1" applyBorder="1" applyAlignment="1">
      <alignment horizontal="center"/>
    </xf>
    <xf numFmtId="165" fontId="5" fillId="0" borderId="36" xfId="27" applyNumberFormat="1" applyFont="1" applyFill="1" applyBorder="1" applyAlignment="1">
      <alignment horizontal="center"/>
    </xf>
    <xf numFmtId="165" fontId="5" fillId="0" borderId="63" xfId="27" applyNumberFormat="1" applyFont="1" applyFill="1" applyBorder="1" applyAlignment="1">
      <alignment horizontal="center"/>
    </xf>
    <xf numFmtId="0" fontId="0" fillId="0" borderId="18" xfId="0" applyBorder="1"/>
    <xf numFmtId="165" fontId="5" fillId="0" borderId="67" xfId="40" applyNumberFormat="1" applyFont="1" applyBorder="1" applyAlignment="1">
      <alignment horizontal="center" vertical="center"/>
    </xf>
    <xf numFmtId="165" fontId="5" fillId="0" borderId="49" xfId="27" applyNumberFormat="1" applyFont="1" applyFill="1" applyBorder="1" applyAlignment="1">
      <alignment horizontal="center"/>
    </xf>
    <xf numFmtId="165" fontId="7" fillId="0" borderId="10" xfId="27" applyNumberFormat="1" applyFont="1" applyBorder="1" applyAlignment="1">
      <alignment horizontal="center"/>
    </xf>
    <xf numFmtId="165" fontId="5" fillId="19" borderId="12" xfId="27" applyNumberFormat="1" applyFont="1" applyFill="1" applyBorder="1" applyAlignment="1">
      <alignment horizontal="center"/>
    </xf>
    <xf numFmtId="165" fontId="4" fillId="0" borderId="10" xfId="27" applyNumberFormat="1" applyFont="1" applyBorder="1" applyAlignment="1">
      <alignment horizontal="center"/>
    </xf>
    <xf numFmtId="165" fontId="5" fillId="18" borderId="10" xfId="27" applyNumberFormat="1" applyFont="1" applyFill="1" applyBorder="1" applyAlignment="1">
      <alignment horizontal="center"/>
    </xf>
    <xf numFmtId="0" fontId="5" fillId="0" borderId="18" xfId="0" applyFont="1" applyBorder="1"/>
    <xf numFmtId="165" fontId="8" fillId="0" borderId="10" xfId="27" applyNumberFormat="1" applyFont="1" applyBorder="1" applyAlignment="1">
      <alignment horizontal="center"/>
    </xf>
    <xf numFmtId="165" fontId="4" fillId="0" borderId="10" xfId="40" applyNumberFormat="1" applyFont="1" applyBorder="1" applyAlignment="1">
      <alignment horizontal="center"/>
    </xf>
    <xf numFmtId="0" fontId="4" fillId="0" borderId="26" xfId="40" applyFont="1" applyBorder="1" applyAlignment="1">
      <alignment vertical="center"/>
    </xf>
    <xf numFmtId="165" fontId="4" fillId="0" borderId="51" xfId="40" applyNumberFormat="1" applyFont="1" applyBorder="1" applyAlignment="1">
      <alignment horizontal="center"/>
    </xf>
    <xf numFmtId="0" fontId="61" fillId="0" borderId="0" xfId="0" applyFont="1"/>
    <xf numFmtId="0" fontId="59" fillId="0" borderId="0" xfId="0" applyFont="1" applyAlignment="1">
      <alignment horizontal="left"/>
    </xf>
    <xf numFmtId="167" fontId="37" fillId="0" borderId="12" xfId="41" applyNumberFormat="1" applyFont="1" applyFill="1" applyBorder="1" applyAlignment="1">
      <alignment horizontal="center" vertical="center" wrapText="1"/>
    </xf>
    <xf numFmtId="167" fontId="37" fillId="0" borderId="11" xfId="41" applyNumberFormat="1" applyFont="1" applyFill="1" applyBorder="1" applyAlignment="1">
      <alignment horizontal="center" vertical="center" wrapText="1"/>
    </xf>
    <xf numFmtId="167" fontId="48" fillId="0" borderId="12" xfId="41" applyNumberFormat="1" applyFont="1" applyFill="1" applyBorder="1" applyAlignment="1">
      <alignment horizontal="left" vertical="center" wrapText="1" indent="1"/>
    </xf>
    <xf numFmtId="167" fontId="38" fillId="0" borderId="12" xfId="41" applyNumberFormat="1" applyFont="1" applyFill="1" applyBorder="1" applyAlignment="1" applyProtection="1">
      <alignment horizontal="left" vertical="center" wrapText="1" indent="2"/>
    </xf>
    <xf numFmtId="169" fontId="38" fillId="0" borderId="12" xfId="26" applyNumberFormat="1" applyFont="1" applyFill="1" applyBorder="1" applyAlignment="1" applyProtection="1">
      <alignment vertical="center" wrapText="1"/>
    </xf>
    <xf numFmtId="169" fontId="38" fillId="0" borderId="11" xfId="26" applyNumberFormat="1" applyFont="1" applyFill="1" applyBorder="1" applyAlignment="1">
      <alignment vertical="center" wrapText="1"/>
    </xf>
    <xf numFmtId="167" fontId="38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38" fillId="0" borderId="11" xfId="41" applyNumberFormat="1" applyFont="1" applyFill="1" applyBorder="1" applyAlignment="1">
      <alignment vertical="center" wrapText="1"/>
    </xf>
    <xf numFmtId="167" fontId="37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39" fillId="0" borderId="12" xfId="41" applyNumberFormat="1" applyFont="1" applyFill="1" applyBorder="1" applyAlignment="1" applyProtection="1">
      <alignment horizontal="left" vertical="center" wrapText="1" indent="2"/>
    </xf>
    <xf numFmtId="167" fontId="38" fillId="0" borderId="12" xfId="41" applyNumberFormat="1" applyFont="1" applyFill="1" applyBorder="1" applyAlignment="1" applyProtection="1">
      <alignment vertical="center" wrapText="1"/>
    </xf>
    <xf numFmtId="167" fontId="48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40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39" fillId="18" borderId="24" xfId="41" applyNumberFormat="1" applyFont="1" applyFill="1" applyBorder="1" applyAlignment="1" applyProtection="1">
      <alignment horizontal="left" vertical="center" wrapText="1" indent="2"/>
    </xf>
    <xf numFmtId="167" fontId="38" fillId="0" borderId="24" xfId="41" applyNumberFormat="1" applyFont="1" applyFill="1" applyBorder="1" applyAlignment="1" applyProtection="1">
      <alignment vertical="center" wrapText="1"/>
    </xf>
    <xf numFmtId="167" fontId="38" fillId="0" borderId="27" xfId="41" applyNumberFormat="1" applyFont="1" applyFill="1" applyBorder="1" applyAlignment="1">
      <alignment vertical="center" wrapText="1"/>
    </xf>
    <xf numFmtId="0" fontId="6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169" fontId="11" fillId="0" borderId="0" xfId="0" applyNumberFormat="1" applyFont="1"/>
    <xf numFmtId="0" fontId="10" fillId="0" borderId="44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left" vertical="center"/>
    </xf>
    <xf numFmtId="0" fontId="5" fillId="0" borderId="12" xfId="4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5" fillId="0" borderId="12" xfId="40" applyFont="1" applyBorder="1" applyAlignment="1">
      <alignment horizontal="left"/>
    </xf>
    <xf numFmtId="0" fontId="11" fillId="0" borderId="18" xfId="0" quotePrefix="1" applyFont="1" applyBorder="1" applyAlignment="1">
      <alignment horizontal="center" vertical="center"/>
    </xf>
    <xf numFmtId="169" fontId="11" fillId="0" borderId="19" xfId="26" applyNumberFormat="1" applyFont="1" applyBorder="1" applyAlignment="1">
      <alignment horizontal="center"/>
    </xf>
    <xf numFmtId="0" fontId="0" fillId="0" borderId="18" xfId="0" applyBorder="1" applyAlignment="1">
      <alignment horizontal="right" vertical="center" wrapText="1"/>
    </xf>
    <xf numFmtId="169" fontId="0" fillId="0" borderId="0" xfId="0" applyNumberFormat="1"/>
    <xf numFmtId="167" fontId="2" fillId="0" borderId="0" xfId="41" applyNumberFormat="1" applyFont="1" applyFill="1" applyAlignment="1">
      <alignment vertical="center" wrapText="1"/>
    </xf>
    <xf numFmtId="167" fontId="62" fillId="0" borderId="0" xfId="41" applyNumberFormat="1" applyFont="1" applyFill="1" applyAlignment="1">
      <alignment vertical="center" wrapText="1"/>
    </xf>
    <xf numFmtId="167" fontId="64" fillId="0" borderId="34" xfId="41" applyNumberFormat="1" applyFont="1" applyFill="1" applyBorder="1" applyAlignment="1">
      <alignment horizontal="center" vertical="center" wrapText="1"/>
    </xf>
    <xf numFmtId="167" fontId="52" fillId="0" borderId="12" xfId="41" applyNumberFormat="1" applyFont="1" applyFill="1" applyBorder="1" applyAlignment="1" applyProtection="1">
      <alignment vertical="center" wrapText="1"/>
      <protection locked="0"/>
    </xf>
    <xf numFmtId="167" fontId="66" fillId="0" borderId="12" xfId="41" applyNumberFormat="1" applyFont="1" applyFill="1" applyBorder="1" applyAlignment="1" applyProtection="1">
      <alignment vertical="center" wrapText="1"/>
      <protection locked="0"/>
    </xf>
    <xf numFmtId="167" fontId="66" fillId="0" borderId="11" xfId="41" applyNumberFormat="1" applyFont="1" applyFill="1" applyBorder="1" applyAlignment="1" applyProtection="1">
      <alignment vertical="center" wrapText="1"/>
    </xf>
    <xf numFmtId="167" fontId="66" fillId="0" borderId="47" xfId="41" applyNumberFormat="1" applyFont="1" applyFill="1" applyBorder="1" applyAlignment="1" applyProtection="1">
      <alignment vertical="center" wrapText="1"/>
      <protection locked="0"/>
    </xf>
    <xf numFmtId="167" fontId="64" fillId="0" borderId="34" xfId="41" applyNumberFormat="1" applyFont="1" applyFill="1" applyBorder="1" applyAlignment="1">
      <alignment vertical="center" wrapText="1"/>
    </xf>
    <xf numFmtId="169" fontId="2" fillId="0" borderId="0" xfId="26" applyNumberFormat="1" applyFont="1" applyAlignment="1">
      <alignment vertical="center"/>
    </xf>
    <xf numFmtId="167" fontId="2" fillId="0" borderId="0" xfId="41" applyNumberFormat="1" applyFont="1" applyFill="1" applyAlignment="1">
      <alignment horizontal="right" vertical="center" wrapText="1"/>
    </xf>
    <xf numFmtId="167" fontId="63" fillId="0" borderId="0" xfId="41" applyNumberFormat="1" applyFont="1" applyFill="1" applyAlignment="1">
      <alignment horizontal="right" vertical="center" wrapText="1"/>
    </xf>
    <xf numFmtId="169" fontId="66" fillId="0" borderId="0" xfId="26" applyNumberFormat="1" applyFont="1" applyAlignment="1">
      <alignment vertical="center"/>
    </xf>
    <xf numFmtId="169" fontId="64" fillId="0" borderId="0" xfId="26" applyNumberFormat="1" applyFont="1" applyFill="1" applyBorder="1" applyAlignment="1">
      <alignment horizontal="center" vertical="center" wrapText="1"/>
    </xf>
    <xf numFmtId="169" fontId="2" fillId="20" borderId="0" xfId="26" applyNumberFormat="1" applyFont="1" applyFill="1" applyAlignment="1">
      <alignment vertical="center"/>
    </xf>
    <xf numFmtId="169" fontId="66" fillId="20" borderId="0" xfId="26" applyNumberFormat="1" applyFont="1" applyFill="1" applyAlignment="1">
      <alignment vertical="center"/>
    </xf>
    <xf numFmtId="169" fontId="0" fillId="20" borderId="0" xfId="26" applyNumberFormat="1" applyFont="1" applyFill="1"/>
    <xf numFmtId="167" fontId="66" fillId="0" borderId="0" xfId="41" applyNumberFormat="1" applyFont="1" applyFill="1" applyBorder="1" applyAlignment="1" applyProtection="1">
      <alignment vertical="center" wrapText="1"/>
    </xf>
    <xf numFmtId="167" fontId="53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66" fillId="0" borderId="12" xfId="41" applyNumberFormat="1" applyFont="1" applyFill="1" applyBorder="1" applyAlignment="1" applyProtection="1">
      <alignment vertical="center" wrapText="1"/>
    </xf>
    <xf numFmtId="169" fontId="64" fillId="0" borderId="31" xfId="26" applyNumberFormat="1" applyFont="1" applyFill="1" applyBorder="1" applyAlignment="1">
      <alignment horizontal="center" vertical="center" wrapText="1"/>
    </xf>
    <xf numFmtId="169" fontId="2" fillId="0" borderId="11" xfId="26" applyNumberFormat="1" applyFont="1" applyBorder="1" applyAlignment="1">
      <alignment vertical="center"/>
    </xf>
    <xf numFmtId="167" fontId="52" fillId="0" borderId="11" xfId="41" applyNumberFormat="1" applyFont="1" applyFill="1" applyBorder="1" applyAlignment="1" applyProtection="1">
      <alignment vertical="center" wrapText="1"/>
      <protection locked="0"/>
    </xf>
    <xf numFmtId="169" fontId="66" fillId="0" borderId="11" xfId="26" applyNumberFormat="1" applyFont="1" applyBorder="1" applyAlignment="1">
      <alignment vertical="center"/>
    </xf>
    <xf numFmtId="167" fontId="64" fillId="0" borderId="24" xfId="41" applyNumberFormat="1" applyFont="1" applyFill="1" applyBorder="1" applyAlignment="1">
      <alignment vertical="center" wrapText="1"/>
    </xf>
    <xf numFmtId="169" fontId="2" fillId="0" borderId="27" xfId="26" applyNumberFormat="1" applyFont="1" applyBorder="1" applyAlignment="1">
      <alignment vertical="center"/>
    </xf>
    <xf numFmtId="167" fontId="46" fillId="0" borderId="49" xfId="41" applyNumberFormat="1" applyFont="1" applyFill="1" applyBorder="1" applyAlignment="1" applyProtection="1">
      <alignment horizontal="left" vertical="center" wrapText="1" indent="1"/>
      <protection locked="0"/>
    </xf>
    <xf numFmtId="167" fontId="47" fillId="0" borderId="46" xfId="41" applyNumberFormat="1" applyFont="1" applyFill="1" applyBorder="1" applyAlignment="1" applyProtection="1">
      <alignment vertical="center" wrapText="1"/>
      <protection locked="0"/>
    </xf>
    <xf numFmtId="1" fontId="47" fillId="0" borderId="46" xfId="41" applyNumberFormat="1" applyFont="1" applyFill="1" applyBorder="1" applyAlignment="1" applyProtection="1">
      <alignment vertical="center" wrapText="1"/>
      <protection locked="0"/>
    </xf>
    <xf numFmtId="167" fontId="52" fillId="0" borderId="46" xfId="41" applyNumberFormat="1" applyFont="1" applyFill="1" applyBorder="1" applyAlignment="1" applyProtection="1">
      <alignment vertical="center" wrapText="1"/>
      <protection locked="0"/>
    </xf>
    <xf numFmtId="169" fontId="52" fillId="0" borderId="45" xfId="26" applyNumberFormat="1" applyFont="1" applyBorder="1" applyAlignment="1">
      <alignment vertical="center"/>
    </xf>
    <xf numFmtId="167" fontId="37" fillId="0" borderId="33" xfId="41" applyNumberFormat="1" applyFont="1" applyFill="1" applyBorder="1" applyAlignment="1" applyProtection="1">
      <alignment horizontal="center" vertical="center" wrapText="1"/>
    </xf>
    <xf numFmtId="167" fontId="37" fillId="0" borderId="34" xfId="41" applyNumberFormat="1" applyFont="1" applyFill="1" applyBorder="1" applyAlignment="1" applyProtection="1">
      <alignment horizontal="center" vertical="center" wrapText="1"/>
    </xf>
    <xf numFmtId="167" fontId="65" fillId="0" borderId="34" xfId="41" applyNumberFormat="1" applyFont="1" applyFill="1" applyBorder="1" applyAlignment="1" applyProtection="1">
      <alignment horizontal="center" vertical="center" wrapText="1"/>
    </xf>
    <xf numFmtId="167" fontId="65" fillId="0" borderId="31" xfId="41" applyNumberFormat="1" applyFont="1" applyFill="1" applyBorder="1" applyAlignment="1" applyProtection="1">
      <alignment horizontal="center" vertical="center" wrapText="1"/>
    </xf>
    <xf numFmtId="169" fontId="2" fillId="0" borderId="62" xfId="26" applyNumberFormat="1" applyFont="1" applyBorder="1" applyAlignment="1">
      <alignment vertical="center"/>
    </xf>
    <xf numFmtId="169" fontId="66" fillId="0" borderId="11" xfId="26" applyNumberFormat="1" applyFont="1" applyFill="1" applyBorder="1" applyAlignment="1" applyProtection="1">
      <alignment vertical="center" wrapText="1"/>
      <protection locked="0"/>
    </xf>
    <xf numFmtId="169" fontId="2" fillId="0" borderId="0" xfId="26" applyNumberFormat="1" applyFont="1" applyBorder="1" applyAlignment="1">
      <alignment vertical="center"/>
    </xf>
    <xf numFmtId="169" fontId="52" fillId="0" borderId="0" xfId="26" applyNumberFormat="1" applyFont="1" applyBorder="1" applyAlignment="1">
      <alignment vertical="center"/>
    </xf>
    <xf numFmtId="169" fontId="66" fillId="0" borderId="0" xfId="26" applyNumberFormat="1" applyFont="1" applyFill="1" applyBorder="1" applyAlignment="1" applyProtection="1">
      <alignment vertical="center" wrapText="1"/>
      <protection locked="0"/>
    </xf>
    <xf numFmtId="167" fontId="52" fillId="0" borderId="0" xfId="41" applyNumberFormat="1" applyFont="1" applyFill="1" applyBorder="1" applyAlignment="1" applyProtection="1">
      <alignment vertical="center" wrapText="1"/>
      <protection locked="0"/>
    </xf>
    <xf numFmtId="169" fontId="66" fillId="0" borderId="0" xfId="26" applyNumberFormat="1" applyFont="1" applyBorder="1" applyAlignment="1">
      <alignment vertical="center"/>
    </xf>
    <xf numFmtId="165" fontId="5" fillId="20" borderId="10" xfId="27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Border="1" applyAlignment="1">
      <alignment horizontal="center"/>
    </xf>
    <xf numFmtId="165" fontId="11" fillId="19" borderId="12" xfId="0" applyNumberFormat="1" applyFont="1" applyFill="1" applyBorder="1" applyAlignment="1">
      <alignment horizontal="center"/>
    </xf>
    <xf numFmtId="169" fontId="13" fillId="0" borderId="0" xfId="26" applyNumberFormat="1" applyFont="1" applyAlignment="1">
      <alignment horizontal="center"/>
    </xf>
    <xf numFmtId="169" fontId="13" fillId="0" borderId="0" xfId="26" applyNumberFormat="1" applyFont="1" applyAlignment="1">
      <alignment horizontal="center" vertical="center"/>
    </xf>
    <xf numFmtId="169" fontId="11" fillId="0" borderId="0" xfId="26" applyNumberFormat="1" applyFont="1"/>
    <xf numFmtId="169" fontId="11" fillId="0" borderId="19" xfId="26" applyNumberFormat="1" applyFont="1" applyFill="1" applyBorder="1" applyAlignment="1">
      <alignment horizontal="center"/>
    </xf>
    <xf numFmtId="0" fontId="11" fillId="0" borderId="71" xfId="0" applyFont="1" applyBorder="1" applyAlignment="1">
      <alignment horizontal="centerContinuous"/>
    </xf>
    <xf numFmtId="169" fontId="11" fillId="0" borderId="11" xfId="26" applyNumberFormat="1" applyFont="1" applyBorder="1" applyAlignment="1">
      <alignment horizontal="center"/>
    </xf>
    <xf numFmtId="169" fontId="11" fillId="0" borderId="11" xfId="26" applyNumberFormat="1" applyFont="1" applyFill="1" applyBorder="1" applyAlignment="1">
      <alignment horizontal="center"/>
    </xf>
    <xf numFmtId="0" fontId="11" fillId="0" borderId="26" xfId="0" quotePrefix="1" applyFont="1" applyBorder="1" applyAlignment="1">
      <alignment horizontal="center" vertical="center"/>
    </xf>
    <xf numFmtId="165" fontId="12" fillId="19" borderId="24" xfId="0" applyNumberFormat="1" applyFont="1" applyFill="1" applyBorder="1" applyAlignment="1">
      <alignment horizontal="center"/>
    </xf>
    <xf numFmtId="165" fontId="12" fillId="19" borderId="27" xfId="0" applyNumberFormat="1" applyFont="1" applyFill="1" applyBorder="1" applyAlignment="1">
      <alignment horizontal="center"/>
    </xf>
    <xf numFmtId="165" fontId="5" fillId="0" borderId="21" xfId="27" applyNumberFormat="1" applyFont="1" applyFill="1" applyBorder="1" applyAlignment="1">
      <alignment horizontal="center"/>
    </xf>
    <xf numFmtId="165" fontId="5" fillId="0" borderId="18" xfId="27" applyNumberFormat="1" applyFont="1" applyFill="1" applyBorder="1" applyAlignment="1">
      <alignment horizontal="center"/>
    </xf>
    <xf numFmtId="165" fontId="5" fillId="0" borderId="18" xfId="27" applyNumberFormat="1" applyFont="1" applyBorder="1" applyAlignment="1">
      <alignment horizontal="center"/>
    </xf>
    <xf numFmtId="165" fontId="7" fillId="0" borderId="18" xfId="27" applyNumberFormat="1" applyFont="1" applyFill="1" applyBorder="1" applyAlignment="1">
      <alignment horizontal="center"/>
    </xf>
    <xf numFmtId="165" fontId="8" fillId="0" borderId="18" xfId="27" applyNumberFormat="1" applyFont="1" applyFill="1" applyBorder="1" applyAlignment="1">
      <alignment horizontal="center"/>
    </xf>
    <xf numFmtId="165" fontId="4" fillId="0" borderId="18" xfId="27" applyNumberFormat="1" applyFont="1" applyFill="1" applyBorder="1" applyAlignment="1">
      <alignment horizontal="center"/>
    </xf>
    <xf numFmtId="165" fontId="4" fillId="0" borderId="18" xfId="40" applyNumberFormat="1" applyFont="1" applyBorder="1" applyAlignment="1">
      <alignment horizontal="center"/>
    </xf>
    <xf numFmtId="169" fontId="6" fillId="0" borderId="18" xfId="26" applyNumberFormat="1" applyFont="1" applyBorder="1" applyAlignment="1">
      <alignment vertical="center"/>
    </xf>
    <xf numFmtId="169" fontId="5" fillId="0" borderId="18" xfId="26" applyNumberFormat="1" applyFont="1" applyBorder="1" applyAlignment="1">
      <alignment horizontal="center" vertical="center"/>
    </xf>
    <xf numFmtId="3" fontId="6" fillId="0" borderId="18" xfId="26" applyNumberFormat="1" applyFont="1" applyBorder="1" applyAlignment="1">
      <alignment vertical="center"/>
    </xf>
    <xf numFmtId="3" fontId="52" fillId="0" borderId="19" xfId="26" applyNumberFormat="1" applyFont="1" applyBorder="1" applyAlignment="1">
      <alignment vertical="center"/>
    </xf>
    <xf numFmtId="169" fontId="50" fillId="0" borderId="19" xfId="26" applyNumberFormat="1" applyFont="1" applyBorder="1" applyAlignment="1">
      <alignment vertical="center"/>
    </xf>
    <xf numFmtId="169" fontId="50" fillId="0" borderId="18" xfId="26" applyNumberFormat="1" applyFont="1" applyBorder="1" applyAlignment="1">
      <alignment vertical="center"/>
    </xf>
    <xf numFmtId="165" fontId="4" fillId="0" borderId="26" xfId="40" applyNumberFormat="1" applyFont="1" applyBorder="1" applyAlignment="1">
      <alignment horizontal="center"/>
    </xf>
    <xf numFmtId="3" fontId="5" fillId="0" borderId="10" xfId="40" applyNumberFormat="1" applyFont="1" applyBorder="1" applyAlignment="1">
      <alignment horizontal="center" vertical="center"/>
    </xf>
    <xf numFmtId="3" fontId="5" fillId="0" borderId="10" xfId="27" applyNumberFormat="1" applyFont="1" applyBorder="1" applyAlignment="1">
      <alignment horizontal="center"/>
    </xf>
    <xf numFmtId="3" fontId="4" fillId="0" borderId="10" xfId="27" applyNumberFormat="1" applyFont="1" applyBorder="1" applyAlignment="1">
      <alignment horizontal="center"/>
    </xf>
    <xf numFmtId="3" fontId="5" fillId="0" borderId="18" xfId="27" applyNumberFormat="1" applyFont="1" applyBorder="1" applyAlignment="1">
      <alignment horizontal="center"/>
    </xf>
    <xf numFmtId="3" fontId="4" fillId="0" borderId="18" xfId="27" applyNumberFormat="1" applyFont="1" applyBorder="1" applyAlignment="1">
      <alignment horizontal="center"/>
    </xf>
    <xf numFmtId="165" fontId="4" fillId="0" borderId="10" xfId="27" applyNumberFormat="1" applyFont="1" applyFill="1" applyBorder="1" applyAlignment="1">
      <alignment horizontal="center"/>
    </xf>
    <xf numFmtId="165" fontId="5" fillId="19" borderId="11" xfId="27" applyNumberFormat="1" applyFont="1" applyFill="1" applyBorder="1" applyAlignment="1">
      <alignment horizontal="center"/>
    </xf>
    <xf numFmtId="0" fontId="52" fillId="0" borderId="11" xfId="40" applyFont="1" applyBorder="1" applyAlignment="1">
      <alignment vertical="center"/>
    </xf>
    <xf numFmtId="0" fontId="50" fillId="0" borderId="11" xfId="40" applyFont="1" applyBorder="1" applyAlignment="1">
      <alignment vertical="center"/>
    </xf>
    <xf numFmtId="0" fontId="50" fillId="0" borderId="27" xfId="40" applyFont="1" applyBorder="1" applyAlignment="1">
      <alignment vertical="center"/>
    </xf>
    <xf numFmtId="165" fontId="5" fillId="0" borderId="23" xfId="40" applyNumberFormat="1" applyFont="1" applyBorder="1" applyAlignment="1">
      <alignment horizontal="center" vertical="center"/>
    </xf>
    <xf numFmtId="165" fontId="5" fillId="0" borderId="46" xfId="27" applyNumberFormat="1" applyFont="1" applyFill="1" applyBorder="1" applyAlignment="1">
      <alignment horizontal="center"/>
    </xf>
    <xf numFmtId="169" fontId="6" fillId="0" borderId="21" xfId="26" applyNumberFormat="1" applyFont="1" applyBorder="1" applyAlignment="1">
      <alignment vertical="center"/>
    </xf>
    <xf numFmtId="165" fontId="5" fillId="0" borderId="46" xfId="40" applyNumberFormat="1" applyFont="1" applyBorder="1" applyAlignment="1">
      <alignment horizontal="center" vertical="center"/>
    </xf>
    <xf numFmtId="0" fontId="6" fillId="0" borderId="45" xfId="40" applyFont="1" applyBorder="1" applyAlignment="1">
      <alignment vertical="center"/>
    </xf>
    <xf numFmtId="169" fontId="0" fillId="0" borderId="20" xfId="26" applyNumberFormat="1" applyFont="1" applyBorder="1" applyAlignment="1">
      <alignment horizontal="center" vertical="center"/>
    </xf>
    <xf numFmtId="170" fontId="15" fillId="0" borderId="0" xfId="26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61" fillId="0" borderId="0" xfId="26" applyNumberFormat="1" applyFont="1"/>
    <xf numFmtId="169" fontId="59" fillId="0" borderId="0" xfId="26" applyNumberFormat="1" applyFont="1" applyAlignment="1">
      <alignment horizontal="left"/>
    </xf>
    <xf numFmtId="169" fontId="0" fillId="0" borderId="12" xfId="26" applyNumberFormat="1" applyFont="1" applyBorder="1" applyAlignment="1">
      <alignment horizontal="center"/>
    </xf>
    <xf numFmtId="0" fontId="6" fillId="0" borderId="53" xfId="40" applyFont="1" applyBorder="1" applyAlignment="1">
      <alignment horizontal="center" vertical="center" wrapText="1"/>
    </xf>
    <xf numFmtId="0" fontId="6" fillId="0" borderId="39" xfId="40" applyFont="1" applyBorder="1" applyAlignment="1">
      <alignment horizontal="center" vertical="center" wrapText="1"/>
    </xf>
    <xf numFmtId="0" fontId="9" fillId="0" borderId="68" xfId="4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5" xfId="0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75" xfId="0" applyBorder="1" applyAlignment="1">
      <alignment horizontal="center"/>
    </xf>
    <xf numFmtId="0" fontId="9" fillId="0" borderId="52" xfId="40" applyFont="1" applyBorder="1" applyAlignment="1">
      <alignment horizontal="center" vertical="center" wrapText="1"/>
    </xf>
    <xf numFmtId="0" fontId="9" fillId="0" borderId="38" xfId="40" applyFont="1" applyBorder="1" applyAlignment="1">
      <alignment horizontal="center" vertical="center" wrapText="1"/>
    </xf>
    <xf numFmtId="0" fontId="2" fillId="0" borderId="52" xfId="40" applyFont="1" applyBorder="1" applyAlignment="1">
      <alignment horizontal="center" vertical="center" wrapText="1"/>
    </xf>
    <xf numFmtId="0" fontId="2" fillId="0" borderId="38" xfId="40" applyFont="1" applyBorder="1" applyAlignment="1">
      <alignment horizontal="center" vertical="center" wrapText="1"/>
    </xf>
    <xf numFmtId="0" fontId="2" fillId="0" borderId="53" xfId="40" applyFont="1" applyBorder="1" applyAlignment="1">
      <alignment horizontal="center" vertical="center" wrapText="1"/>
    </xf>
    <xf numFmtId="0" fontId="2" fillId="0" borderId="39" xfId="40" applyFont="1" applyBorder="1" applyAlignment="1">
      <alignment horizontal="center" vertical="center" wrapText="1"/>
    </xf>
    <xf numFmtId="0" fontId="6" fillId="0" borderId="52" xfId="40" applyFont="1" applyBorder="1" applyAlignment="1">
      <alignment horizontal="center" vertical="center" wrapText="1"/>
    </xf>
    <xf numFmtId="0" fontId="6" fillId="0" borderId="38" xfId="40" applyFont="1" applyBorder="1" applyAlignment="1">
      <alignment horizontal="center" vertical="center" wrapText="1"/>
    </xf>
    <xf numFmtId="0" fontId="5" fillId="0" borderId="18" xfId="40" applyFont="1" applyBorder="1" applyAlignment="1">
      <alignment horizontal="left"/>
    </xf>
    <xf numFmtId="0" fontId="0" fillId="0" borderId="20" xfId="0" applyBorder="1" applyAlignment="1">
      <alignment horizontal="left"/>
    </xf>
    <xf numFmtId="0" fontId="10" fillId="0" borderId="44" xfId="40" applyFont="1" applyBorder="1" applyAlignment="1">
      <alignment horizontal="center" vertical="center" wrapText="1"/>
    </xf>
    <xf numFmtId="0" fontId="10" fillId="0" borderId="10" xfId="40" applyFont="1" applyBorder="1" applyAlignment="1">
      <alignment horizontal="center" vertical="center" wrapText="1"/>
    </xf>
    <xf numFmtId="0" fontId="10" fillId="0" borderId="36" xfId="40" applyFont="1" applyBorder="1" applyAlignment="1">
      <alignment horizontal="center" vertical="center" wrapText="1"/>
    </xf>
    <xf numFmtId="0" fontId="7" fillId="0" borderId="52" xfId="40" applyFont="1" applyBorder="1" applyAlignment="1">
      <alignment horizontal="center" vertical="center"/>
    </xf>
    <xf numFmtId="0" fontId="7" fillId="0" borderId="12" xfId="40" applyFont="1" applyBorder="1" applyAlignment="1">
      <alignment horizontal="center" vertical="center"/>
    </xf>
    <xf numFmtId="0" fontId="7" fillId="0" borderId="38" xfId="40" applyFont="1" applyBorder="1" applyAlignment="1">
      <alignment horizontal="center" vertical="center"/>
    </xf>
    <xf numFmtId="0" fontId="7" fillId="0" borderId="13" xfId="40" applyFont="1" applyBorder="1" applyAlignment="1">
      <alignment horizontal="center" vertical="center"/>
    </xf>
    <xf numFmtId="0" fontId="5" fillId="0" borderId="12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left" vertical="center"/>
    </xf>
    <xf numFmtId="0" fontId="5" fillId="0" borderId="12" xfId="4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5" fillId="0" borderId="12" xfId="40" applyFont="1" applyBorder="1" applyAlignment="1">
      <alignment horizontal="right" vertical="center"/>
    </xf>
    <xf numFmtId="0" fontId="7" fillId="0" borderId="12" xfId="40" applyFont="1" applyBorder="1" applyAlignment="1">
      <alignment horizontal="left"/>
    </xf>
    <xf numFmtId="0" fontId="4" fillId="0" borderId="0" xfId="4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40" applyFont="1" applyBorder="1" applyAlignment="1">
      <alignment horizontal="right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horizontal="center"/>
    </xf>
    <xf numFmtId="0" fontId="5" fillId="0" borderId="18" xfId="40" applyFont="1" applyBorder="1" applyAlignment="1">
      <alignment horizontal="right" wrapText="1"/>
    </xf>
    <xf numFmtId="0" fontId="5" fillId="0" borderId="20" xfId="40" applyFont="1" applyBorder="1" applyAlignment="1">
      <alignment horizontal="right" wrapText="1"/>
    </xf>
    <xf numFmtId="0" fontId="4" fillId="0" borderId="12" xfId="40" applyFont="1" applyBorder="1" applyAlignment="1">
      <alignment horizontal="left"/>
    </xf>
    <xf numFmtId="0" fontId="5" fillId="18" borderId="12" xfId="40" applyFont="1" applyFill="1" applyBorder="1" applyAlignment="1">
      <alignment horizontal="center"/>
    </xf>
    <xf numFmtId="0" fontId="5" fillId="0" borderId="12" xfId="40" applyFont="1" applyBorder="1" applyAlignment="1">
      <alignment horizontal="left"/>
    </xf>
    <xf numFmtId="0" fontId="57" fillId="0" borderId="12" xfId="40" applyFont="1" applyBorder="1" applyAlignment="1">
      <alignment horizontal="left" wrapText="1"/>
    </xf>
    <xf numFmtId="0" fontId="7" fillId="0" borderId="12" xfId="40" applyFont="1" applyBorder="1" applyAlignment="1">
      <alignment horizontal="center"/>
    </xf>
    <xf numFmtId="0" fontId="4" fillId="0" borderId="12" xfId="40" applyFont="1" applyBorder="1" applyAlignment="1">
      <alignment horizontal="left" wrapText="1"/>
    </xf>
    <xf numFmtId="0" fontId="5" fillId="0" borderId="12" xfId="4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1" fillId="0" borderId="70" xfId="0" applyFont="1" applyBorder="1" applyAlignment="1">
      <alignment horizontal="center" vertical="center"/>
    </xf>
    <xf numFmtId="0" fontId="0" fillId="0" borderId="46" xfId="0" applyBorder="1" applyAlignment="1"/>
    <xf numFmtId="0" fontId="11" fillId="0" borderId="5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69" fontId="11" fillId="0" borderId="70" xfId="26" applyNumberFormat="1" applyFont="1" applyBorder="1" applyAlignment="1">
      <alignment horizontal="center" vertical="center"/>
    </xf>
    <xf numFmtId="169" fontId="0" fillId="0" borderId="46" xfId="26" applyNumberFormat="1" applyFont="1" applyBorder="1" applyAlignment="1"/>
    <xf numFmtId="169" fontId="11" fillId="0" borderId="65" xfId="26" applyNumberFormat="1" applyFont="1" applyBorder="1" applyAlignment="1">
      <alignment horizontal="center" vertical="center" wrapText="1"/>
    </xf>
    <xf numFmtId="169" fontId="0" fillId="0" borderId="45" xfId="26" applyNumberFormat="1" applyFont="1" applyBorder="1" applyAlignment="1"/>
    <xf numFmtId="0" fontId="11" fillId="0" borderId="6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6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67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2" fillId="0" borderId="72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169" fontId="11" fillId="0" borderId="18" xfId="26" applyNumberFormat="1" applyFont="1" applyBorder="1" applyAlignment="1">
      <alignment horizontal="center"/>
    </xf>
    <xf numFmtId="169" fontId="11" fillId="0" borderId="19" xfId="26" applyNumberFormat="1" applyFont="1" applyBorder="1" applyAlignment="1">
      <alignment horizontal="center"/>
    </xf>
    <xf numFmtId="169" fontId="11" fillId="0" borderId="20" xfId="26" applyNumberFormat="1" applyFont="1" applyBorder="1" applyAlignment="1">
      <alignment horizontal="center"/>
    </xf>
    <xf numFmtId="169" fontId="12" fillId="0" borderId="18" xfId="26" applyNumberFormat="1" applyFont="1" applyBorder="1" applyAlignment="1">
      <alignment horizontal="center"/>
    </xf>
    <xf numFmtId="169" fontId="12" fillId="0" borderId="19" xfId="26" applyNumberFormat="1" applyFont="1" applyBorder="1" applyAlignment="1">
      <alignment horizontal="center"/>
    </xf>
    <xf numFmtId="169" fontId="12" fillId="0" borderId="20" xfId="26" applyNumberFormat="1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0" fontId="11" fillId="0" borderId="18" xfId="0" applyFont="1" applyFill="1" applyBorder="1" applyAlignment="1">
      <alignment horizontal="left" vertical="center" wrapText="1"/>
    </xf>
    <xf numFmtId="165" fontId="11" fillId="0" borderId="18" xfId="0" applyNumberFormat="1" applyFont="1" applyFill="1" applyBorder="1" applyAlignment="1">
      <alignment horizontal="center"/>
    </xf>
    <xf numFmtId="165" fontId="11" fillId="0" borderId="19" xfId="0" applyNumberFormat="1" applyFont="1" applyFill="1" applyBorder="1" applyAlignment="1">
      <alignment horizontal="center"/>
    </xf>
    <xf numFmtId="165" fontId="11" fillId="0" borderId="20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 wrapText="1"/>
    </xf>
    <xf numFmtId="0" fontId="11" fillId="18" borderId="18" xfId="0" applyFont="1" applyFill="1" applyBorder="1" applyAlignment="1">
      <alignment horizontal="left" vertical="center" wrapText="1"/>
    </xf>
    <xf numFmtId="0" fontId="11" fillId="18" borderId="19" xfId="0" applyFont="1" applyFill="1" applyBorder="1" applyAlignment="1">
      <alignment horizontal="left" vertical="center" wrapText="1"/>
    </xf>
    <xf numFmtId="0" fontId="11" fillId="18" borderId="20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165" fontId="12" fillId="0" borderId="18" xfId="0" applyNumberFormat="1" applyFont="1" applyBorder="1" applyAlignment="1">
      <alignment horizontal="center"/>
    </xf>
    <xf numFmtId="165" fontId="12" fillId="0" borderId="19" xfId="0" applyNumberFormat="1" applyFont="1" applyBorder="1" applyAlignment="1">
      <alignment horizontal="center"/>
    </xf>
    <xf numFmtId="165" fontId="12" fillId="0" borderId="20" xfId="0" applyNumberFormat="1" applyFont="1" applyBorder="1" applyAlignment="1">
      <alignment horizontal="center"/>
    </xf>
    <xf numFmtId="165" fontId="11" fillId="18" borderId="18" xfId="0" applyNumberFormat="1" applyFont="1" applyFill="1" applyBorder="1" applyAlignment="1">
      <alignment horizontal="center"/>
    </xf>
    <xf numFmtId="165" fontId="11" fillId="18" borderId="19" xfId="0" applyNumberFormat="1" applyFont="1" applyFill="1" applyBorder="1" applyAlignment="1">
      <alignment horizontal="center"/>
    </xf>
    <xf numFmtId="165" fontId="11" fillId="18" borderId="20" xfId="0" applyNumberFormat="1" applyFont="1" applyFill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67" fontId="54" fillId="0" borderId="0" xfId="41" applyNumberFormat="1" applyFont="1" applyFill="1" applyAlignment="1">
      <alignment horizontal="center" vertical="center" wrapText="1"/>
    </xf>
    <xf numFmtId="167" fontId="54" fillId="0" borderId="0" xfId="41" applyNumberFormat="1" applyFont="1" applyFill="1" applyAlignment="1">
      <alignment vertical="center" wrapText="1"/>
    </xf>
    <xf numFmtId="0" fontId="44" fillId="0" borderId="56" xfId="41" applyFont="1" applyFill="1" applyBorder="1" applyAlignment="1">
      <alignment horizontal="justify" vertical="center" wrapText="1"/>
    </xf>
    <xf numFmtId="0" fontId="53" fillId="0" borderId="0" xfId="41" applyFont="1" applyFill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167" fontId="36" fillId="0" borderId="57" xfId="41" applyNumberFormat="1" applyFont="1" applyFill="1" applyBorder="1" applyAlignment="1">
      <alignment horizontal="center" vertical="center"/>
    </xf>
    <xf numFmtId="167" fontId="36" fillId="0" borderId="58" xfId="41" applyNumberFormat="1" applyFont="1" applyFill="1" applyBorder="1" applyAlignment="1">
      <alignment horizontal="center" vertical="center"/>
    </xf>
    <xf numFmtId="167" fontId="36" fillId="0" borderId="59" xfId="41" applyNumberFormat="1" applyFont="1" applyFill="1" applyBorder="1" applyAlignment="1">
      <alignment horizontal="center" vertical="center"/>
    </xf>
    <xf numFmtId="167" fontId="36" fillId="0" borderId="60" xfId="41" applyNumberFormat="1" applyFont="1" applyFill="1" applyBorder="1" applyAlignment="1">
      <alignment horizontal="center" vertical="center"/>
    </xf>
    <xf numFmtId="167" fontId="36" fillId="0" borderId="61" xfId="41" applyNumberFormat="1" applyFont="1" applyFill="1" applyBorder="1" applyAlignment="1">
      <alignment horizontal="center" vertical="center"/>
    </xf>
    <xf numFmtId="167" fontId="36" fillId="0" borderId="28" xfId="41" applyNumberFormat="1" applyFont="1" applyFill="1" applyBorder="1" applyAlignment="1">
      <alignment horizontal="left" vertical="center" wrapText="1" indent="2"/>
    </xf>
    <xf numFmtId="167" fontId="36" fillId="0" borderId="62" xfId="41" applyNumberFormat="1" applyFont="1" applyFill="1" applyBorder="1" applyAlignment="1">
      <alignment horizontal="left" vertical="center" wrapText="1" indent="2"/>
    </xf>
    <xf numFmtId="0" fontId="55" fillId="0" borderId="0" xfId="0" applyFont="1" applyAlignment="1">
      <alignment horizontal="center" vertical="center" wrapText="1"/>
    </xf>
    <xf numFmtId="167" fontId="36" fillId="0" borderId="60" xfId="41" applyNumberFormat="1" applyFont="1" applyFill="1" applyBorder="1" applyAlignment="1">
      <alignment horizontal="center" vertical="center" wrapText="1"/>
    </xf>
    <xf numFmtId="167" fontId="36" fillId="0" borderId="61" xfId="41" applyNumberFormat="1" applyFont="1" applyFill="1" applyBorder="1" applyAlignment="1">
      <alignment horizontal="center" vertical="center" wrapText="1"/>
    </xf>
    <xf numFmtId="0" fontId="4" fillId="0" borderId="18" xfId="40" applyFont="1" applyBorder="1" applyAlignment="1">
      <alignment horizontal="left"/>
    </xf>
    <xf numFmtId="0" fontId="7" fillId="0" borderId="18" xfId="40" applyFont="1" applyBorder="1" applyAlignment="1">
      <alignment horizontal="left"/>
    </xf>
    <xf numFmtId="0" fontId="5" fillId="0" borderId="18" xfId="40" applyFont="1" applyBorder="1" applyAlignment="1">
      <alignment horizontal="left" wrapText="1"/>
    </xf>
    <xf numFmtId="0" fontId="4" fillId="0" borderId="18" xfId="40" applyFont="1" applyBorder="1" applyAlignment="1">
      <alignment horizontal="left" wrapText="1"/>
    </xf>
    <xf numFmtId="0" fontId="5" fillId="18" borderId="18" xfId="40" applyFont="1" applyFill="1" applyBorder="1" applyAlignment="1">
      <alignment horizontal="center"/>
    </xf>
    <xf numFmtId="0" fontId="7" fillId="0" borderId="18" xfId="40" applyFont="1" applyBorder="1" applyAlignment="1">
      <alignment horizontal="center"/>
    </xf>
    <xf numFmtId="0" fontId="5" fillId="0" borderId="18" xfId="40" applyFont="1" applyBorder="1" applyAlignment="1">
      <alignment horizontal="left" vertical="center" wrapText="1"/>
    </xf>
    <xf numFmtId="0" fontId="57" fillId="0" borderId="18" xfId="40" applyFont="1" applyBorder="1" applyAlignment="1">
      <alignment horizontal="left" wrapText="1"/>
    </xf>
    <xf numFmtId="0" fontId="9" fillId="0" borderId="12" xfId="40" applyFont="1" applyBorder="1" applyAlignment="1">
      <alignment horizontal="center" vertical="center" wrapText="1"/>
    </xf>
    <xf numFmtId="0" fontId="0" fillId="0" borderId="18" xfId="0" applyBorder="1" applyAlignment="1">
      <alignment horizontal="right" vertical="center" wrapText="1"/>
    </xf>
    <xf numFmtId="0" fontId="5" fillId="0" borderId="18" xfId="40" applyFont="1" applyBorder="1" applyAlignment="1">
      <alignment horizontal="left" vertical="center"/>
    </xf>
    <xf numFmtId="0" fontId="5" fillId="0" borderId="18" xfId="40" applyFont="1" applyBorder="1" applyAlignment="1">
      <alignment horizontal="right" vertical="center"/>
    </xf>
    <xf numFmtId="0" fontId="5" fillId="0" borderId="12" xfId="40" applyFont="1" applyBorder="1" applyAlignment="1">
      <alignment horizontal="right" wrapText="1"/>
    </xf>
    <xf numFmtId="0" fontId="5" fillId="0" borderId="18" xfId="40" applyFont="1" applyBorder="1" applyAlignment="1">
      <alignment horizontal="right" vertical="center" wrapText="1"/>
    </xf>
    <xf numFmtId="0" fontId="9" fillId="0" borderId="55" xfId="40" applyFont="1" applyBorder="1" applyAlignment="1">
      <alignment horizontal="center" vertical="center" wrapText="1"/>
    </xf>
    <xf numFmtId="0" fontId="2" fillId="0" borderId="12" xfId="40" applyFont="1" applyBorder="1" applyAlignment="1">
      <alignment horizontal="center" vertical="center" wrapText="1"/>
    </xf>
    <xf numFmtId="0" fontId="2" fillId="0" borderId="11" xfId="40" applyFont="1" applyBorder="1" applyAlignment="1">
      <alignment horizontal="center" vertical="center" wrapText="1"/>
    </xf>
    <xf numFmtId="0" fontId="7" fillId="0" borderId="64" xfId="40" applyFont="1" applyBorder="1" applyAlignment="1">
      <alignment horizontal="center" vertical="center"/>
    </xf>
    <xf numFmtId="0" fontId="7" fillId="0" borderId="18" xfId="40" applyFont="1" applyBorder="1" applyAlignment="1">
      <alignment horizontal="center" vertical="center"/>
    </xf>
    <xf numFmtId="0" fontId="9" fillId="0" borderId="44" xfId="40" applyFont="1" applyBorder="1" applyAlignment="1">
      <alignment horizontal="center" vertical="center" wrapText="1"/>
    </xf>
    <xf numFmtId="0" fontId="9" fillId="0" borderId="51" xfId="40" applyFont="1" applyBorder="1" applyAlignment="1">
      <alignment horizontal="center" vertical="center" wrapText="1"/>
    </xf>
    <xf numFmtId="0" fontId="6" fillId="0" borderId="24" xfId="40" applyFont="1" applyBorder="1" applyAlignment="1">
      <alignment horizontal="center" vertical="center" wrapText="1"/>
    </xf>
    <xf numFmtId="0" fontId="6" fillId="0" borderId="27" xfId="40" applyFont="1" applyBorder="1" applyAlignment="1">
      <alignment horizontal="center" vertical="center" wrapText="1"/>
    </xf>
    <xf numFmtId="167" fontId="36" fillId="0" borderId="52" xfId="41" applyNumberFormat="1" applyFont="1" applyFill="1" applyBorder="1" applyAlignment="1">
      <alignment horizontal="center" vertical="center" wrapText="1"/>
    </xf>
    <xf numFmtId="167" fontId="36" fillId="0" borderId="12" xfId="41" applyNumberFormat="1" applyFont="1" applyFill="1" applyBorder="1" applyAlignment="1">
      <alignment horizontal="center" vertical="center" wrapText="1"/>
    </xf>
    <xf numFmtId="167" fontId="36" fillId="0" borderId="65" xfId="41" applyNumberFormat="1" applyFont="1" applyFill="1" applyBorder="1" applyAlignment="1">
      <alignment horizontal="center" vertical="center" wrapText="1"/>
    </xf>
    <xf numFmtId="167" fontId="36" fillId="0" borderId="45" xfId="41" applyNumberFormat="1" applyFont="1" applyFill="1" applyBorder="1" applyAlignment="1">
      <alignment horizontal="center" vertical="center" wrapText="1"/>
    </xf>
    <xf numFmtId="167" fontId="36" fillId="0" borderId="51" xfId="41" applyNumberFormat="1" applyFont="1" applyFill="1" applyBorder="1" applyAlignment="1">
      <alignment horizontal="left" vertical="center" wrapText="1" indent="2"/>
    </xf>
    <xf numFmtId="167" fontId="36" fillId="0" borderId="24" xfId="41" applyNumberFormat="1" applyFont="1" applyFill="1" applyBorder="1" applyAlignment="1">
      <alignment horizontal="left" vertical="center" wrapText="1" indent="2"/>
    </xf>
    <xf numFmtId="167" fontId="36" fillId="0" borderId="44" xfId="41" applyNumberFormat="1" applyFont="1" applyFill="1" applyBorder="1" applyAlignment="1">
      <alignment horizontal="center" vertical="center" wrapText="1"/>
    </xf>
    <xf numFmtId="167" fontId="36" fillId="0" borderId="10" xfId="41" applyNumberFormat="1" applyFont="1" applyFill="1" applyBorder="1" applyAlignment="1">
      <alignment horizontal="center" vertical="center" wrapText="1"/>
    </xf>
    <xf numFmtId="167" fontId="36" fillId="0" borderId="52" xfId="41" applyNumberFormat="1" applyFont="1" applyFill="1" applyBorder="1" applyAlignment="1">
      <alignment horizontal="center" vertical="center"/>
    </xf>
    <xf numFmtId="167" fontId="36" fillId="0" borderId="12" xfId="41" applyNumberFormat="1" applyFont="1" applyFill="1" applyBorder="1" applyAlignment="1">
      <alignment horizontal="center" vertical="center"/>
    </xf>
    <xf numFmtId="0" fontId="6" fillId="0" borderId="11" xfId="40" applyFont="1" applyBorder="1" applyAlignment="1">
      <alignment horizontal="center" vertical="center" wrapText="1"/>
    </xf>
    <xf numFmtId="0" fontId="6" fillId="0" borderId="12" xfId="40" applyFont="1" applyBorder="1" applyAlignment="1">
      <alignment horizontal="center" vertical="center" wrapText="1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/>
    <cellStyle name="Normál_KVIREND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view="pageBreakPreview" zoomScale="88" zoomScaleNormal="100" zoomScaleSheetLayoutView="88" workbookViewId="0">
      <selection activeCell="C25" sqref="C25"/>
    </sheetView>
  </sheetViews>
  <sheetFormatPr defaultRowHeight="12.75" x14ac:dyDescent="0.2"/>
  <cols>
    <col min="1" max="1" width="7.42578125" customWidth="1"/>
    <col min="2" max="2" width="54" customWidth="1"/>
    <col min="3" max="3" width="15.7109375" customWidth="1"/>
    <col min="4" max="4" width="2.140625" customWidth="1"/>
    <col min="5" max="5" width="6" customWidth="1"/>
    <col min="6" max="6" width="56.85546875" customWidth="1"/>
    <col min="7" max="7" width="16" customWidth="1"/>
    <col min="8" max="8" width="15.7109375" customWidth="1"/>
  </cols>
  <sheetData>
    <row r="2" spans="1:7" ht="15.75" x14ac:dyDescent="0.25">
      <c r="B2" s="231" t="s">
        <v>266</v>
      </c>
      <c r="C2" s="231"/>
      <c r="F2" s="231" t="s">
        <v>266</v>
      </c>
      <c r="G2" s="231"/>
    </row>
    <row r="3" spans="1:7" ht="15.75" x14ac:dyDescent="0.25">
      <c r="B3" s="231" t="s">
        <v>240</v>
      </c>
      <c r="C3" s="231"/>
      <c r="F3" s="231" t="s">
        <v>190</v>
      </c>
      <c r="G3" s="231"/>
    </row>
    <row r="4" spans="1:7" x14ac:dyDescent="0.2">
      <c r="B4" s="222" t="s">
        <v>241</v>
      </c>
      <c r="F4" s="222" t="s">
        <v>241</v>
      </c>
    </row>
    <row r="6" spans="1:7" ht="13.5" thickBot="1" x14ac:dyDescent="0.25"/>
    <row r="7" spans="1:7" ht="13.5" thickBot="1" x14ac:dyDescent="0.25">
      <c r="A7" s="232" t="s">
        <v>242</v>
      </c>
      <c r="B7" s="233" t="s">
        <v>142</v>
      </c>
      <c r="C7" s="234" t="s">
        <v>243</v>
      </c>
      <c r="E7" s="232" t="s">
        <v>242</v>
      </c>
      <c r="F7" s="233" t="s">
        <v>142</v>
      </c>
      <c r="G7" s="234" t="s">
        <v>243</v>
      </c>
    </row>
    <row r="8" spans="1:7" x14ac:dyDescent="0.2">
      <c r="A8" s="118" t="s">
        <v>8</v>
      </c>
      <c r="B8" s="235" t="s">
        <v>244</v>
      </c>
      <c r="C8" s="236">
        <f>+G8+C38+G38</f>
        <v>269320536</v>
      </c>
      <c r="E8" s="118" t="s">
        <v>8</v>
      </c>
      <c r="F8" s="235" t="s">
        <v>244</v>
      </c>
      <c r="G8" s="236">
        <v>268140676</v>
      </c>
    </row>
    <row r="9" spans="1:7" x14ac:dyDescent="0.2">
      <c r="A9" s="119" t="s">
        <v>17</v>
      </c>
      <c r="B9" s="237" t="s">
        <v>245</v>
      </c>
      <c r="C9" s="238">
        <f>+G9+C39+G39</f>
        <v>238894932</v>
      </c>
      <c r="E9" s="119" t="s">
        <v>17</v>
      </c>
      <c r="F9" s="237" t="s">
        <v>245</v>
      </c>
      <c r="G9" s="238">
        <v>138466666</v>
      </c>
    </row>
    <row r="10" spans="1:7" x14ac:dyDescent="0.2">
      <c r="A10" s="119" t="s">
        <v>18</v>
      </c>
      <c r="B10" s="113" t="s">
        <v>246</v>
      </c>
      <c r="C10" s="238">
        <f>+C8-C9</f>
        <v>30425604</v>
      </c>
      <c r="E10" s="119" t="s">
        <v>18</v>
      </c>
      <c r="F10" s="113" t="s">
        <v>246</v>
      </c>
      <c r="G10" s="238">
        <f>+G8-G9</f>
        <v>129674010</v>
      </c>
    </row>
    <row r="11" spans="1:7" x14ac:dyDescent="0.2">
      <c r="A11" s="119" t="s">
        <v>19</v>
      </c>
      <c r="B11" s="237" t="s">
        <v>247</v>
      </c>
      <c r="C11" s="238">
        <f>+G11+C41+G41</f>
        <v>145020548</v>
      </c>
      <c r="E11" s="119" t="s">
        <v>19</v>
      </c>
      <c r="F11" s="237" t="s">
        <v>247</v>
      </c>
      <c r="G11" s="238">
        <v>43364931</v>
      </c>
    </row>
    <row r="12" spans="1:7" x14ac:dyDescent="0.2">
      <c r="A12" s="119" t="s">
        <v>21</v>
      </c>
      <c r="B12" s="237" t="s">
        <v>248</v>
      </c>
      <c r="C12" s="238">
        <f>+G12+C42+G42</f>
        <v>105980817</v>
      </c>
      <c r="E12" s="119" t="s">
        <v>21</v>
      </c>
      <c r="F12" s="237" t="s">
        <v>248</v>
      </c>
      <c r="G12" s="238">
        <v>105980817</v>
      </c>
    </row>
    <row r="13" spans="1:7" x14ac:dyDescent="0.2">
      <c r="A13" s="119" t="s">
        <v>22</v>
      </c>
      <c r="B13" s="239" t="s">
        <v>249</v>
      </c>
      <c r="C13" s="238">
        <f>+C11-C12</f>
        <v>39039731</v>
      </c>
      <c r="E13" s="119" t="s">
        <v>22</v>
      </c>
      <c r="F13" s="239" t="s">
        <v>249</v>
      </c>
      <c r="G13" s="238">
        <f>+G11-G12</f>
        <v>-62615886</v>
      </c>
    </row>
    <row r="14" spans="1:7" x14ac:dyDescent="0.2">
      <c r="A14" s="119" t="s">
        <v>23</v>
      </c>
      <c r="B14" s="239" t="s">
        <v>250</v>
      </c>
      <c r="C14" s="238">
        <f>+C10+C13</f>
        <v>69465335</v>
      </c>
      <c r="E14" s="119" t="s">
        <v>23</v>
      </c>
      <c r="F14" s="239" t="s">
        <v>250</v>
      </c>
      <c r="G14" s="238">
        <f>G10+G13</f>
        <v>67058124</v>
      </c>
    </row>
    <row r="15" spans="1:7" x14ac:dyDescent="0.2">
      <c r="A15" s="119" t="s">
        <v>25</v>
      </c>
      <c r="B15" s="237" t="s">
        <v>251</v>
      </c>
      <c r="C15" s="238"/>
      <c r="E15" s="119" t="s">
        <v>25</v>
      </c>
      <c r="F15" s="237" t="s">
        <v>251</v>
      </c>
      <c r="G15" s="238"/>
    </row>
    <row r="16" spans="1:7" x14ac:dyDescent="0.2">
      <c r="A16" s="119" t="s">
        <v>26</v>
      </c>
      <c r="B16" s="237" t="s">
        <v>252</v>
      </c>
      <c r="C16" s="238"/>
      <c r="E16" s="119" t="s">
        <v>26</v>
      </c>
      <c r="F16" s="237" t="s">
        <v>252</v>
      </c>
      <c r="G16" s="238"/>
    </row>
    <row r="17" spans="1:7" x14ac:dyDescent="0.2">
      <c r="A17" s="119" t="s">
        <v>9</v>
      </c>
      <c r="B17" s="113" t="s">
        <v>253</v>
      </c>
      <c r="C17" s="238"/>
      <c r="E17" s="119" t="s">
        <v>9</v>
      </c>
      <c r="F17" s="113" t="s">
        <v>253</v>
      </c>
      <c r="G17" s="238"/>
    </row>
    <row r="18" spans="1:7" x14ac:dyDescent="0.2">
      <c r="A18" s="119" t="s">
        <v>29</v>
      </c>
      <c r="B18" s="237" t="s">
        <v>254</v>
      </c>
      <c r="C18" s="238"/>
      <c r="E18" s="119" t="s">
        <v>29</v>
      </c>
      <c r="F18" s="237" t="s">
        <v>254</v>
      </c>
      <c r="G18" s="238"/>
    </row>
    <row r="19" spans="1:7" x14ac:dyDescent="0.2">
      <c r="A19" s="119" t="s">
        <v>31</v>
      </c>
      <c r="B19" s="237" t="s">
        <v>255</v>
      </c>
      <c r="C19" s="238"/>
      <c r="E19" s="119" t="s">
        <v>31</v>
      </c>
      <c r="F19" s="237" t="s">
        <v>255</v>
      </c>
      <c r="G19" s="238"/>
    </row>
    <row r="20" spans="1:7" x14ac:dyDescent="0.2">
      <c r="A20" s="119" t="s">
        <v>83</v>
      </c>
      <c r="B20" s="239" t="s">
        <v>256</v>
      </c>
      <c r="C20" s="238"/>
      <c r="E20" s="119" t="s">
        <v>83</v>
      </c>
      <c r="F20" s="239" t="s">
        <v>256</v>
      </c>
      <c r="G20" s="238"/>
    </row>
    <row r="21" spans="1:7" x14ac:dyDescent="0.2">
      <c r="A21" s="119" t="s">
        <v>85</v>
      </c>
      <c r="B21" s="239" t="s">
        <v>257</v>
      </c>
      <c r="C21" s="238"/>
      <c r="E21" s="119" t="s">
        <v>85</v>
      </c>
      <c r="F21" s="239" t="s">
        <v>257</v>
      </c>
      <c r="G21" s="238"/>
    </row>
    <row r="22" spans="1:7" x14ac:dyDescent="0.2">
      <c r="A22" s="119" t="s">
        <v>87</v>
      </c>
      <c r="B22" s="239" t="s">
        <v>258</v>
      </c>
      <c r="C22" s="238">
        <f>+G22+C52+G52</f>
        <v>0</v>
      </c>
      <c r="E22" s="119" t="s">
        <v>87</v>
      </c>
      <c r="F22" s="239" t="s">
        <v>258</v>
      </c>
      <c r="G22" s="238"/>
    </row>
    <row r="23" spans="1:7" x14ac:dyDescent="0.2">
      <c r="A23" s="119" t="s">
        <v>89</v>
      </c>
      <c r="B23" s="113" t="s">
        <v>259</v>
      </c>
      <c r="C23" s="238">
        <f>+C14+C22</f>
        <v>69465335</v>
      </c>
      <c r="E23" s="119" t="s">
        <v>89</v>
      </c>
      <c r="F23" s="113" t="s">
        <v>259</v>
      </c>
      <c r="G23" s="238">
        <f>+G14+G22</f>
        <v>67058124</v>
      </c>
    </row>
    <row r="24" spans="1:7" x14ac:dyDescent="0.2">
      <c r="A24" s="119" t="s">
        <v>91</v>
      </c>
      <c r="B24" s="113" t="s">
        <v>260</v>
      </c>
      <c r="C24" s="238">
        <f>G24+C54+G54</f>
        <v>14410682</v>
      </c>
      <c r="E24" s="119" t="s">
        <v>91</v>
      </c>
      <c r="F24" s="113" t="s">
        <v>260</v>
      </c>
      <c r="G24" s="238">
        <v>12003471</v>
      </c>
    </row>
    <row r="25" spans="1:7" x14ac:dyDescent="0.2">
      <c r="A25" s="119" t="s">
        <v>93</v>
      </c>
      <c r="B25" s="113" t="s">
        <v>261</v>
      </c>
      <c r="C25" s="238">
        <f>C23-C24</f>
        <v>55054653</v>
      </c>
      <c r="E25" s="119" t="s">
        <v>93</v>
      </c>
      <c r="F25" s="113" t="s">
        <v>261</v>
      </c>
      <c r="G25" s="240">
        <f>G23-G24</f>
        <v>55054653</v>
      </c>
    </row>
    <row r="26" spans="1:7" x14ac:dyDescent="0.2">
      <c r="A26" s="119" t="s">
        <v>94</v>
      </c>
      <c r="B26" s="113" t="s">
        <v>262</v>
      </c>
      <c r="C26" s="241"/>
      <c r="E26" s="119" t="s">
        <v>94</v>
      </c>
      <c r="F26" s="113" t="s">
        <v>262</v>
      </c>
      <c r="G26" s="241"/>
    </row>
    <row r="27" spans="1:7" ht="13.5" thickBot="1" x14ac:dyDescent="0.25">
      <c r="A27" s="119" t="s">
        <v>263</v>
      </c>
      <c r="B27" s="242" t="s">
        <v>264</v>
      </c>
      <c r="C27" s="243"/>
      <c r="E27" s="119" t="s">
        <v>263</v>
      </c>
      <c r="F27" s="242" t="s">
        <v>264</v>
      </c>
      <c r="G27" s="243"/>
    </row>
    <row r="32" spans="1:7" ht="15.75" x14ac:dyDescent="0.25">
      <c r="B32" s="231" t="s">
        <v>266</v>
      </c>
      <c r="C32" s="231"/>
      <c r="F32" s="231" t="s">
        <v>266</v>
      </c>
      <c r="G32" s="231"/>
    </row>
    <row r="33" spans="1:7" ht="15.75" x14ac:dyDescent="0.25">
      <c r="B33" s="231" t="s">
        <v>189</v>
      </c>
      <c r="C33" s="231"/>
      <c r="F33" s="231" t="s">
        <v>265</v>
      </c>
      <c r="G33" s="231"/>
    </row>
    <row r="34" spans="1:7" x14ac:dyDescent="0.2">
      <c r="B34" s="222" t="s">
        <v>241</v>
      </c>
      <c r="F34" s="222" t="s">
        <v>241</v>
      </c>
    </row>
    <row r="36" spans="1:7" ht="13.5" thickBot="1" x14ac:dyDescent="0.25"/>
    <row r="37" spans="1:7" ht="13.5" thickBot="1" x14ac:dyDescent="0.25">
      <c r="A37" s="232" t="s">
        <v>242</v>
      </c>
      <c r="B37" s="233" t="s">
        <v>142</v>
      </c>
      <c r="C37" s="234" t="s">
        <v>243</v>
      </c>
      <c r="E37" s="232" t="s">
        <v>242</v>
      </c>
      <c r="F37" s="233" t="s">
        <v>142</v>
      </c>
      <c r="G37" s="234" t="s">
        <v>243</v>
      </c>
    </row>
    <row r="38" spans="1:7" x14ac:dyDescent="0.2">
      <c r="A38" s="118" t="s">
        <v>8</v>
      </c>
      <c r="B38" s="235" t="s">
        <v>244</v>
      </c>
      <c r="C38" s="236">
        <v>693871</v>
      </c>
      <c r="E38" s="118" t="s">
        <v>8</v>
      </c>
      <c r="F38" s="235" t="s">
        <v>244</v>
      </c>
      <c r="G38" s="236">
        <v>485989</v>
      </c>
    </row>
    <row r="39" spans="1:7" x14ac:dyDescent="0.2">
      <c r="A39" s="119" t="s">
        <v>17</v>
      </c>
      <c r="B39" s="237" t="s">
        <v>245</v>
      </c>
      <c r="C39" s="238">
        <v>36115222</v>
      </c>
      <c r="E39" s="119" t="s">
        <v>17</v>
      </c>
      <c r="F39" s="237" t="s">
        <v>245</v>
      </c>
      <c r="G39" s="238">
        <v>64313044</v>
      </c>
    </row>
    <row r="40" spans="1:7" x14ac:dyDescent="0.2">
      <c r="A40" s="119" t="s">
        <v>18</v>
      </c>
      <c r="B40" s="113" t="s">
        <v>246</v>
      </c>
      <c r="C40" s="238">
        <f>+C38-C39</f>
        <v>-35421351</v>
      </c>
      <c r="E40" s="119" t="s">
        <v>18</v>
      </c>
      <c r="F40" s="113" t="s">
        <v>246</v>
      </c>
      <c r="G40" s="238">
        <f>+G38-G39</f>
        <v>-63827055</v>
      </c>
    </row>
    <row r="41" spans="1:7" x14ac:dyDescent="0.2">
      <c r="A41" s="119" t="s">
        <v>19</v>
      </c>
      <c r="B41" s="237" t="s">
        <v>247</v>
      </c>
      <c r="C41" s="238">
        <v>36513437</v>
      </c>
      <c r="E41" s="119" t="s">
        <v>19</v>
      </c>
      <c r="F41" s="237" t="s">
        <v>247</v>
      </c>
      <c r="G41" s="238">
        <v>65142180</v>
      </c>
    </row>
    <row r="42" spans="1:7" x14ac:dyDescent="0.2">
      <c r="A42" s="119" t="s">
        <v>21</v>
      </c>
      <c r="B42" s="237" t="s">
        <v>248</v>
      </c>
      <c r="C42" s="238"/>
      <c r="E42" s="119" t="s">
        <v>21</v>
      </c>
      <c r="F42" s="237" t="s">
        <v>248</v>
      </c>
      <c r="G42" s="238"/>
    </row>
    <row r="43" spans="1:7" x14ac:dyDescent="0.2">
      <c r="A43" s="119" t="s">
        <v>22</v>
      </c>
      <c r="B43" s="239" t="s">
        <v>249</v>
      </c>
      <c r="C43" s="238">
        <f>+C41-C42</f>
        <v>36513437</v>
      </c>
      <c r="E43" s="119" t="s">
        <v>22</v>
      </c>
      <c r="F43" s="239" t="s">
        <v>249</v>
      </c>
      <c r="G43" s="238">
        <f>+G41-G42</f>
        <v>65142180</v>
      </c>
    </row>
    <row r="44" spans="1:7" x14ac:dyDescent="0.2">
      <c r="A44" s="119" t="s">
        <v>23</v>
      </c>
      <c r="B44" s="239" t="s">
        <v>250</v>
      </c>
      <c r="C44" s="238">
        <f>C40+C43</f>
        <v>1092086</v>
      </c>
      <c r="E44" s="119" t="s">
        <v>23</v>
      </c>
      <c r="F44" s="239" t="s">
        <v>250</v>
      </c>
      <c r="G44" s="238">
        <f>G40+G43</f>
        <v>1315125</v>
      </c>
    </row>
    <row r="45" spans="1:7" x14ac:dyDescent="0.2">
      <c r="A45" s="119" t="s">
        <v>25</v>
      </c>
      <c r="B45" s="237" t="s">
        <v>251</v>
      </c>
      <c r="C45" s="238"/>
      <c r="E45" s="119" t="s">
        <v>25</v>
      </c>
      <c r="F45" s="237" t="s">
        <v>251</v>
      </c>
      <c r="G45" s="238"/>
    </row>
    <row r="46" spans="1:7" x14ac:dyDescent="0.2">
      <c r="A46" s="119" t="s">
        <v>26</v>
      </c>
      <c r="B46" s="237" t="s">
        <v>252</v>
      </c>
      <c r="C46" s="238"/>
      <c r="E46" s="119" t="s">
        <v>26</v>
      </c>
      <c r="F46" s="237" t="s">
        <v>252</v>
      </c>
      <c r="G46" s="238"/>
    </row>
    <row r="47" spans="1:7" x14ac:dyDescent="0.2">
      <c r="A47" s="119" t="s">
        <v>9</v>
      </c>
      <c r="B47" s="113" t="s">
        <v>253</v>
      </c>
      <c r="C47" s="238"/>
      <c r="E47" s="119" t="s">
        <v>9</v>
      </c>
      <c r="F47" s="113" t="s">
        <v>253</v>
      </c>
      <c r="G47" s="238"/>
    </row>
    <row r="48" spans="1:7" x14ac:dyDescent="0.2">
      <c r="A48" s="119" t="s">
        <v>29</v>
      </c>
      <c r="B48" s="237" t="s">
        <v>254</v>
      </c>
      <c r="C48" s="238"/>
      <c r="E48" s="119" t="s">
        <v>29</v>
      </c>
      <c r="F48" s="237" t="s">
        <v>254</v>
      </c>
      <c r="G48" s="238"/>
    </row>
    <row r="49" spans="1:7" x14ac:dyDescent="0.2">
      <c r="A49" s="119" t="s">
        <v>31</v>
      </c>
      <c r="B49" s="237" t="s">
        <v>255</v>
      </c>
      <c r="C49" s="238"/>
      <c r="E49" s="119" t="s">
        <v>31</v>
      </c>
      <c r="F49" s="237" t="s">
        <v>255</v>
      </c>
      <c r="G49" s="238"/>
    </row>
    <row r="50" spans="1:7" x14ac:dyDescent="0.2">
      <c r="A50" s="119" t="s">
        <v>83</v>
      </c>
      <c r="B50" s="239" t="s">
        <v>256</v>
      </c>
      <c r="C50" s="238"/>
      <c r="E50" s="119" t="s">
        <v>83</v>
      </c>
      <c r="F50" s="239" t="s">
        <v>256</v>
      </c>
      <c r="G50" s="238"/>
    </row>
    <row r="51" spans="1:7" x14ac:dyDescent="0.2">
      <c r="A51" s="119" t="s">
        <v>85</v>
      </c>
      <c r="B51" s="239" t="s">
        <v>257</v>
      </c>
      <c r="C51" s="238"/>
      <c r="E51" s="119" t="s">
        <v>85</v>
      </c>
      <c r="F51" s="239" t="s">
        <v>257</v>
      </c>
      <c r="G51" s="238"/>
    </row>
    <row r="52" spans="1:7" x14ac:dyDescent="0.2">
      <c r="A52" s="119" t="s">
        <v>87</v>
      </c>
      <c r="B52" s="239" t="s">
        <v>258</v>
      </c>
      <c r="C52" s="238"/>
      <c r="E52" s="119" t="s">
        <v>87</v>
      </c>
      <c r="F52" s="239" t="s">
        <v>258</v>
      </c>
      <c r="G52" s="238"/>
    </row>
    <row r="53" spans="1:7" x14ac:dyDescent="0.2">
      <c r="A53" s="119" t="s">
        <v>89</v>
      </c>
      <c r="B53" s="113" t="s">
        <v>259</v>
      </c>
      <c r="C53" s="238">
        <v>1092086</v>
      </c>
      <c r="E53" s="119" t="s">
        <v>89</v>
      </c>
      <c r="F53" s="113" t="s">
        <v>259</v>
      </c>
      <c r="G53" s="238">
        <f>+G44+G52</f>
        <v>1315125</v>
      </c>
    </row>
    <row r="54" spans="1:7" x14ac:dyDescent="0.2">
      <c r="A54" s="119" t="s">
        <v>91</v>
      </c>
      <c r="B54" s="113" t="s">
        <v>260</v>
      </c>
      <c r="C54" s="238">
        <v>1092086</v>
      </c>
      <c r="E54" s="119" t="s">
        <v>91</v>
      </c>
      <c r="F54" s="113" t="s">
        <v>260</v>
      </c>
      <c r="G54" s="238">
        <v>1315125</v>
      </c>
    </row>
    <row r="55" spans="1:7" x14ac:dyDescent="0.2">
      <c r="A55" s="119" t="s">
        <v>93</v>
      </c>
      <c r="B55" s="113" t="s">
        <v>261</v>
      </c>
      <c r="C55" s="240"/>
      <c r="E55" s="119" t="s">
        <v>93</v>
      </c>
      <c r="F55" s="113" t="s">
        <v>261</v>
      </c>
      <c r="G55" s="241"/>
    </row>
    <row r="56" spans="1:7" x14ac:dyDescent="0.2">
      <c r="A56" s="119" t="s">
        <v>94</v>
      </c>
      <c r="B56" s="113" t="s">
        <v>262</v>
      </c>
      <c r="C56" s="241"/>
      <c r="E56" s="119" t="s">
        <v>94</v>
      </c>
      <c r="F56" s="113" t="s">
        <v>262</v>
      </c>
      <c r="G56" s="241"/>
    </row>
    <row r="57" spans="1:7" ht="13.5" thickBot="1" x14ac:dyDescent="0.25">
      <c r="A57" s="119" t="s">
        <v>263</v>
      </c>
      <c r="B57" s="242" t="s">
        <v>264</v>
      </c>
      <c r="C57" s="243"/>
      <c r="E57" s="119" t="s">
        <v>263</v>
      </c>
      <c r="F57" s="242" t="s">
        <v>264</v>
      </c>
      <c r="G57" s="243"/>
    </row>
  </sheetData>
  <phoneticPr fontId="16" type="noConversion"/>
  <pageMargins left="0.16" right="0.17" top="1" bottom="1" header="0.5" footer="0.5"/>
  <pageSetup paperSize="9" scale="6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view="pageBreakPreview" zoomScale="60" zoomScaleNormal="75" workbookViewId="0">
      <selection activeCell="H2" sqref="H2:K2"/>
    </sheetView>
  </sheetViews>
  <sheetFormatPr defaultRowHeight="12.75" x14ac:dyDescent="0.2"/>
  <cols>
    <col min="3" max="3" width="69.85546875" bestFit="1" customWidth="1"/>
    <col min="4" max="4" width="19.28515625" customWidth="1"/>
    <col min="5" max="5" width="17.42578125" customWidth="1"/>
    <col min="6" max="6" width="11" bestFit="1" customWidth="1"/>
    <col min="7" max="7" width="17.28515625" customWidth="1"/>
    <col min="8" max="8" width="18" bestFit="1" customWidth="1"/>
    <col min="10" max="10" width="17.7109375" bestFit="1" customWidth="1"/>
    <col min="11" max="11" width="18.42578125" customWidth="1"/>
  </cols>
  <sheetData>
    <row r="1" spans="1:12" ht="18.75" x14ac:dyDescent="0.3">
      <c r="A1" s="461" t="s">
        <v>357</v>
      </c>
      <c r="B1" s="462"/>
      <c r="C1" s="462"/>
      <c r="D1" s="462"/>
      <c r="E1" s="462"/>
      <c r="F1" s="462"/>
      <c r="G1" s="222"/>
      <c r="J1" s="222"/>
    </row>
    <row r="2" spans="1:12" ht="15.75" x14ac:dyDescent="0.2">
      <c r="A2" s="464"/>
      <c r="B2" s="464"/>
      <c r="C2" s="464"/>
      <c r="D2" s="464"/>
      <c r="E2" s="464"/>
      <c r="F2" s="464"/>
      <c r="G2" s="216"/>
      <c r="J2" s="216"/>
    </row>
    <row r="3" spans="1:12" ht="18.75" x14ac:dyDescent="0.3">
      <c r="A3" s="461" t="s">
        <v>329</v>
      </c>
      <c r="B3" s="461"/>
      <c r="C3" s="461"/>
      <c r="D3" s="461"/>
      <c r="E3" s="461"/>
      <c r="F3" s="461"/>
      <c r="G3" s="218"/>
      <c r="J3" s="218"/>
    </row>
    <row r="4" spans="1:12" ht="15.75" x14ac:dyDescent="0.2">
      <c r="A4" s="464" t="s">
        <v>153</v>
      </c>
      <c r="B4" s="464"/>
      <c r="C4" s="464"/>
      <c r="D4" s="464"/>
      <c r="E4" s="464"/>
      <c r="F4" s="464"/>
      <c r="G4" s="216"/>
      <c r="J4" s="216"/>
    </row>
    <row r="5" spans="1:12" ht="16.5" thickBot="1" x14ac:dyDescent="0.3">
      <c r="A5" s="463" t="s">
        <v>330</v>
      </c>
      <c r="B5" s="463"/>
      <c r="C5" s="463"/>
      <c r="D5" s="463"/>
      <c r="E5" s="463"/>
      <c r="F5" s="463"/>
      <c r="G5" s="219"/>
      <c r="J5" s="219"/>
    </row>
    <row r="6" spans="1:12" x14ac:dyDescent="0.2">
      <c r="A6" s="448" t="s">
        <v>154</v>
      </c>
      <c r="B6" s="451" t="s">
        <v>142</v>
      </c>
      <c r="C6" s="583"/>
      <c r="D6" s="585" t="s">
        <v>331</v>
      </c>
      <c r="E6" s="444" t="s">
        <v>332</v>
      </c>
      <c r="F6" s="429" t="s">
        <v>333</v>
      </c>
      <c r="G6" s="585" t="s">
        <v>334</v>
      </c>
      <c r="H6" s="444" t="s">
        <v>335</v>
      </c>
      <c r="I6" s="429" t="s">
        <v>336</v>
      </c>
      <c r="J6" s="438" t="s">
        <v>337</v>
      </c>
      <c r="K6" s="440" t="s">
        <v>338</v>
      </c>
      <c r="L6" s="442" t="s">
        <v>339</v>
      </c>
    </row>
    <row r="7" spans="1:12" ht="13.5" thickBot="1" x14ac:dyDescent="0.25">
      <c r="A7" s="449"/>
      <c r="B7" s="452"/>
      <c r="C7" s="584"/>
      <c r="D7" s="586"/>
      <c r="E7" s="587"/>
      <c r="F7" s="588"/>
      <c r="G7" s="586"/>
      <c r="H7" s="587"/>
      <c r="I7" s="588"/>
      <c r="J7" s="574"/>
      <c r="K7" s="581"/>
      <c r="L7" s="582"/>
    </row>
    <row r="8" spans="1:12" ht="13.5" thickBot="1" x14ac:dyDescent="0.25">
      <c r="A8" s="450"/>
      <c r="B8" s="453"/>
      <c r="C8" s="453"/>
      <c r="D8" s="580" t="s">
        <v>352</v>
      </c>
      <c r="E8" s="432"/>
      <c r="F8" s="432"/>
      <c r="G8" s="580" t="s">
        <v>352</v>
      </c>
      <c r="H8" s="432"/>
      <c r="I8" s="432"/>
      <c r="K8" t="s">
        <v>466</v>
      </c>
    </row>
    <row r="9" spans="1:12" ht="16.5" thickBot="1" x14ac:dyDescent="0.25">
      <c r="A9" s="221"/>
      <c r="B9" s="451" t="s">
        <v>155</v>
      </c>
      <c r="C9" s="451"/>
      <c r="D9" s="282"/>
      <c r="E9" s="283"/>
      <c r="F9" s="284"/>
      <c r="G9" s="284"/>
      <c r="H9" s="284"/>
      <c r="I9" s="285"/>
      <c r="J9" s="286"/>
      <c r="K9" s="286"/>
      <c r="L9" s="167"/>
    </row>
    <row r="10" spans="1:12" ht="15.75" x14ac:dyDescent="0.25">
      <c r="A10" s="3">
        <v>1</v>
      </c>
      <c r="B10" s="455" t="s">
        <v>143</v>
      </c>
      <c r="C10" s="572"/>
      <c r="D10" s="287">
        <v>38590000</v>
      </c>
      <c r="E10" s="288">
        <v>38590000</v>
      </c>
      <c r="F10" s="289"/>
      <c r="G10" s="290">
        <v>41672741</v>
      </c>
      <c r="H10" s="291">
        <v>41672741</v>
      </c>
      <c r="I10" s="289"/>
      <c r="J10" s="129">
        <v>41510741</v>
      </c>
      <c r="K10" s="6">
        <v>41510741</v>
      </c>
      <c r="L10" s="7"/>
    </row>
    <row r="11" spans="1:12" ht="15.75" x14ac:dyDescent="0.25">
      <c r="A11" s="3">
        <v>2</v>
      </c>
      <c r="B11" s="455" t="s">
        <v>150</v>
      </c>
      <c r="C11" s="572"/>
      <c r="D11" s="292">
        <v>10459000</v>
      </c>
      <c r="E11" s="6">
        <v>10459000</v>
      </c>
      <c r="F11" s="7"/>
      <c r="G11" s="293">
        <v>11352407</v>
      </c>
      <c r="H11" s="161">
        <v>11352407</v>
      </c>
      <c r="I11" s="7"/>
      <c r="J11" s="129">
        <v>11352407</v>
      </c>
      <c r="K11" s="6">
        <v>11352407</v>
      </c>
      <c r="L11" s="7"/>
    </row>
    <row r="12" spans="1:12" ht="15.75" x14ac:dyDescent="0.25">
      <c r="A12" s="3">
        <v>3</v>
      </c>
      <c r="B12" s="455" t="s">
        <v>151</v>
      </c>
      <c r="C12" s="572"/>
      <c r="D12" s="292">
        <v>10542000</v>
      </c>
      <c r="E12" s="6">
        <v>10542000</v>
      </c>
      <c r="F12" s="7"/>
      <c r="G12" s="293">
        <v>11631777</v>
      </c>
      <c r="H12" s="161">
        <v>11631777</v>
      </c>
      <c r="I12" s="7"/>
      <c r="J12" s="129">
        <v>10477891</v>
      </c>
      <c r="K12" s="6">
        <v>10477891</v>
      </c>
      <c r="L12" s="7"/>
    </row>
    <row r="13" spans="1:12" ht="15.75" x14ac:dyDescent="0.25">
      <c r="A13" s="3" t="s">
        <v>19</v>
      </c>
      <c r="B13" s="455" t="s">
        <v>135</v>
      </c>
      <c r="C13" s="572"/>
      <c r="D13" s="292"/>
      <c r="E13" s="6"/>
      <c r="F13" s="7"/>
      <c r="G13" s="293"/>
      <c r="H13" s="161"/>
      <c r="I13" s="7"/>
      <c r="J13" s="129">
        <f t="shared" ref="J13:J29" si="0">+K13+L13</f>
        <v>0</v>
      </c>
      <c r="K13" s="6"/>
      <c r="L13" s="7"/>
    </row>
    <row r="14" spans="1:12" ht="15.75" x14ac:dyDescent="0.25">
      <c r="A14" s="3" t="s">
        <v>21</v>
      </c>
      <c r="B14" s="456" t="s">
        <v>130</v>
      </c>
      <c r="C14" s="576"/>
      <c r="D14" s="292">
        <f>+D15+D16+D17+D18+D19</f>
        <v>0</v>
      </c>
      <c r="E14" s="6"/>
      <c r="F14" s="201"/>
      <c r="G14" s="292"/>
      <c r="H14" s="161"/>
      <c r="I14" s="201"/>
      <c r="J14" s="129"/>
      <c r="K14" s="6"/>
      <c r="L14" s="201"/>
    </row>
    <row r="15" spans="1:12" ht="15.75" x14ac:dyDescent="0.25">
      <c r="A15" s="3" t="s">
        <v>122</v>
      </c>
      <c r="B15" s="459" t="s">
        <v>125</v>
      </c>
      <c r="C15" s="577"/>
      <c r="D15" s="292"/>
      <c r="E15" s="6"/>
      <c r="F15" s="7"/>
      <c r="G15" s="293"/>
      <c r="H15" s="161"/>
      <c r="I15" s="7"/>
      <c r="J15" s="129">
        <f t="shared" si="0"/>
        <v>0</v>
      </c>
      <c r="K15" s="6"/>
      <c r="L15" s="7"/>
    </row>
    <row r="16" spans="1:12" ht="15.75" x14ac:dyDescent="0.25">
      <c r="A16" s="3" t="s">
        <v>123</v>
      </c>
      <c r="B16" s="459" t="s">
        <v>183</v>
      </c>
      <c r="C16" s="577"/>
      <c r="D16" s="292"/>
      <c r="E16" s="6"/>
      <c r="F16" s="7"/>
      <c r="G16" s="293"/>
      <c r="H16" s="161"/>
      <c r="I16" s="7"/>
      <c r="J16" s="129"/>
      <c r="K16" s="6"/>
      <c r="L16" s="7"/>
    </row>
    <row r="17" spans="1:12" ht="15.75" x14ac:dyDescent="0.25">
      <c r="A17" s="3"/>
      <c r="B17" s="578" t="s">
        <v>131</v>
      </c>
      <c r="C17" s="466"/>
      <c r="D17" s="292"/>
      <c r="E17" s="6"/>
      <c r="F17" s="7"/>
      <c r="G17" s="293"/>
      <c r="H17" s="161"/>
      <c r="I17" s="7"/>
      <c r="J17" s="129">
        <f t="shared" si="0"/>
        <v>0</v>
      </c>
      <c r="K17" s="6"/>
      <c r="L17" s="7"/>
    </row>
    <row r="18" spans="1:12" ht="15.75" x14ac:dyDescent="0.25">
      <c r="A18" s="3" t="s">
        <v>124</v>
      </c>
      <c r="B18" s="457" t="s">
        <v>126</v>
      </c>
      <c r="C18" s="579"/>
      <c r="D18" s="292"/>
      <c r="E18" s="6"/>
      <c r="F18" s="7"/>
      <c r="G18" s="293"/>
      <c r="H18" s="161"/>
      <c r="I18" s="7"/>
      <c r="J18" s="129">
        <f t="shared" si="0"/>
        <v>0</v>
      </c>
      <c r="K18" s="6"/>
      <c r="L18" s="7"/>
    </row>
    <row r="19" spans="1:12" ht="15.75" x14ac:dyDescent="0.25">
      <c r="A19" s="3" t="s">
        <v>47</v>
      </c>
      <c r="B19" s="457" t="s">
        <v>48</v>
      </c>
      <c r="C19" s="575"/>
      <c r="D19" s="292"/>
      <c r="E19" s="6"/>
      <c r="F19" s="7"/>
      <c r="G19" s="293"/>
      <c r="H19" s="161"/>
      <c r="I19" s="7"/>
      <c r="J19" s="129">
        <f t="shared" si="0"/>
        <v>0</v>
      </c>
      <c r="K19" s="6"/>
      <c r="L19" s="7"/>
    </row>
    <row r="20" spans="1:12" ht="15.75" x14ac:dyDescent="0.25">
      <c r="A20" s="3"/>
      <c r="B20" s="332"/>
      <c r="C20" s="337"/>
      <c r="D20" s="292"/>
      <c r="E20" s="6"/>
      <c r="F20" s="7"/>
      <c r="G20" s="295"/>
      <c r="H20" s="161"/>
      <c r="I20" s="296"/>
      <c r="J20" s="129"/>
      <c r="K20" s="6"/>
      <c r="L20" s="7"/>
    </row>
    <row r="21" spans="1:12" ht="15.75" x14ac:dyDescent="0.25">
      <c r="A21" s="3"/>
      <c r="B21" s="455" t="s">
        <v>179</v>
      </c>
      <c r="C21" s="572"/>
      <c r="D21" s="294"/>
      <c r="E21" s="177"/>
      <c r="F21" s="7"/>
      <c r="G21" s="295"/>
      <c r="H21" s="162"/>
      <c r="I21" s="296"/>
      <c r="J21" s="129">
        <f t="shared" si="0"/>
        <v>0</v>
      </c>
      <c r="K21" s="177"/>
      <c r="L21" s="7"/>
    </row>
    <row r="22" spans="1:12" ht="15.75" x14ac:dyDescent="0.25">
      <c r="A22" s="3" t="s">
        <v>147</v>
      </c>
      <c r="B22" s="217" t="s">
        <v>121</v>
      </c>
      <c r="C22" s="297"/>
      <c r="D22" s="292">
        <f>+D10+D11+D12+D13+D14+D21</f>
        <v>59591000</v>
      </c>
      <c r="E22" s="6">
        <f>+E10+E11+E12+E13+E14+E21</f>
        <v>59591000</v>
      </c>
      <c r="F22" s="201"/>
      <c r="G22" s="298">
        <f>+H22+I22</f>
        <v>64656925</v>
      </c>
      <c r="H22" s="171">
        <f>+H10+H11+H12+H13+H14+H21</f>
        <v>64656925</v>
      </c>
      <c r="I22" s="201">
        <f>+I10+I11+I12+I13+I14+I21</f>
        <v>0</v>
      </c>
      <c r="J22" s="129">
        <f t="shared" si="0"/>
        <v>63341039</v>
      </c>
      <c r="K22" s="6">
        <f>+K10+K11+K12+K13+K14+K21</f>
        <v>63341039</v>
      </c>
      <c r="L22" s="201">
        <f>+L10+L11+L12+L13+L14+L21</f>
        <v>0</v>
      </c>
    </row>
    <row r="23" spans="1:12" ht="15.75" x14ac:dyDescent="0.25">
      <c r="A23" s="3" t="s">
        <v>22</v>
      </c>
      <c r="B23" s="455" t="s">
        <v>145</v>
      </c>
      <c r="C23" s="572"/>
      <c r="D23" s="294">
        <f>1212000+327000</f>
        <v>1539000</v>
      </c>
      <c r="E23" s="177">
        <v>1539000</v>
      </c>
      <c r="F23" s="7"/>
      <c r="G23" s="299">
        <v>972005</v>
      </c>
      <c r="H23" s="162">
        <v>972005</v>
      </c>
      <c r="I23" s="131"/>
      <c r="J23" s="129">
        <v>972005</v>
      </c>
      <c r="K23" s="177">
        <v>972005</v>
      </c>
      <c r="L23" s="7"/>
    </row>
    <row r="24" spans="1:12" ht="15.75" x14ac:dyDescent="0.25">
      <c r="A24" s="3" t="s">
        <v>23</v>
      </c>
      <c r="B24" s="455" t="s">
        <v>144</v>
      </c>
      <c r="C24" s="572"/>
      <c r="D24" s="294"/>
      <c r="E24" s="177"/>
      <c r="F24" s="7"/>
      <c r="G24" s="293"/>
      <c r="H24" s="162"/>
      <c r="I24" s="7"/>
      <c r="J24" s="129">
        <f t="shared" si="0"/>
        <v>0</v>
      </c>
      <c r="K24" s="177"/>
      <c r="L24" s="7"/>
    </row>
    <row r="25" spans="1:12" ht="15.75" x14ac:dyDescent="0.25">
      <c r="A25" s="3" t="s">
        <v>25</v>
      </c>
      <c r="B25" s="455" t="s">
        <v>127</v>
      </c>
      <c r="C25" s="572"/>
      <c r="D25" s="294"/>
      <c r="E25" s="177"/>
      <c r="F25" s="7"/>
      <c r="G25" s="293"/>
      <c r="H25" s="162"/>
      <c r="I25" s="7"/>
      <c r="J25" s="129">
        <f t="shared" si="0"/>
        <v>0</v>
      </c>
      <c r="K25" s="177"/>
      <c r="L25" s="7"/>
    </row>
    <row r="26" spans="1:12" ht="15.75" x14ac:dyDescent="0.25">
      <c r="A26" s="3" t="s">
        <v>148</v>
      </c>
      <c r="B26" s="455" t="s">
        <v>180</v>
      </c>
      <c r="C26" s="572"/>
      <c r="D26" s="294">
        <f>+D23+D24+D25</f>
        <v>1539000</v>
      </c>
      <c r="E26" s="177">
        <v>1539000</v>
      </c>
      <c r="F26" s="7">
        <f>SUM(F23:F25)</f>
        <v>0</v>
      </c>
      <c r="G26" s="293">
        <f>+I26+H26</f>
        <v>972005</v>
      </c>
      <c r="H26" s="162">
        <v>972005</v>
      </c>
      <c r="I26" s="7">
        <f>SUM(I23:I25)</f>
        <v>0</v>
      </c>
      <c r="J26" s="129">
        <v>972005</v>
      </c>
      <c r="K26" s="177">
        <v>972005</v>
      </c>
      <c r="L26" s="7"/>
    </row>
    <row r="27" spans="1:12" ht="15.75" x14ac:dyDescent="0.25">
      <c r="A27" s="3" t="s">
        <v>149</v>
      </c>
      <c r="B27" s="455"/>
      <c r="C27" s="572"/>
      <c r="D27" s="294"/>
      <c r="E27" s="177"/>
      <c r="F27" s="7"/>
      <c r="G27" s="293"/>
      <c r="H27" s="162"/>
      <c r="I27" s="7"/>
      <c r="J27" s="129">
        <f t="shared" si="0"/>
        <v>0</v>
      </c>
      <c r="K27" s="177"/>
      <c r="L27" s="7"/>
    </row>
    <row r="28" spans="1:12" ht="15.75" x14ac:dyDescent="0.25">
      <c r="A28" s="3" t="s">
        <v>136</v>
      </c>
      <c r="B28" s="474"/>
      <c r="C28" s="568"/>
      <c r="D28" s="300"/>
      <c r="E28" s="175"/>
      <c r="F28" s="7">
        <f>+D28+E28</f>
        <v>0</v>
      </c>
      <c r="G28" s="293"/>
      <c r="H28" s="163"/>
      <c r="I28" s="7">
        <f>+F28+H28</f>
        <v>0</v>
      </c>
      <c r="J28" s="129">
        <f t="shared" si="0"/>
        <v>0</v>
      </c>
      <c r="K28" s="175"/>
      <c r="L28" s="7">
        <f>+H28+K28</f>
        <v>0</v>
      </c>
    </row>
    <row r="29" spans="1:12" ht="15.75" x14ac:dyDescent="0.25">
      <c r="A29" s="3" t="s">
        <v>137</v>
      </c>
      <c r="B29" s="474"/>
      <c r="C29" s="568"/>
      <c r="D29" s="300"/>
      <c r="E29" s="301"/>
      <c r="F29" s="7">
        <f>+D29+E29</f>
        <v>0</v>
      </c>
      <c r="G29" s="293"/>
      <c r="H29" s="198"/>
      <c r="I29" s="7">
        <f>+F29+H29</f>
        <v>0</v>
      </c>
      <c r="J29" s="129">
        <f t="shared" si="0"/>
        <v>0</v>
      </c>
      <c r="K29" s="301"/>
      <c r="L29" s="7">
        <f>+H29+K29</f>
        <v>0</v>
      </c>
    </row>
    <row r="30" spans="1:12" ht="19.5" x14ac:dyDescent="0.3">
      <c r="A30" s="115" t="s">
        <v>128</v>
      </c>
      <c r="B30" s="473" t="s">
        <v>129</v>
      </c>
      <c r="C30" s="569"/>
      <c r="D30" s="302">
        <f t="shared" ref="D30:I30" si="1">+D22+D26+D27+D28+D29</f>
        <v>61130000</v>
      </c>
      <c r="E30" s="176">
        <f t="shared" si="1"/>
        <v>61130000</v>
      </c>
      <c r="F30" s="199">
        <f t="shared" si="1"/>
        <v>0</v>
      </c>
      <c r="G30" s="302">
        <f t="shared" si="1"/>
        <v>65628930</v>
      </c>
      <c r="H30" s="194">
        <f t="shared" si="1"/>
        <v>65628930</v>
      </c>
      <c r="I30" s="199">
        <f t="shared" si="1"/>
        <v>0</v>
      </c>
      <c r="J30" s="130">
        <f>+J10+J11+J12+J14+J26</f>
        <v>64313044</v>
      </c>
      <c r="K30" s="176">
        <f>+K22+K26+K27+K28+K29</f>
        <v>64313044</v>
      </c>
      <c r="L30" s="199">
        <f>+L22+L26+L27+L28+L29</f>
        <v>0</v>
      </c>
    </row>
    <row r="31" spans="1:12" ht="15.75" x14ac:dyDescent="0.25">
      <c r="A31" s="11"/>
      <c r="B31" s="469"/>
      <c r="C31" s="570"/>
      <c r="D31" s="303"/>
      <c r="E31" s="12"/>
      <c r="F31" s="13"/>
      <c r="G31" s="303"/>
      <c r="H31" s="165"/>
      <c r="I31" s="13"/>
      <c r="J31" s="12"/>
      <c r="K31" s="12"/>
      <c r="L31" s="13"/>
    </row>
    <row r="32" spans="1:12" ht="15.75" x14ac:dyDescent="0.25">
      <c r="A32" s="3"/>
      <c r="B32" s="472" t="s">
        <v>156</v>
      </c>
      <c r="C32" s="571"/>
      <c r="D32" s="294"/>
      <c r="E32" s="177"/>
      <c r="F32" s="7"/>
      <c r="G32" s="293"/>
      <c r="H32" s="162"/>
      <c r="I32" s="7"/>
      <c r="J32" s="129"/>
      <c r="K32" s="177"/>
      <c r="L32" s="7"/>
    </row>
    <row r="33" spans="1:12" ht="15.75" x14ac:dyDescent="0.25">
      <c r="A33" s="3" t="s">
        <v>8</v>
      </c>
      <c r="B33" s="470" t="s">
        <v>178</v>
      </c>
      <c r="C33" s="446"/>
      <c r="D33" s="294">
        <f>+E33+F33</f>
        <v>275000</v>
      </c>
      <c r="E33" s="177">
        <v>275000</v>
      </c>
      <c r="F33" s="7"/>
      <c r="G33" s="294">
        <f>+H33+I33</f>
        <v>486750</v>
      </c>
      <c r="H33" s="162">
        <v>486750</v>
      </c>
      <c r="I33" s="7"/>
      <c r="J33" s="129">
        <f t="shared" ref="J33:J82" si="2">+K33+L33</f>
        <v>485989</v>
      </c>
      <c r="K33" s="177">
        <v>485989</v>
      </c>
      <c r="L33" s="7"/>
    </row>
    <row r="34" spans="1:12" ht="15.75" x14ac:dyDescent="0.25">
      <c r="A34" s="3" t="s">
        <v>17</v>
      </c>
      <c r="B34" s="470" t="s">
        <v>152</v>
      </c>
      <c r="C34" s="446"/>
      <c r="D34" s="294">
        <f t="shared" ref="D34:I34" si="3">SUM(D35:D37)</f>
        <v>0</v>
      </c>
      <c r="E34" s="177">
        <f t="shared" si="3"/>
        <v>0</v>
      </c>
      <c r="F34" s="202">
        <f t="shared" si="3"/>
        <v>0</v>
      </c>
      <c r="G34" s="294">
        <f t="shared" si="3"/>
        <v>0</v>
      </c>
      <c r="H34" s="162">
        <f t="shared" si="3"/>
        <v>0</v>
      </c>
      <c r="I34" s="214">
        <f t="shared" si="3"/>
        <v>0</v>
      </c>
      <c r="J34" s="129">
        <f t="shared" si="2"/>
        <v>0</v>
      </c>
      <c r="K34" s="177">
        <f>SUM(K35:K37)</f>
        <v>0</v>
      </c>
      <c r="L34" s="202">
        <f>SUM(L35:L37)</f>
        <v>0</v>
      </c>
    </row>
    <row r="35" spans="1:12" ht="15.75" x14ac:dyDescent="0.25">
      <c r="A35" s="3"/>
      <c r="B35" s="133" t="s">
        <v>49</v>
      </c>
      <c r="C35" s="304" t="s">
        <v>132</v>
      </c>
      <c r="D35" s="294"/>
      <c r="E35" s="177"/>
      <c r="F35" s="7"/>
      <c r="G35" s="294"/>
      <c r="H35" s="162"/>
      <c r="I35" s="7"/>
      <c r="J35" s="129">
        <f t="shared" si="2"/>
        <v>0</v>
      </c>
      <c r="K35" s="177"/>
      <c r="L35" s="7"/>
    </row>
    <row r="36" spans="1:12" ht="15.75" x14ac:dyDescent="0.25">
      <c r="A36" s="3"/>
      <c r="B36" s="133" t="s">
        <v>50</v>
      </c>
      <c r="C36" s="304" t="s">
        <v>133</v>
      </c>
      <c r="D36" s="294"/>
      <c r="E36" s="177"/>
      <c r="F36" s="7"/>
      <c r="G36" s="294"/>
      <c r="H36" s="162"/>
      <c r="I36" s="7"/>
      <c r="J36" s="129">
        <f t="shared" si="2"/>
        <v>0</v>
      </c>
      <c r="K36" s="177"/>
      <c r="L36" s="7"/>
    </row>
    <row r="37" spans="1:12" ht="15.75" x14ac:dyDescent="0.25">
      <c r="A37" s="3"/>
      <c r="B37" s="133" t="s">
        <v>51</v>
      </c>
      <c r="C37" s="304" t="s">
        <v>134</v>
      </c>
      <c r="D37" s="294"/>
      <c r="E37" s="177"/>
      <c r="F37" s="7"/>
      <c r="G37" s="294"/>
      <c r="H37" s="162"/>
      <c r="I37" s="7"/>
      <c r="J37" s="129">
        <f t="shared" si="2"/>
        <v>0</v>
      </c>
      <c r="K37" s="177"/>
      <c r="L37" s="7"/>
    </row>
    <row r="38" spans="1:12" ht="15.75" x14ac:dyDescent="0.25">
      <c r="A38" s="3" t="s">
        <v>18</v>
      </c>
      <c r="B38" s="470" t="s">
        <v>101</v>
      </c>
      <c r="C38" s="446"/>
      <c r="D38" s="294">
        <f>SUM(D39:D41)</f>
        <v>0</v>
      </c>
      <c r="E38" s="177"/>
      <c r="F38" s="7">
        <f>SUM(F39:F41)</f>
        <v>0</v>
      </c>
      <c r="G38" s="294">
        <f>SUM(G39:G41)</f>
        <v>0</v>
      </c>
      <c r="H38" s="162"/>
      <c r="I38" s="7">
        <f>SUM(I39:I41)</f>
        <v>0</v>
      </c>
      <c r="J38" s="129">
        <f t="shared" si="2"/>
        <v>0</v>
      </c>
      <c r="K38" s="177"/>
      <c r="L38" s="7">
        <f>SUM(L39:L41)</f>
        <v>0</v>
      </c>
    </row>
    <row r="39" spans="1:12" ht="15.75" x14ac:dyDescent="0.25">
      <c r="A39" s="3"/>
      <c r="B39" s="134" t="s">
        <v>52</v>
      </c>
      <c r="C39" s="220" t="s">
        <v>181</v>
      </c>
      <c r="D39" s="294"/>
      <c r="E39" s="177"/>
      <c r="F39" s="7"/>
      <c r="G39" s="294"/>
      <c r="H39" s="162"/>
      <c r="I39" s="7"/>
      <c r="J39" s="129">
        <f t="shared" si="2"/>
        <v>0</v>
      </c>
      <c r="K39" s="177"/>
      <c r="L39" s="7"/>
    </row>
    <row r="40" spans="1:12" ht="15.75" x14ac:dyDescent="0.25">
      <c r="A40" s="3"/>
      <c r="B40" s="134" t="s">
        <v>53</v>
      </c>
      <c r="C40" s="220" t="s">
        <v>55</v>
      </c>
      <c r="D40" s="294"/>
      <c r="E40" s="177"/>
      <c r="F40" s="7">
        <f t="shared" ref="F40:F46" si="4">SUM(D40:D40)</f>
        <v>0</v>
      </c>
      <c r="G40" s="294"/>
      <c r="H40" s="162"/>
      <c r="I40" s="7">
        <f>SUM(F40:F40)</f>
        <v>0</v>
      </c>
      <c r="J40" s="129">
        <f t="shared" si="2"/>
        <v>0</v>
      </c>
      <c r="K40" s="177"/>
      <c r="L40" s="7">
        <f>SUM(H40:H40)</f>
        <v>0</v>
      </c>
    </row>
    <row r="41" spans="1:12" ht="15.75" x14ac:dyDescent="0.25">
      <c r="A41" s="3"/>
      <c r="B41" s="134" t="s">
        <v>54</v>
      </c>
      <c r="C41" s="220" t="s">
        <v>182</v>
      </c>
      <c r="D41" s="294"/>
      <c r="E41" s="177"/>
      <c r="F41" s="7"/>
      <c r="G41" s="294"/>
      <c r="H41" s="162"/>
      <c r="I41" s="7"/>
      <c r="J41" s="129">
        <f t="shared" si="2"/>
        <v>0</v>
      </c>
      <c r="K41" s="177"/>
      <c r="L41" s="7"/>
    </row>
    <row r="42" spans="1:12" ht="15.75" x14ac:dyDescent="0.25">
      <c r="A42" s="3" t="s">
        <v>19</v>
      </c>
      <c r="B42" s="470" t="s">
        <v>102</v>
      </c>
      <c r="C42" s="446"/>
      <c r="D42" s="294">
        <f>+F42</f>
        <v>0</v>
      </c>
      <c r="E42" s="177">
        <f>SUM(E43:E46)</f>
        <v>0</v>
      </c>
      <c r="F42" s="202">
        <f>SUM(F43:F46)</f>
        <v>0</v>
      </c>
      <c r="G42" s="294">
        <v>0</v>
      </c>
      <c r="H42" s="162">
        <f>SUM(H43:H46)</f>
        <v>0</v>
      </c>
      <c r="I42" s="214">
        <f>SUM(I43:I46)</f>
        <v>0</v>
      </c>
      <c r="J42" s="129">
        <f t="shared" si="2"/>
        <v>0</v>
      </c>
      <c r="K42" s="177">
        <f>SUM(K43:K46)</f>
        <v>0</v>
      </c>
      <c r="L42" s="202"/>
    </row>
    <row r="43" spans="1:12" ht="15.75" x14ac:dyDescent="0.25">
      <c r="A43" s="3"/>
      <c r="B43" s="134" t="s">
        <v>56</v>
      </c>
      <c r="C43" s="220" t="s">
        <v>60</v>
      </c>
      <c r="D43" s="294">
        <f>+F43</f>
        <v>0</v>
      </c>
      <c r="E43" s="177"/>
      <c r="F43" s="7"/>
      <c r="G43" s="294"/>
      <c r="H43" s="162"/>
      <c r="I43" s="7"/>
      <c r="J43" s="129">
        <f t="shared" si="2"/>
        <v>0</v>
      </c>
      <c r="K43" s="177"/>
      <c r="L43" s="7"/>
    </row>
    <row r="44" spans="1:12" ht="15.75" x14ac:dyDescent="0.25">
      <c r="A44" s="3"/>
      <c r="B44" s="134" t="s">
        <v>57</v>
      </c>
      <c r="C44" s="220" t="s">
        <v>61</v>
      </c>
      <c r="D44" s="294"/>
      <c r="E44" s="177"/>
      <c r="F44" s="7">
        <f t="shared" si="4"/>
        <v>0</v>
      </c>
      <c r="G44" s="294"/>
      <c r="H44" s="162"/>
      <c r="I44" s="7">
        <f>SUM(F44:F44)</f>
        <v>0</v>
      </c>
      <c r="J44" s="129">
        <f t="shared" si="2"/>
        <v>0</v>
      </c>
      <c r="K44" s="177"/>
      <c r="L44" s="7">
        <f>SUM(H44:H44)</f>
        <v>0</v>
      </c>
    </row>
    <row r="45" spans="1:12" ht="15.75" x14ac:dyDescent="0.25">
      <c r="A45" s="3"/>
      <c r="B45" s="134" t="s">
        <v>58</v>
      </c>
      <c r="C45" s="220" t="s">
        <v>207</v>
      </c>
      <c r="D45" s="294"/>
      <c r="E45" s="177"/>
      <c r="F45" s="7">
        <f t="shared" si="4"/>
        <v>0</v>
      </c>
      <c r="G45" s="294"/>
      <c r="H45" s="162"/>
      <c r="I45" s="7">
        <f>SUM(F45:F45)</f>
        <v>0</v>
      </c>
      <c r="J45" s="129">
        <f t="shared" si="2"/>
        <v>0</v>
      </c>
      <c r="K45" s="177"/>
      <c r="L45" s="7">
        <f>SUM(H45:H45)</f>
        <v>0</v>
      </c>
    </row>
    <row r="46" spans="1:12" ht="15.75" x14ac:dyDescent="0.25">
      <c r="A46" s="3"/>
      <c r="B46" s="134" t="s">
        <v>59</v>
      </c>
      <c r="C46" s="220" t="s">
        <v>62</v>
      </c>
      <c r="D46" s="294"/>
      <c r="E46" s="177"/>
      <c r="F46" s="7">
        <f t="shared" si="4"/>
        <v>0</v>
      </c>
      <c r="G46" s="294"/>
      <c r="H46" s="162"/>
      <c r="I46" s="7">
        <f>SUM(F46:F46)</f>
        <v>0</v>
      </c>
      <c r="J46" s="129">
        <f t="shared" si="2"/>
        <v>0</v>
      </c>
      <c r="K46" s="177"/>
      <c r="L46" s="7">
        <f>SUM(H46:H46)</f>
        <v>0</v>
      </c>
    </row>
    <row r="47" spans="1:12" ht="15.75" x14ac:dyDescent="0.25">
      <c r="A47" s="135" t="s">
        <v>147</v>
      </c>
      <c r="B47" s="460" t="s">
        <v>63</v>
      </c>
      <c r="C47" s="567"/>
      <c r="D47" s="294">
        <f t="shared" ref="D47:I47" si="5">+D33+D34+D38+D42</f>
        <v>275000</v>
      </c>
      <c r="E47" s="177">
        <f t="shared" si="5"/>
        <v>275000</v>
      </c>
      <c r="F47" s="202">
        <f t="shared" si="5"/>
        <v>0</v>
      </c>
      <c r="G47" s="294">
        <f t="shared" si="5"/>
        <v>486750</v>
      </c>
      <c r="H47" s="162">
        <f t="shared" si="5"/>
        <v>486750</v>
      </c>
      <c r="I47" s="202">
        <f t="shared" si="5"/>
        <v>0</v>
      </c>
      <c r="J47" s="129">
        <f t="shared" si="2"/>
        <v>485989</v>
      </c>
      <c r="K47" s="177">
        <f>+K33+K34+K38+K42</f>
        <v>485989</v>
      </c>
      <c r="L47" s="202">
        <f>+L33+L34+L38+L42</f>
        <v>0</v>
      </c>
    </row>
    <row r="48" spans="1:12" ht="15.75" x14ac:dyDescent="0.25">
      <c r="A48" s="3" t="s">
        <v>21</v>
      </c>
      <c r="B48" s="470" t="s">
        <v>146</v>
      </c>
      <c r="C48" s="446"/>
      <c r="D48" s="294">
        <f t="shared" ref="D48:I48" si="6">SUM(D49:D50)</f>
        <v>0</v>
      </c>
      <c r="E48" s="177">
        <f t="shared" si="6"/>
        <v>0</v>
      </c>
      <c r="F48" s="202">
        <f t="shared" si="6"/>
        <v>0</v>
      </c>
      <c r="G48" s="294">
        <f t="shared" si="6"/>
        <v>0</v>
      </c>
      <c r="H48" s="162">
        <f t="shared" si="6"/>
        <v>0</v>
      </c>
      <c r="I48" s="214">
        <f t="shared" si="6"/>
        <v>0</v>
      </c>
      <c r="J48" s="129">
        <f t="shared" si="2"/>
        <v>0</v>
      </c>
      <c r="K48" s="177">
        <f>SUM(K49:K50)</f>
        <v>0</v>
      </c>
      <c r="L48" s="202">
        <f>SUM(L49:L50)</f>
        <v>0</v>
      </c>
    </row>
    <row r="49" spans="1:12" ht="15.75" x14ac:dyDescent="0.25">
      <c r="A49" s="3"/>
      <c r="B49" s="134" t="s">
        <v>64</v>
      </c>
      <c r="C49" s="220" t="s">
        <v>66</v>
      </c>
      <c r="D49" s="294"/>
      <c r="E49" s="177"/>
      <c r="F49" s="7">
        <f t="shared" ref="F49:F57" si="7">SUM(D49:D49)</f>
        <v>0</v>
      </c>
      <c r="G49" s="294"/>
      <c r="H49" s="162"/>
      <c r="I49" s="7">
        <f>SUM(F49:F49)</f>
        <v>0</v>
      </c>
      <c r="J49" s="129">
        <f t="shared" si="2"/>
        <v>0</v>
      </c>
      <c r="K49" s="177"/>
      <c r="L49" s="7">
        <f>SUM(H49:H49)</f>
        <v>0</v>
      </c>
    </row>
    <row r="50" spans="1:12" ht="15.75" x14ac:dyDescent="0.25">
      <c r="A50" s="3"/>
      <c r="B50" s="134" t="s">
        <v>65</v>
      </c>
      <c r="C50" s="220" t="s">
        <v>1</v>
      </c>
      <c r="D50" s="294"/>
      <c r="E50" s="177"/>
      <c r="F50" s="7"/>
      <c r="G50" s="294"/>
      <c r="H50" s="162"/>
      <c r="I50" s="7"/>
      <c r="J50" s="129">
        <f t="shared" si="2"/>
        <v>0</v>
      </c>
      <c r="K50" s="177"/>
      <c r="L50" s="7"/>
    </row>
    <row r="51" spans="1:12" ht="15.75" x14ac:dyDescent="0.25">
      <c r="A51" s="3" t="s">
        <v>22</v>
      </c>
      <c r="B51" s="470" t="s">
        <v>103</v>
      </c>
      <c r="C51" s="446"/>
      <c r="D51" s="294">
        <f>SUM(D52:D53)</f>
        <v>0</v>
      </c>
      <c r="E51" s="177">
        <f>SUM(E52:E53)</f>
        <v>0</v>
      </c>
      <c r="F51" s="7">
        <f t="shared" si="7"/>
        <v>0</v>
      </c>
      <c r="G51" s="294">
        <f>SUM(G52:G53)</f>
        <v>0</v>
      </c>
      <c r="H51" s="162">
        <f>SUM(H52:H53)</f>
        <v>0</v>
      </c>
      <c r="I51" s="7">
        <f>SUM(F51:F51)</f>
        <v>0</v>
      </c>
      <c r="J51" s="129">
        <f t="shared" si="2"/>
        <v>0</v>
      </c>
      <c r="K51" s="177">
        <f>SUM(K52:K53)</f>
        <v>0</v>
      </c>
      <c r="L51" s="7">
        <f>SUM(H51:H51)</f>
        <v>0</v>
      </c>
    </row>
    <row r="52" spans="1:12" ht="15.75" x14ac:dyDescent="0.25">
      <c r="A52" s="3"/>
      <c r="B52" s="134" t="s">
        <v>67</v>
      </c>
      <c r="C52" s="220" t="s">
        <v>69</v>
      </c>
      <c r="D52" s="294"/>
      <c r="E52" s="177"/>
      <c r="F52" s="7">
        <f t="shared" si="7"/>
        <v>0</v>
      </c>
      <c r="G52" s="294"/>
      <c r="H52" s="162"/>
      <c r="I52" s="7">
        <f>SUM(F52:F52)</f>
        <v>0</v>
      </c>
      <c r="J52" s="129">
        <f t="shared" si="2"/>
        <v>0</v>
      </c>
      <c r="K52" s="177"/>
      <c r="L52" s="7">
        <f>SUM(H52:H52)</f>
        <v>0</v>
      </c>
    </row>
    <row r="53" spans="1:12" ht="15.75" x14ac:dyDescent="0.25">
      <c r="A53" s="3"/>
      <c r="B53" s="134" t="s">
        <v>68</v>
      </c>
      <c r="C53" s="220" t="s">
        <v>70</v>
      </c>
      <c r="D53" s="294">
        <v>0</v>
      </c>
      <c r="E53" s="177"/>
      <c r="F53" s="7">
        <f t="shared" si="7"/>
        <v>0</v>
      </c>
      <c r="G53" s="294">
        <v>0</v>
      </c>
      <c r="H53" s="162"/>
      <c r="I53" s="7">
        <f>SUM(F53:F53)</f>
        <v>0</v>
      </c>
      <c r="J53" s="129">
        <f t="shared" si="2"/>
        <v>0</v>
      </c>
      <c r="K53" s="177"/>
      <c r="L53" s="7">
        <f>SUM(H53:H53)</f>
        <v>0</v>
      </c>
    </row>
    <row r="54" spans="1:12" ht="15.75" x14ac:dyDescent="0.25">
      <c r="A54" s="3" t="s">
        <v>23</v>
      </c>
      <c r="B54" s="470" t="s">
        <v>104</v>
      </c>
      <c r="C54" s="446"/>
      <c r="D54" s="294">
        <f t="shared" ref="D54:I54" si="8">SUM(D55:D57)</f>
        <v>0</v>
      </c>
      <c r="E54" s="177">
        <f t="shared" si="8"/>
        <v>0</v>
      </c>
      <c r="F54" s="7">
        <f t="shared" si="8"/>
        <v>0</v>
      </c>
      <c r="G54" s="294">
        <f t="shared" si="8"/>
        <v>0</v>
      </c>
      <c r="H54" s="162">
        <f t="shared" si="8"/>
        <v>0</v>
      </c>
      <c r="I54" s="7">
        <f t="shared" si="8"/>
        <v>0</v>
      </c>
      <c r="J54" s="129">
        <f t="shared" si="2"/>
        <v>0</v>
      </c>
      <c r="K54" s="177">
        <f>SUM(K55:K57)</f>
        <v>0</v>
      </c>
      <c r="L54" s="7">
        <f>SUM(L55:L57)</f>
        <v>0</v>
      </c>
    </row>
    <row r="55" spans="1:12" ht="15.75" x14ac:dyDescent="0.25">
      <c r="A55" s="3"/>
      <c r="B55" s="134" t="s">
        <v>71</v>
      </c>
      <c r="C55" s="220" t="s">
        <v>74</v>
      </c>
      <c r="D55" s="294"/>
      <c r="E55" s="177"/>
      <c r="F55" s="7"/>
      <c r="G55" s="294"/>
      <c r="H55" s="162"/>
      <c r="I55" s="7"/>
      <c r="J55" s="129">
        <f t="shared" si="2"/>
        <v>0</v>
      </c>
      <c r="K55" s="177"/>
      <c r="L55" s="7"/>
    </row>
    <row r="56" spans="1:12" ht="15.75" x14ac:dyDescent="0.25">
      <c r="A56" s="3"/>
      <c r="B56" s="134" t="s">
        <v>72</v>
      </c>
      <c r="C56" s="220" t="s">
        <v>2</v>
      </c>
      <c r="D56" s="294"/>
      <c r="E56" s="177"/>
      <c r="F56" s="7">
        <f t="shared" si="7"/>
        <v>0</v>
      </c>
      <c r="G56" s="294"/>
      <c r="H56" s="162"/>
      <c r="I56" s="7">
        <f>SUM(F56:F56)</f>
        <v>0</v>
      </c>
      <c r="J56" s="129">
        <f t="shared" si="2"/>
        <v>0</v>
      </c>
      <c r="K56" s="177"/>
      <c r="L56" s="7">
        <f>SUM(H56:H56)</f>
        <v>0</v>
      </c>
    </row>
    <row r="57" spans="1:12" ht="15.75" x14ac:dyDescent="0.25">
      <c r="A57" s="3"/>
      <c r="B57" s="134" t="s">
        <v>73</v>
      </c>
      <c r="C57" s="220" t="s">
        <v>75</v>
      </c>
      <c r="D57" s="294"/>
      <c r="E57" s="177"/>
      <c r="F57" s="7">
        <f t="shared" si="7"/>
        <v>0</v>
      </c>
      <c r="G57" s="294"/>
      <c r="H57" s="162"/>
      <c r="I57" s="7">
        <f>SUM(F57:F57)</f>
        <v>0</v>
      </c>
      <c r="J57" s="129">
        <f t="shared" si="2"/>
        <v>0</v>
      </c>
      <c r="K57" s="177"/>
      <c r="L57" s="7">
        <f>SUM(H57:H57)</f>
        <v>0</v>
      </c>
    </row>
    <row r="58" spans="1:12" ht="15.75" x14ac:dyDescent="0.25">
      <c r="A58" s="135" t="s">
        <v>148</v>
      </c>
      <c r="B58" s="460" t="s">
        <v>167</v>
      </c>
      <c r="C58" s="567"/>
      <c r="D58" s="300">
        <f t="shared" ref="D58:I58" si="9">+D48+D51+D54</f>
        <v>0</v>
      </c>
      <c r="E58" s="175">
        <f t="shared" si="9"/>
        <v>0</v>
      </c>
      <c r="F58" s="203">
        <f t="shared" si="9"/>
        <v>0</v>
      </c>
      <c r="G58" s="300">
        <f t="shared" si="9"/>
        <v>0</v>
      </c>
      <c r="H58" s="204">
        <f t="shared" si="9"/>
        <v>0</v>
      </c>
      <c r="I58" s="203">
        <f t="shared" si="9"/>
        <v>0</v>
      </c>
      <c r="J58" s="129">
        <f t="shared" si="2"/>
        <v>0</v>
      </c>
      <c r="K58" s="175">
        <f>+K48+K51+K54</f>
        <v>0</v>
      </c>
      <c r="L58" s="203">
        <f>+L48+L51+L54</f>
        <v>0</v>
      </c>
    </row>
    <row r="59" spans="1:12" ht="15.75" x14ac:dyDescent="0.25">
      <c r="A59" s="135" t="s">
        <v>149</v>
      </c>
      <c r="B59" s="460" t="s">
        <v>105</v>
      </c>
      <c r="C59" s="567"/>
      <c r="D59" s="300"/>
      <c r="E59" s="175"/>
      <c r="F59" s="10"/>
      <c r="G59" s="300"/>
      <c r="H59" s="163"/>
      <c r="I59" s="10"/>
      <c r="J59" s="129">
        <f t="shared" si="2"/>
        <v>0</v>
      </c>
      <c r="K59" s="175"/>
      <c r="L59" s="10"/>
    </row>
    <row r="60" spans="1:12" ht="15.75" x14ac:dyDescent="0.25">
      <c r="A60" s="135" t="s">
        <v>136</v>
      </c>
      <c r="B60" s="460" t="s">
        <v>3</v>
      </c>
      <c r="C60" s="567"/>
      <c r="D60" s="300"/>
      <c r="E60" s="175"/>
      <c r="F60" s="10"/>
      <c r="G60" s="300"/>
      <c r="H60" s="163"/>
      <c r="I60" s="10"/>
      <c r="J60" s="129">
        <f t="shared" si="2"/>
        <v>0</v>
      </c>
      <c r="K60" s="175"/>
      <c r="L60" s="10"/>
    </row>
    <row r="61" spans="1:12" ht="18.75" x14ac:dyDescent="0.3">
      <c r="A61" s="115" t="s">
        <v>106</v>
      </c>
      <c r="B61" s="468" t="s">
        <v>107</v>
      </c>
      <c r="C61" s="566"/>
      <c r="D61" s="302">
        <f t="shared" ref="D61:I61" si="10">+D47+D58+D59+D60</f>
        <v>275000</v>
      </c>
      <c r="E61" s="176">
        <f t="shared" si="10"/>
        <v>275000</v>
      </c>
      <c r="F61" s="199">
        <f t="shared" si="10"/>
        <v>0</v>
      </c>
      <c r="G61" s="302">
        <f t="shared" si="10"/>
        <v>486750</v>
      </c>
      <c r="H61" s="194">
        <f t="shared" si="10"/>
        <v>486750</v>
      </c>
      <c r="I61" s="199">
        <f t="shared" si="10"/>
        <v>0</v>
      </c>
      <c r="J61" s="130">
        <f t="shared" si="2"/>
        <v>485989</v>
      </c>
      <c r="K61" s="176">
        <f>+K47+K58+K59+K60</f>
        <v>485989</v>
      </c>
      <c r="L61" s="199">
        <f>+L47+L58+L59+L60</f>
        <v>0</v>
      </c>
    </row>
    <row r="62" spans="1:12" ht="18.75" x14ac:dyDescent="0.3">
      <c r="A62" s="115"/>
      <c r="B62" s="468" t="s">
        <v>108</v>
      </c>
      <c r="C62" s="566"/>
      <c r="D62" s="302">
        <f t="shared" ref="D62:I62" si="11">+D30-D61</f>
        <v>60855000</v>
      </c>
      <c r="E62" s="176">
        <f t="shared" si="11"/>
        <v>60855000</v>
      </c>
      <c r="F62" s="199">
        <f t="shared" si="11"/>
        <v>0</v>
      </c>
      <c r="G62" s="302">
        <f t="shared" si="11"/>
        <v>65142180</v>
      </c>
      <c r="H62" s="194">
        <f t="shared" si="11"/>
        <v>65142180</v>
      </c>
      <c r="I62" s="199">
        <f t="shared" si="11"/>
        <v>0</v>
      </c>
      <c r="J62" s="130">
        <f>J30+J61</f>
        <v>64799033</v>
      </c>
      <c r="K62" s="176">
        <f>+K30-K61</f>
        <v>63827055</v>
      </c>
      <c r="L62" s="199">
        <f>+L30-L61</f>
        <v>0</v>
      </c>
    </row>
    <row r="63" spans="1:12" ht="18.75" x14ac:dyDescent="0.3">
      <c r="A63" s="115"/>
      <c r="B63" s="460" t="s">
        <v>208</v>
      </c>
      <c r="C63" s="567"/>
      <c r="D63" s="302">
        <f>+F63+E63</f>
        <v>60855000</v>
      </c>
      <c r="E63" s="176">
        <v>60855000</v>
      </c>
      <c r="F63" s="199"/>
      <c r="G63" s="302">
        <f>+I63+H63</f>
        <v>65103561</v>
      </c>
      <c r="H63" s="173">
        <v>65103561</v>
      </c>
      <c r="I63" s="199"/>
      <c r="J63" s="130">
        <f t="shared" si="2"/>
        <v>65103561</v>
      </c>
      <c r="K63" s="176">
        <v>65103561</v>
      </c>
      <c r="L63" s="199"/>
    </row>
    <row r="64" spans="1:12" ht="15.75" x14ac:dyDescent="0.25">
      <c r="A64" s="135" t="s">
        <v>137</v>
      </c>
      <c r="B64" s="460" t="s">
        <v>109</v>
      </c>
      <c r="C64" s="567"/>
      <c r="D64" s="294">
        <f>SUM(E64:F64)</f>
        <v>0</v>
      </c>
      <c r="E64" s="177"/>
      <c r="F64" s="7"/>
      <c r="G64" s="294">
        <f>SUM(H64:I64)</f>
        <v>38619</v>
      </c>
      <c r="H64" s="172">
        <v>38619</v>
      </c>
      <c r="I64" s="7"/>
      <c r="J64" s="129">
        <f t="shared" si="2"/>
        <v>38619</v>
      </c>
      <c r="K64" s="177">
        <v>38619</v>
      </c>
      <c r="L64" s="7"/>
    </row>
    <row r="65" spans="1:12" ht="18.75" x14ac:dyDescent="0.3">
      <c r="A65" s="115"/>
      <c r="B65" s="154" t="s">
        <v>8</v>
      </c>
      <c r="C65" s="220" t="s">
        <v>76</v>
      </c>
      <c r="D65" s="294"/>
      <c r="E65" s="177"/>
      <c r="F65" s="215"/>
      <c r="G65" s="294">
        <f>SUM(H65:I65)</f>
        <v>38619</v>
      </c>
      <c r="H65" s="172">
        <v>38619</v>
      </c>
      <c r="I65" s="215"/>
      <c r="J65" s="129">
        <f t="shared" si="2"/>
        <v>38619</v>
      </c>
      <c r="K65" s="177">
        <v>38619</v>
      </c>
      <c r="L65" s="215"/>
    </row>
    <row r="66" spans="1:12" ht="18.75" x14ac:dyDescent="0.3">
      <c r="A66" s="115"/>
      <c r="B66" s="154" t="s">
        <v>17</v>
      </c>
      <c r="C66" s="220" t="s">
        <v>77</v>
      </c>
      <c r="D66" s="305"/>
      <c r="E66" s="176"/>
      <c r="F66" s="7"/>
      <c r="G66" s="305"/>
      <c r="H66" s="173"/>
      <c r="I66" s="7"/>
      <c r="J66" s="129">
        <f t="shared" si="2"/>
        <v>0</v>
      </c>
      <c r="K66" s="176"/>
      <c r="L66" s="7"/>
    </row>
    <row r="67" spans="1:12" ht="18.75" x14ac:dyDescent="0.3">
      <c r="A67" s="115" t="s">
        <v>110</v>
      </c>
      <c r="B67" s="473" t="s">
        <v>114</v>
      </c>
      <c r="C67" s="569"/>
      <c r="D67" s="302">
        <f t="shared" ref="D67:I67" si="12">+D64</f>
        <v>0</v>
      </c>
      <c r="E67" s="176">
        <f t="shared" si="12"/>
        <v>0</v>
      </c>
      <c r="F67" s="199">
        <f t="shared" si="12"/>
        <v>0</v>
      </c>
      <c r="G67" s="302">
        <f t="shared" si="12"/>
        <v>38619</v>
      </c>
      <c r="H67" s="173">
        <f t="shared" si="12"/>
        <v>38619</v>
      </c>
      <c r="I67" s="199">
        <f t="shared" si="12"/>
        <v>0</v>
      </c>
      <c r="J67" s="130">
        <f t="shared" si="2"/>
        <v>38619</v>
      </c>
      <c r="K67" s="176">
        <f>+K64</f>
        <v>38619</v>
      </c>
      <c r="L67" s="199">
        <f>+L64</f>
        <v>0</v>
      </c>
    </row>
    <row r="68" spans="1:12" ht="18.75" x14ac:dyDescent="0.3">
      <c r="A68" s="3" t="s">
        <v>138</v>
      </c>
      <c r="B68" s="470" t="s">
        <v>111</v>
      </c>
      <c r="C68" s="446"/>
      <c r="D68" s="302"/>
      <c r="E68" s="176"/>
      <c r="F68" s="5">
        <f t="shared" ref="F68:F81" si="13">SUM(D68:E68)</f>
        <v>0</v>
      </c>
      <c r="G68" s="302"/>
      <c r="H68" s="164"/>
      <c r="I68" s="5">
        <f>SUM(F68:H68)</f>
        <v>0</v>
      </c>
      <c r="J68" s="129">
        <f t="shared" si="2"/>
        <v>0</v>
      </c>
      <c r="K68" s="176"/>
      <c r="L68" s="5"/>
    </row>
    <row r="69" spans="1:12" ht="18.75" x14ac:dyDescent="0.3">
      <c r="A69" s="3" t="s">
        <v>139</v>
      </c>
      <c r="B69" s="470" t="s">
        <v>112</v>
      </c>
      <c r="C69" s="446"/>
      <c r="D69" s="302">
        <f>SUM(D70:D73)</f>
        <v>0</v>
      </c>
      <c r="E69" s="176"/>
      <c r="F69" s="5">
        <f t="shared" si="13"/>
        <v>0</v>
      </c>
      <c r="G69" s="302">
        <f>SUM(G70:G73)</f>
        <v>0</v>
      </c>
      <c r="H69" s="164"/>
      <c r="I69" s="5">
        <f>SUM(F69:H69)</f>
        <v>0</v>
      </c>
      <c r="J69" s="129">
        <f t="shared" si="2"/>
        <v>0</v>
      </c>
      <c r="K69" s="176"/>
      <c r="L69" s="5"/>
    </row>
    <row r="70" spans="1:12" ht="18.75" x14ac:dyDescent="0.3">
      <c r="A70" s="3"/>
      <c r="B70" s="134" t="s">
        <v>8</v>
      </c>
      <c r="C70" s="220" t="s">
        <v>78</v>
      </c>
      <c r="D70" s="305"/>
      <c r="E70" s="188"/>
      <c r="F70" s="215">
        <f t="shared" si="13"/>
        <v>0</v>
      </c>
      <c r="G70" s="305"/>
      <c r="H70" s="166"/>
      <c r="I70" s="215">
        <f>SUM(F70:H70)</f>
        <v>0</v>
      </c>
      <c r="J70" s="129">
        <f t="shared" si="2"/>
        <v>0</v>
      </c>
      <c r="K70" s="188"/>
      <c r="L70" s="215"/>
    </row>
    <row r="71" spans="1:12" ht="18.75" x14ac:dyDescent="0.3">
      <c r="A71" s="3"/>
      <c r="B71" s="134" t="s">
        <v>17</v>
      </c>
      <c r="C71" s="220" t="s">
        <v>79</v>
      </c>
      <c r="D71" s="302"/>
      <c r="E71" s="176"/>
      <c r="F71" s="5">
        <f t="shared" si="13"/>
        <v>0</v>
      </c>
      <c r="G71" s="302"/>
      <c r="H71" s="164"/>
      <c r="I71" s="5">
        <f>SUM(F71:H71)</f>
        <v>0</v>
      </c>
      <c r="J71" s="129">
        <f t="shared" si="2"/>
        <v>0</v>
      </c>
      <c r="K71" s="176"/>
      <c r="L71" s="5"/>
    </row>
    <row r="72" spans="1:12" ht="18.75" x14ac:dyDescent="0.3">
      <c r="A72" s="3"/>
      <c r="B72" s="134" t="s">
        <v>18</v>
      </c>
      <c r="C72" s="220" t="s">
        <v>176</v>
      </c>
      <c r="D72" s="305"/>
      <c r="E72" s="176"/>
      <c r="F72" s="5"/>
      <c r="G72" s="305"/>
      <c r="H72" s="164"/>
      <c r="I72" s="5"/>
      <c r="J72" s="129">
        <f t="shared" si="2"/>
        <v>0</v>
      </c>
      <c r="K72" s="176"/>
      <c r="L72" s="5"/>
    </row>
    <row r="73" spans="1:12" ht="18.75" x14ac:dyDescent="0.3">
      <c r="A73" s="3"/>
      <c r="B73" s="134" t="s">
        <v>19</v>
      </c>
      <c r="C73" s="220" t="s">
        <v>177</v>
      </c>
      <c r="D73" s="305"/>
      <c r="E73" s="176"/>
      <c r="F73" s="5"/>
      <c r="G73" s="305"/>
      <c r="H73" s="164"/>
      <c r="I73" s="5"/>
      <c r="J73" s="129">
        <f t="shared" si="2"/>
        <v>0</v>
      </c>
      <c r="K73" s="176"/>
      <c r="L73" s="5"/>
    </row>
    <row r="74" spans="1:12" ht="19.5" x14ac:dyDescent="0.3">
      <c r="A74" s="115" t="s">
        <v>113</v>
      </c>
      <c r="B74" s="471" t="s">
        <v>115</v>
      </c>
      <c r="C74" s="573"/>
      <c r="D74" s="302">
        <f>+D68+D69</f>
        <v>0</v>
      </c>
      <c r="E74" s="176"/>
      <c r="F74" s="5">
        <f t="shared" si="13"/>
        <v>0</v>
      </c>
      <c r="G74" s="302">
        <f>+G68+G69</f>
        <v>0</v>
      </c>
      <c r="H74" s="164"/>
      <c r="I74" s="5">
        <f>SUM(F74:H74)</f>
        <v>0</v>
      </c>
      <c r="J74" s="129">
        <f t="shared" si="2"/>
        <v>0</v>
      </c>
      <c r="K74" s="176"/>
      <c r="L74" s="5"/>
    </row>
    <row r="75" spans="1:12" ht="18.75" x14ac:dyDescent="0.3">
      <c r="A75" s="115" t="s">
        <v>116</v>
      </c>
      <c r="B75" s="468" t="s">
        <v>117</v>
      </c>
      <c r="C75" s="566"/>
      <c r="D75" s="302">
        <f t="shared" ref="D75:I75" si="14">+D67+D74+D63</f>
        <v>60855000</v>
      </c>
      <c r="E75" s="176">
        <f t="shared" si="14"/>
        <v>60855000</v>
      </c>
      <c r="F75" s="199">
        <f t="shared" si="14"/>
        <v>0</v>
      </c>
      <c r="G75" s="302">
        <f t="shared" si="14"/>
        <v>65142180</v>
      </c>
      <c r="H75" s="164">
        <f t="shared" si="14"/>
        <v>65142180</v>
      </c>
      <c r="I75" s="174">
        <f t="shared" si="14"/>
        <v>0</v>
      </c>
      <c r="J75" s="130">
        <f t="shared" si="2"/>
        <v>65142180</v>
      </c>
      <c r="K75" s="176">
        <f>+K67+K74+K63</f>
        <v>65142180</v>
      </c>
      <c r="L75" s="199">
        <f>+L67+L74+L63</f>
        <v>0</v>
      </c>
    </row>
    <row r="76" spans="1:12" ht="18.75" x14ac:dyDescent="0.3">
      <c r="A76" s="3" t="s">
        <v>140</v>
      </c>
      <c r="B76" s="470" t="s">
        <v>209</v>
      </c>
      <c r="C76" s="446"/>
      <c r="D76" s="302"/>
      <c r="E76" s="176"/>
      <c r="F76" s="5">
        <f t="shared" si="13"/>
        <v>0</v>
      </c>
      <c r="G76" s="302"/>
      <c r="H76" s="164"/>
      <c r="I76" s="5">
        <f t="shared" ref="I76:I81" si="15">SUM(F76:H76)</f>
        <v>0</v>
      </c>
      <c r="J76" s="129">
        <f t="shared" si="2"/>
        <v>0</v>
      </c>
      <c r="K76" s="176"/>
      <c r="L76" s="5"/>
    </row>
    <row r="77" spans="1:12" ht="18.75" x14ac:dyDescent="0.3">
      <c r="A77" s="3" t="s">
        <v>141</v>
      </c>
      <c r="B77" s="470" t="s">
        <v>118</v>
      </c>
      <c r="C77" s="446"/>
      <c r="D77" s="305">
        <f>SUM(D78:D80)</f>
        <v>0</v>
      </c>
      <c r="E77" s="188"/>
      <c r="F77" s="215">
        <f t="shared" si="13"/>
        <v>0</v>
      </c>
      <c r="G77" s="305">
        <f>SUM(G78:G80)</f>
        <v>0</v>
      </c>
      <c r="H77" s="166"/>
      <c r="I77" s="215">
        <f t="shared" si="15"/>
        <v>0</v>
      </c>
      <c r="J77" s="129">
        <f t="shared" si="2"/>
        <v>0</v>
      </c>
      <c r="K77" s="188"/>
      <c r="L77" s="215"/>
    </row>
    <row r="78" spans="1:12" ht="18.75" x14ac:dyDescent="0.3">
      <c r="A78" s="3"/>
      <c r="B78" s="134" t="s">
        <v>8</v>
      </c>
      <c r="C78" s="220" t="s">
        <v>173</v>
      </c>
      <c r="D78" s="305"/>
      <c r="E78" s="188"/>
      <c r="F78" s="215">
        <f t="shared" si="13"/>
        <v>0</v>
      </c>
      <c r="G78" s="305"/>
      <c r="H78" s="166"/>
      <c r="I78" s="215">
        <f t="shared" si="15"/>
        <v>0</v>
      </c>
      <c r="J78" s="129">
        <f t="shared" si="2"/>
        <v>0</v>
      </c>
      <c r="K78" s="188"/>
      <c r="L78" s="215"/>
    </row>
    <row r="79" spans="1:12" ht="18.75" x14ac:dyDescent="0.3">
      <c r="A79" s="3"/>
      <c r="B79" s="134" t="s">
        <v>17</v>
      </c>
      <c r="C79" s="220" t="s">
        <v>172</v>
      </c>
      <c r="D79" s="305"/>
      <c r="E79" s="188"/>
      <c r="F79" s="215">
        <f t="shared" si="13"/>
        <v>0</v>
      </c>
      <c r="G79" s="305"/>
      <c r="H79" s="166"/>
      <c r="I79" s="215">
        <f t="shared" si="15"/>
        <v>0</v>
      </c>
      <c r="J79" s="129">
        <f t="shared" si="2"/>
        <v>0</v>
      </c>
      <c r="K79" s="188"/>
      <c r="L79" s="215"/>
    </row>
    <row r="80" spans="1:12" ht="18.75" x14ac:dyDescent="0.3">
      <c r="A80" s="3"/>
      <c r="B80" s="134" t="s">
        <v>18</v>
      </c>
      <c r="C80" s="220" t="s">
        <v>80</v>
      </c>
      <c r="D80" s="305"/>
      <c r="E80" s="188"/>
      <c r="F80" s="215">
        <f t="shared" si="13"/>
        <v>0</v>
      </c>
      <c r="G80" s="305"/>
      <c r="H80" s="166"/>
      <c r="I80" s="215">
        <f t="shared" si="15"/>
        <v>0</v>
      </c>
      <c r="J80" s="129">
        <f t="shared" si="2"/>
        <v>0</v>
      </c>
      <c r="K80" s="188"/>
      <c r="L80" s="215"/>
    </row>
    <row r="81" spans="1:12" ht="18.75" x14ac:dyDescent="0.3">
      <c r="A81" s="115" t="s">
        <v>119</v>
      </c>
      <c r="B81" s="468" t="s">
        <v>120</v>
      </c>
      <c r="C81" s="566"/>
      <c r="D81" s="302">
        <f>+D76+D77</f>
        <v>0</v>
      </c>
      <c r="E81" s="176">
        <f>+E76+E77</f>
        <v>0</v>
      </c>
      <c r="F81" s="5">
        <f t="shared" si="13"/>
        <v>0</v>
      </c>
      <c r="G81" s="302">
        <f>+G76+G77</f>
        <v>0</v>
      </c>
      <c r="H81" s="164">
        <f>+H76+H77</f>
        <v>0</v>
      </c>
      <c r="I81" s="5">
        <f t="shared" si="15"/>
        <v>0</v>
      </c>
      <c r="J81" s="129">
        <f t="shared" si="2"/>
        <v>0</v>
      </c>
      <c r="K81" s="176">
        <f>+K76+K77</f>
        <v>0</v>
      </c>
      <c r="L81" s="5"/>
    </row>
    <row r="82" spans="1:12" ht="18.75" x14ac:dyDescent="0.3">
      <c r="A82" s="115" t="s">
        <v>158</v>
      </c>
      <c r="B82" s="468" t="s">
        <v>160</v>
      </c>
      <c r="C82" s="566"/>
      <c r="D82" s="306">
        <f t="shared" ref="D82:I82" si="16">+D30+D81</f>
        <v>61130000</v>
      </c>
      <c r="E82" s="190">
        <f t="shared" si="16"/>
        <v>61130000</v>
      </c>
      <c r="F82" s="122">
        <f t="shared" si="16"/>
        <v>0</v>
      </c>
      <c r="G82" s="306">
        <f t="shared" si="16"/>
        <v>65628930</v>
      </c>
      <c r="H82" s="122">
        <f t="shared" si="16"/>
        <v>65628930</v>
      </c>
      <c r="I82" s="122">
        <f t="shared" si="16"/>
        <v>0</v>
      </c>
      <c r="J82" s="130">
        <f t="shared" si="2"/>
        <v>64313044</v>
      </c>
      <c r="K82" s="190">
        <f>+K30+K81</f>
        <v>64313044</v>
      </c>
      <c r="L82" s="122">
        <f>+L30+L81</f>
        <v>0</v>
      </c>
    </row>
    <row r="83" spans="1:12" ht="19.5" thickBot="1" x14ac:dyDescent="0.35">
      <c r="A83" s="123" t="s">
        <v>159</v>
      </c>
      <c r="B83" s="124" t="s">
        <v>161</v>
      </c>
      <c r="C83" s="307"/>
      <c r="D83" s="308">
        <f t="shared" ref="D83:I83" si="17">+D61+D75</f>
        <v>61130000</v>
      </c>
      <c r="E83" s="23">
        <f t="shared" si="17"/>
        <v>61130000</v>
      </c>
      <c r="F83" s="125">
        <f t="shared" si="17"/>
        <v>0</v>
      </c>
      <c r="G83" s="308">
        <f t="shared" si="17"/>
        <v>65628930</v>
      </c>
      <c r="H83" s="125">
        <f t="shared" si="17"/>
        <v>65628930</v>
      </c>
      <c r="I83" s="125">
        <f t="shared" si="17"/>
        <v>0</v>
      </c>
      <c r="J83" s="130">
        <f>J75+J61</f>
        <v>65628169</v>
      </c>
      <c r="K83" s="23">
        <f>+K61+K75</f>
        <v>65628169</v>
      </c>
      <c r="L83" s="125">
        <f>+L61+L75</f>
        <v>0</v>
      </c>
    </row>
  </sheetData>
  <mergeCells count="64">
    <mergeCell ref="K6:K7"/>
    <mergeCell ref="L6:L7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G8:I8"/>
    <mergeCell ref="G6:G7"/>
    <mergeCell ref="H6:H7"/>
    <mergeCell ref="I6:I7"/>
    <mergeCell ref="B27:C27"/>
    <mergeCell ref="J6:J7"/>
    <mergeCell ref="B19:C19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D8:F8"/>
    <mergeCell ref="B21:C21"/>
    <mergeCell ref="B23:C23"/>
    <mergeCell ref="B24:C24"/>
    <mergeCell ref="B25:C25"/>
    <mergeCell ref="B26:C26"/>
    <mergeCell ref="B69:C69"/>
    <mergeCell ref="B74:C74"/>
    <mergeCell ref="B54:C54"/>
    <mergeCell ref="B58:C58"/>
    <mergeCell ref="B59:C59"/>
    <mergeCell ref="B60:C60"/>
    <mergeCell ref="B61:C61"/>
    <mergeCell ref="B62:C62"/>
    <mergeCell ref="B63:C63"/>
    <mergeCell ref="B64:C64"/>
    <mergeCell ref="B67:C67"/>
    <mergeCell ref="B68:C68"/>
    <mergeCell ref="B51:C51"/>
    <mergeCell ref="B28:C28"/>
    <mergeCell ref="B29:C29"/>
    <mergeCell ref="B30:C30"/>
    <mergeCell ref="B31:C31"/>
    <mergeCell ref="B32:C32"/>
    <mergeCell ref="B82:C82"/>
    <mergeCell ref="B33:C33"/>
    <mergeCell ref="B75:C75"/>
    <mergeCell ref="B76:C76"/>
    <mergeCell ref="B77:C77"/>
    <mergeCell ref="B81:C81"/>
    <mergeCell ref="B34:C34"/>
    <mergeCell ref="B38:C38"/>
    <mergeCell ref="B42:C42"/>
    <mergeCell ref="B47:C47"/>
    <mergeCell ref="B48:C48"/>
  </mergeCells>
  <pageMargins left="0.7" right="0.7" top="0.75" bottom="0.75" header="0.3" footer="0.3"/>
  <pageSetup paperSize="9" scale="4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Normal="100" zoomScaleSheetLayoutView="100" workbookViewId="0">
      <selection activeCell="F8" sqref="F8"/>
    </sheetView>
  </sheetViews>
  <sheetFormatPr defaultRowHeight="12.75" x14ac:dyDescent="0.2"/>
  <cols>
    <col min="2" max="2" width="59.5703125" customWidth="1"/>
  </cols>
  <sheetData>
    <row r="1" spans="1:6" ht="20.25" x14ac:dyDescent="0.3">
      <c r="B1" s="309" t="s">
        <v>469</v>
      </c>
    </row>
    <row r="2" spans="1:6" ht="15.75" x14ac:dyDescent="0.25">
      <c r="B2" s="310" t="s">
        <v>190</v>
      </c>
    </row>
    <row r="4" spans="1:6" ht="20.25" x14ac:dyDescent="0.3">
      <c r="B4" s="309" t="s">
        <v>340</v>
      </c>
    </row>
    <row r="7" spans="1:6" x14ac:dyDescent="0.2">
      <c r="A7" t="s">
        <v>341</v>
      </c>
      <c r="B7" t="s">
        <v>342</v>
      </c>
      <c r="E7" t="s">
        <v>210</v>
      </c>
      <c r="F7" s="246" t="s">
        <v>466</v>
      </c>
    </row>
    <row r="8" spans="1:6" ht="13.5" thickBot="1" x14ac:dyDescent="0.25"/>
    <row r="9" spans="1:6" x14ac:dyDescent="0.2">
      <c r="A9" s="595" t="s">
        <v>11</v>
      </c>
      <c r="B9" s="597" t="s">
        <v>12</v>
      </c>
      <c r="C9" s="589" t="s">
        <v>13</v>
      </c>
      <c r="D9" s="589" t="s">
        <v>343</v>
      </c>
      <c r="E9" s="589" t="s">
        <v>344</v>
      </c>
      <c r="F9" s="591" t="s">
        <v>345</v>
      </c>
    </row>
    <row r="10" spans="1:6" x14ac:dyDescent="0.2">
      <c r="A10" s="596"/>
      <c r="B10" s="598"/>
      <c r="C10" s="598"/>
      <c r="D10" s="598"/>
      <c r="E10" s="590"/>
      <c r="F10" s="592"/>
    </row>
    <row r="11" spans="1:6" x14ac:dyDescent="0.2">
      <c r="A11" s="43">
        <v>1</v>
      </c>
      <c r="B11" s="311">
        <v>2</v>
      </c>
      <c r="C11" s="311">
        <v>3</v>
      </c>
      <c r="D11" s="311">
        <v>4</v>
      </c>
      <c r="E11" s="311">
        <v>5</v>
      </c>
      <c r="F11" s="312">
        <v>6</v>
      </c>
    </row>
    <row r="12" spans="1:6" ht="15.75" x14ac:dyDescent="0.2">
      <c r="A12" s="43" t="s">
        <v>8</v>
      </c>
      <c r="B12" s="313"/>
      <c r="C12" s="314"/>
      <c r="D12" s="314"/>
      <c r="E12" s="315"/>
      <c r="F12" s="316"/>
    </row>
    <row r="13" spans="1:6" x14ac:dyDescent="0.2">
      <c r="A13" s="43" t="s">
        <v>17</v>
      </c>
      <c r="B13" s="317"/>
      <c r="C13" s="45"/>
      <c r="D13" s="45"/>
      <c r="E13" s="48"/>
      <c r="F13" s="318">
        <f>SUM(E13:E13)</f>
        <v>0</v>
      </c>
    </row>
    <row r="14" spans="1:6" x14ac:dyDescent="0.2">
      <c r="A14" s="43" t="s">
        <v>18</v>
      </c>
      <c r="B14" s="317"/>
      <c r="C14" s="45"/>
      <c r="D14" s="45"/>
      <c r="E14" s="48"/>
      <c r="F14" s="318">
        <f>SUM(E14:E14)</f>
        <v>0</v>
      </c>
    </row>
    <row r="15" spans="1:6" x14ac:dyDescent="0.2">
      <c r="A15" s="43" t="s">
        <v>19</v>
      </c>
      <c r="B15" s="319"/>
      <c r="C15" s="320"/>
      <c r="D15" s="320"/>
      <c r="E15" s="321"/>
      <c r="F15" s="318"/>
    </row>
    <row r="16" spans="1:6" x14ac:dyDescent="0.2">
      <c r="A16" s="43" t="s">
        <v>21</v>
      </c>
      <c r="B16" s="317"/>
      <c r="C16" s="126"/>
      <c r="D16" s="126"/>
      <c r="E16" s="48"/>
      <c r="F16" s="318">
        <f t="shared" ref="F16:F23" si="0">SUM(E16:E16)</f>
        <v>0</v>
      </c>
    </row>
    <row r="17" spans="1:6" x14ac:dyDescent="0.2">
      <c r="A17" s="43" t="s">
        <v>22</v>
      </c>
      <c r="B17" s="317"/>
      <c r="C17" s="45"/>
      <c r="D17" s="45"/>
      <c r="E17" s="48"/>
      <c r="F17" s="318">
        <f t="shared" si="0"/>
        <v>0</v>
      </c>
    </row>
    <row r="18" spans="1:6" x14ac:dyDescent="0.2">
      <c r="A18" s="43" t="s">
        <v>23</v>
      </c>
      <c r="B18" s="319"/>
      <c r="C18" s="320"/>
      <c r="D18" s="320"/>
      <c r="E18" s="321">
        <f>SUM(E19:E19)</f>
        <v>0</v>
      </c>
      <c r="F18" s="318">
        <f t="shared" si="0"/>
        <v>0</v>
      </c>
    </row>
    <row r="19" spans="1:6" ht="15.75" x14ac:dyDescent="0.2">
      <c r="A19" s="43" t="s">
        <v>25</v>
      </c>
      <c r="B19" s="322"/>
      <c r="C19" s="45"/>
      <c r="D19" s="45"/>
      <c r="E19" s="48"/>
      <c r="F19" s="318">
        <f t="shared" si="0"/>
        <v>0</v>
      </c>
    </row>
    <row r="20" spans="1:6" x14ac:dyDescent="0.2">
      <c r="A20" s="43" t="s">
        <v>26</v>
      </c>
      <c r="B20" s="319"/>
      <c r="C20" s="320"/>
      <c r="D20" s="320"/>
      <c r="E20" s="321">
        <f>SUM(E21:E21)</f>
        <v>0</v>
      </c>
      <c r="F20" s="318">
        <f t="shared" si="0"/>
        <v>0</v>
      </c>
    </row>
    <row r="21" spans="1:6" ht="15.75" x14ac:dyDescent="0.2">
      <c r="A21" s="43" t="s">
        <v>9</v>
      </c>
      <c r="B21" s="322"/>
      <c r="C21" s="45"/>
      <c r="D21" s="45"/>
      <c r="E21" s="48">
        <v>0</v>
      </c>
      <c r="F21" s="318">
        <f t="shared" si="0"/>
        <v>0</v>
      </c>
    </row>
    <row r="22" spans="1:6" x14ac:dyDescent="0.2">
      <c r="A22" s="43" t="s">
        <v>29</v>
      </c>
      <c r="B22" s="323" t="s">
        <v>30</v>
      </c>
      <c r="C22" s="320"/>
      <c r="D22" s="320"/>
      <c r="E22" s="48">
        <f>SUM(E23:E23)</f>
        <v>0</v>
      </c>
      <c r="F22" s="318">
        <f t="shared" si="0"/>
        <v>0</v>
      </c>
    </row>
    <row r="23" spans="1:6" x14ac:dyDescent="0.2">
      <c r="A23" s="43" t="s">
        <v>31</v>
      </c>
      <c r="B23" s="317"/>
      <c r="C23" s="45"/>
      <c r="D23" s="45"/>
      <c r="E23" s="48"/>
      <c r="F23" s="318">
        <f t="shared" si="0"/>
        <v>0</v>
      </c>
    </row>
    <row r="24" spans="1:6" ht="13.5" thickBot="1" x14ac:dyDescent="0.25">
      <c r="A24" s="593" t="s">
        <v>32</v>
      </c>
      <c r="B24" s="594"/>
      <c r="C24" s="324"/>
      <c r="D24" s="324"/>
      <c r="E24" s="325">
        <f>E12+E15+E18+E20+E22</f>
        <v>0</v>
      </c>
      <c r="F24" s="326">
        <f>SUM(F12:F23)</f>
        <v>0</v>
      </c>
    </row>
  </sheetData>
  <mergeCells count="7">
    <mergeCell ref="E9:E10"/>
    <mergeCell ref="F9:F10"/>
    <mergeCell ref="A24:B24"/>
    <mergeCell ref="A9:A10"/>
    <mergeCell ref="B9:B10"/>
    <mergeCell ref="C9:C10"/>
    <mergeCell ref="D9:D10"/>
  </mergeCells>
  <pageMargins left="0.7" right="0.7" top="0.75" bottom="0.75" header="0.3" footer="0.3"/>
  <pageSetup paperSize="9" scale="84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view="pageBreakPreview" zoomScale="60" zoomScaleNormal="75" workbookViewId="0">
      <selection activeCell="K61" sqref="K61"/>
    </sheetView>
  </sheetViews>
  <sheetFormatPr defaultRowHeight="15.75" x14ac:dyDescent="0.2"/>
  <cols>
    <col min="1" max="1" width="6" style="2" customWidth="1"/>
    <col min="2" max="2" width="5.140625" style="1" customWidth="1"/>
    <col min="3" max="3" width="82.5703125" style="1" customWidth="1"/>
    <col min="4" max="4" width="17.7109375" style="2" customWidth="1"/>
    <col min="5" max="5" width="17.85546875" style="2" customWidth="1"/>
    <col min="6" max="6" width="15.140625" style="2" customWidth="1"/>
    <col min="7" max="7" width="11.28515625" style="4" customWidth="1"/>
    <col min="8" max="8" width="20" customWidth="1"/>
    <col min="9" max="9" width="18.28515625" customWidth="1"/>
    <col min="11" max="11" width="18.28515625" customWidth="1"/>
    <col min="12" max="12" width="17.85546875" customWidth="1"/>
  </cols>
  <sheetData>
    <row r="1" spans="1:13" ht="18.75" x14ac:dyDescent="0.3">
      <c r="A1" s="461" t="s">
        <v>357</v>
      </c>
      <c r="B1" s="462"/>
      <c r="C1" s="462"/>
      <c r="D1" s="462"/>
      <c r="E1" s="462"/>
      <c r="F1" s="462"/>
    </row>
    <row r="2" spans="1:13" x14ac:dyDescent="0.2">
      <c r="A2" s="464"/>
      <c r="B2" s="464"/>
      <c r="C2" s="464"/>
      <c r="D2" s="464"/>
      <c r="E2" s="464"/>
      <c r="F2" s="464"/>
    </row>
    <row r="3" spans="1:13" x14ac:dyDescent="0.25">
      <c r="A3" s="465" t="s">
        <v>189</v>
      </c>
      <c r="B3" s="465"/>
      <c r="C3" s="465"/>
      <c r="D3" s="465"/>
      <c r="E3" s="465"/>
      <c r="F3" s="465"/>
    </row>
    <row r="4" spans="1:13" x14ac:dyDescent="0.2">
      <c r="A4" s="464" t="s">
        <v>153</v>
      </c>
      <c r="B4" s="464"/>
      <c r="C4" s="464"/>
      <c r="D4" s="464"/>
      <c r="E4" s="464"/>
      <c r="F4" s="464"/>
    </row>
    <row r="5" spans="1:13" ht="16.5" thickBot="1" x14ac:dyDescent="0.3">
      <c r="A5" s="463" t="s">
        <v>219</v>
      </c>
      <c r="B5" s="463"/>
      <c r="C5" s="463"/>
      <c r="D5" s="463"/>
      <c r="E5" s="463"/>
      <c r="F5" s="463"/>
    </row>
    <row r="6" spans="1:13" ht="12.75" customHeight="1" x14ac:dyDescent="0.2">
      <c r="A6" s="448" t="s">
        <v>154</v>
      </c>
      <c r="B6" s="451" t="s">
        <v>142</v>
      </c>
      <c r="C6" s="451"/>
      <c r="D6" s="438" t="s">
        <v>353</v>
      </c>
      <c r="E6" s="444" t="s">
        <v>184</v>
      </c>
      <c r="F6" s="444" t="s">
        <v>185</v>
      </c>
      <c r="G6" s="429" t="s">
        <v>186</v>
      </c>
      <c r="H6" s="438" t="s">
        <v>355</v>
      </c>
      <c r="I6" s="444" t="s">
        <v>335</v>
      </c>
      <c r="J6" s="429" t="s">
        <v>336</v>
      </c>
      <c r="K6" s="438" t="s">
        <v>356</v>
      </c>
      <c r="L6" s="440" t="s">
        <v>338</v>
      </c>
      <c r="M6" s="442" t="s">
        <v>339</v>
      </c>
    </row>
    <row r="7" spans="1:13" ht="13.5" thickBot="1" x14ac:dyDescent="0.25">
      <c r="A7" s="449"/>
      <c r="B7" s="452"/>
      <c r="C7" s="452"/>
      <c r="D7" s="574"/>
      <c r="E7" s="600"/>
      <c r="F7" s="600"/>
      <c r="G7" s="599"/>
      <c r="H7" s="574"/>
      <c r="I7" s="587"/>
      <c r="J7" s="588"/>
      <c r="K7" s="574"/>
      <c r="L7" s="581"/>
      <c r="M7" s="582"/>
    </row>
    <row r="8" spans="1:13" thickBot="1" x14ac:dyDescent="0.25">
      <c r="A8" s="450"/>
      <c r="B8" s="453"/>
      <c r="C8" s="453"/>
      <c r="D8" s="439" t="s">
        <v>354</v>
      </c>
      <c r="E8" s="574"/>
      <c r="F8" s="574"/>
      <c r="G8" s="157"/>
      <c r="H8" s="580" t="s">
        <v>352</v>
      </c>
      <c r="I8" s="432"/>
      <c r="J8" s="432"/>
      <c r="L8" t="s">
        <v>466</v>
      </c>
    </row>
    <row r="9" spans="1:13" ht="16.5" thickBot="1" x14ac:dyDescent="0.25">
      <c r="A9" s="156"/>
      <c r="B9" s="451" t="s">
        <v>155</v>
      </c>
      <c r="C9" s="451"/>
      <c r="D9" s="167"/>
      <c r="E9" s="160"/>
      <c r="F9" s="153"/>
      <c r="G9" s="153"/>
      <c r="H9" s="284"/>
      <c r="I9" s="284"/>
      <c r="J9" s="285"/>
      <c r="K9" s="286"/>
      <c r="L9" s="286"/>
      <c r="M9" s="167"/>
    </row>
    <row r="10" spans="1:13" x14ac:dyDescent="0.25">
      <c r="A10" s="3">
        <v>1</v>
      </c>
      <c r="B10" s="455" t="s">
        <v>143</v>
      </c>
      <c r="C10" s="455"/>
      <c r="D10" s="161">
        <v>25147000</v>
      </c>
      <c r="E10" s="161">
        <v>25147000</v>
      </c>
      <c r="F10" s="129"/>
      <c r="G10" s="158"/>
      <c r="H10" s="290">
        <v>25451180</v>
      </c>
      <c r="I10" s="291">
        <v>25451180</v>
      </c>
      <c r="J10" s="289"/>
      <c r="K10" s="129">
        <v>25291156</v>
      </c>
      <c r="L10" s="6">
        <v>25291156</v>
      </c>
      <c r="M10" s="7"/>
    </row>
    <row r="11" spans="1:13" x14ac:dyDescent="0.25">
      <c r="A11" s="3">
        <v>2</v>
      </c>
      <c r="B11" s="455" t="s">
        <v>150</v>
      </c>
      <c r="C11" s="455"/>
      <c r="D11" s="161">
        <v>6862000</v>
      </c>
      <c r="E11" s="161">
        <v>6862000</v>
      </c>
      <c r="F11" s="129"/>
      <c r="G11" s="158"/>
      <c r="H11" s="293">
        <v>6948889</v>
      </c>
      <c r="I11" s="161">
        <v>6948889</v>
      </c>
      <c r="J11" s="7"/>
      <c r="K11" s="129">
        <v>6664762</v>
      </c>
      <c r="L11" s="6">
        <v>6664762</v>
      </c>
      <c r="M11" s="7"/>
    </row>
    <row r="12" spans="1:13" x14ac:dyDescent="0.25">
      <c r="A12" s="3">
        <v>3</v>
      </c>
      <c r="B12" s="455" t="s">
        <v>151</v>
      </c>
      <c r="C12" s="455"/>
      <c r="D12" s="161">
        <v>4737000</v>
      </c>
      <c r="E12" s="161">
        <v>4737000</v>
      </c>
      <c r="F12" s="129"/>
      <c r="G12" s="168"/>
      <c r="H12" s="293">
        <v>4822762</v>
      </c>
      <c r="I12" s="161">
        <v>4822762</v>
      </c>
      <c r="J12" s="7"/>
      <c r="K12" s="129">
        <v>3937264</v>
      </c>
      <c r="L12" s="6">
        <v>3937264</v>
      </c>
      <c r="M12" s="7"/>
    </row>
    <row r="13" spans="1:13" x14ac:dyDescent="0.25">
      <c r="A13" s="3" t="s">
        <v>19</v>
      </c>
      <c r="B13" s="455" t="s">
        <v>135</v>
      </c>
      <c r="C13" s="455"/>
      <c r="D13" s="201"/>
      <c r="E13" s="161"/>
      <c r="F13" s="129"/>
      <c r="G13" s="158"/>
      <c r="H13" s="293"/>
      <c r="I13" s="161"/>
      <c r="J13" s="7"/>
      <c r="K13" s="129">
        <f t="shared" ref="K13:K29" si="0">+L13+M13</f>
        <v>0</v>
      </c>
      <c r="L13" s="6"/>
      <c r="M13" s="7"/>
    </row>
    <row r="14" spans="1:13" x14ac:dyDescent="0.25">
      <c r="A14" s="3" t="s">
        <v>21</v>
      </c>
      <c r="B14" s="456" t="s">
        <v>130</v>
      </c>
      <c r="C14" s="456"/>
      <c r="D14" s="201">
        <f>+D15+D16+D17+D18+D19</f>
        <v>0</v>
      </c>
      <c r="E14" s="161"/>
      <c r="F14" s="6"/>
      <c r="G14" s="6"/>
      <c r="H14" s="292"/>
      <c r="I14" s="161"/>
      <c r="J14" s="201"/>
      <c r="K14" s="129"/>
      <c r="L14" s="6"/>
      <c r="M14" s="201"/>
    </row>
    <row r="15" spans="1:13" x14ac:dyDescent="0.25">
      <c r="A15" s="3" t="s">
        <v>122</v>
      </c>
      <c r="B15" s="459" t="s">
        <v>125</v>
      </c>
      <c r="C15" s="459"/>
      <c r="D15" s="201"/>
      <c r="E15" s="161"/>
      <c r="F15" s="129"/>
      <c r="G15" s="158"/>
      <c r="H15" s="293"/>
      <c r="I15" s="161"/>
      <c r="J15" s="7"/>
      <c r="K15" s="129">
        <f t="shared" si="0"/>
        <v>0</v>
      </c>
      <c r="L15" s="6"/>
      <c r="M15" s="7"/>
    </row>
    <row r="16" spans="1:13" x14ac:dyDescent="0.25">
      <c r="A16" s="3" t="s">
        <v>123</v>
      </c>
      <c r="B16" s="459" t="s">
        <v>183</v>
      </c>
      <c r="C16" s="459"/>
      <c r="D16" s="201"/>
      <c r="E16" s="161"/>
      <c r="F16" s="129"/>
      <c r="G16" s="158"/>
      <c r="H16" s="293"/>
      <c r="I16" s="161"/>
      <c r="J16" s="7"/>
      <c r="K16" s="129"/>
      <c r="L16" s="6"/>
      <c r="M16" s="7"/>
    </row>
    <row r="17" spans="1:13" x14ac:dyDescent="0.25">
      <c r="A17" s="3"/>
      <c r="B17" s="578" t="s">
        <v>131</v>
      </c>
      <c r="C17" s="578"/>
      <c r="D17" s="201"/>
      <c r="E17" s="161"/>
      <c r="F17" s="129"/>
      <c r="G17" s="158"/>
      <c r="H17" s="293"/>
      <c r="I17" s="161"/>
      <c r="J17" s="7"/>
      <c r="K17" s="129">
        <f t="shared" si="0"/>
        <v>0</v>
      </c>
      <c r="L17" s="6"/>
      <c r="M17" s="7"/>
    </row>
    <row r="18" spans="1:13" x14ac:dyDescent="0.25">
      <c r="A18" s="3" t="s">
        <v>124</v>
      </c>
      <c r="B18" s="457" t="s">
        <v>126</v>
      </c>
      <c r="C18" s="457"/>
      <c r="D18" s="201"/>
      <c r="E18" s="161"/>
      <c r="F18" s="129"/>
      <c r="G18" s="158"/>
      <c r="H18" s="293"/>
      <c r="I18" s="161"/>
      <c r="J18" s="7"/>
      <c r="K18" s="129">
        <f t="shared" si="0"/>
        <v>0</v>
      </c>
      <c r="L18" s="6"/>
      <c r="M18" s="7"/>
    </row>
    <row r="19" spans="1:13" x14ac:dyDescent="0.25">
      <c r="A19" s="3" t="s">
        <v>47</v>
      </c>
      <c r="B19" s="457" t="s">
        <v>48</v>
      </c>
      <c r="C19" s="458"/>
      <c r="D19" s="201"/>
      <c r="E19" s="161"/>
      <c r="F19" s="129"/>
      <c r="G19" s="158"/>
      <c r="H19" s="293"/>
      <c r="I19" s="161"/>
      <c r="J19" s="7"/>
      <c r="K19" s="129">
        <f t="shared" si="0"/>
        <v>0</v>
      </c>
      <c r="L19" s="6"/>
      <c r="M19" s="7"/>
    </row>
    <row r="20" spans="1:13" x14ac:dyDescent="0.25">
      <c r="A20" s="3"/>
      <c r="B20" s="332"/>
      <c r="C20" s="333"/>
      <c r="D20" s="201"/>
      <c r="E20" s="161"/>
      <c r="F20" s="207"/>
      <c r="G20" s="169"/>
      <c r="H20" s="295"/>
      <c r="I20" s="161"/>
      <c r="J20" s="296"/>
      <c r="K20" s="129"/>
      <c r="L20" s="6"/>
      <c r="M20" s="7"/>
    </row>
    <row r="21" spans="1:13" x14ac:dyDescent="0.25">
      <c r="A21" s="3"/>
      <c r="B21" s="455" t="s">
        <v>179</v>
      </c>
      <c r="C21" s="455"/>
      <c r="D21" s="202"/>
      <c r="E21" s="162"/>
      <c r="F21" s="207"/>
      <c r="G21" s="169"/>
      <c r="H21" s="295"/>
      <c r="I21" s="162"/>
      <c r="J21" s="296"/>
      <c r="K21" s="129">
        <f t="shared" si="0"/>
        <v>0</v>
      </c>
      <c r="L21" s="177"/>
      <c r="M21" s="7"/>
    </row>
    <row r="22" spans="1:13" x14ac:dyDescent="0.25">
      <c r="A22" s="3" t="s">
        <v>147</v>
      </c>
      <c r="B22" s="152" t="s">
        <v>121</v>
      </c>
      <c r="C22" s="113"/>
      <c r="D22" s="201">
        <f>+D10+D11+D12+D13+D14+D21</f>
        <v>36746000</v>
      </c>
      <c r="E22" s="201">
        <f>+E10+E11+E12+E13+E14+E21</f>
        <v>36746000</v>
      </c>
      <c r="F22" s="161"/>
      <c r="G22" s="161"/>
      <c r="H22" s="298">
        <f>+I22+J22</f>
        <v>37222831</v>
      </c>
      <c r="I22" s="171">
        <f>+I10+I11+I12+I13+I14+I21</f>
        <v>37222831</v>
      </c>
      <c r="J22" s="201">
        <f>+J10+J11+J12+J13+J14+J21</f>
        <v>0</v>
      </c>
      <c r="K22" s="129">
        <f t="shared" si="0"/>
        <v>35893182</v>
      </c>
      <c r="L22" s="6">
        <f>+L10+L11+L12+L13+L14+L21</f>
        <v>35893182</v>
      </c>
      <c r="M22" s="201">
        <f>+M10+M11+M12+M13+M14+M21</f>
        <v>0</v>
      </c>
    </row>
    <row r="23" spans="1:13" x14ac:dyDescent="0.25">
      <c r="A23" s="3" t="s">
        <v>22</v>
      </c>
      <c r="B23" s="455" t="s">
        <v>145</v>
      </c>
      <c r="C23" s="455"/>
      <c r="D23" s="202"/>
      <c r="E23" s="162"/>
      <c r="F23" s="129"/>
      <c r="G23" s="158"/>
      <c r="H23" s="299">
        <v>222040</v>
      </c>
      <c r="I23" s="162">
        <v>222040</v>
      </c>
      <c r="J23" s="131"/>
      <c r="K23" s="129">
        <v>222040</v>
      </c>
      <c r="L23" s="177">
        <v>222040</v>
      </c>
      <c r="M23" s="7"/>
    </row>
    <row r="24" spans="1:13" x14ac:dyDescent="0.25">
      <c r="A24" s="3" t="s">
        <v>23</v>
      </c>
      <c r="B24" s="455" t="s">
        <v>144</v>
      </c>
      <c r="C24" s="455"/>
      <c r="D24" s="202"/>
      <c r="E24" s="162"/>
      <c r="F24" s="129"/>
      <c r="G24" s="158"/>
      <c r="H24" s="293"/>
      <c r="I24" s="162"/>
      <c r="J24" s="7"/>
      <c r="K24" s="129">
        <f t="shared" si="0"/>
        <v>0</v>
      </c>
      <c r="L24" s="177"/>
      <c r="M24" s="7"/>
    </row>
    <row r="25" spans="1:13" x14ac:dyDescent="0.25">
      <c r="A25" s="3" t="s">
        <v>25</v>
      </c>
      <c r="B25" s="455" t="s">
        <v>127</v>
      </c>
      <c r="C25" s="455"/>
      <c r="D25" s="202"/>
      <c r="E25" s="162"/>
      <c r="F25" s="129"/>
      <c r="G25" s="158"/>
      <c r="H25" s="293"/>
      <c r="I25" s="162"/>
      <c r="J25" s="7"/>
      <c r="K25" s="129">
        <f t="shared" si="0"/>
        <v>0</v>
      </c>
      <c r="L25" s="177"/>
      <c r="M25" s="7"/>
    </row>
    <row r="26" spans="1:13" x14ac:dyDescent="0.25">
      <c r="A26" s="3" t="s">
        <v>148</v>
      </c>
      <c r="B26" s="455" t="s">
        <v>180</v>
      </c>
      <c r="C26" s="455"/>
      <c r="D26" s="202">
        <f>+D23+D24+D25</f>
        <v>0</v>
      </c>
      <c r="E26" s="162"/>
      <c r="F26" s="129"/>
      <c r="G26" s="158"/>
      <c r="H26" s="293">
        <f>+J26+I26</f>
        <v>222040</v>
      </c>
      <c r="I26" s="162">
        <v>222040</v>
      </c>
      <c r="J26" s="7">
        <f>SUM(J23:J25)</f>
        <v>0</v>
      </c>
      <c r="K26" s="129">
        <v>222040</v>
      </c>
      <c r="L26" s="177">
        <v>222040</v>
      </c>
      <c r="M26" s="7"/>
    </row>
    <row r="27" spans="1:13" x14ac:dyDescent="0.25">
      <c r="A27" s="3" t="s">
        <v>149</v>
      </c>
      <c r="B27" s="455"/>
      <c r="C27" s="455"/>
      <c r="D27" s="202"/>
      <c r="E27" s="162"/>
      <c r="F27" s="129"/>
      <c r="G27" s="158"/>
      <c r="H27" s="293"/>
      <c r="I27" s="162"/>
      <c r="J27" s="7"/>
      <c r="K27" s="129">
        <f t="shared" si="0"/>
        <v>0</v>
      </c>
      <c r="L27" s="177"/>
      <c r="M27" s="7"/>
    </row>
    <row r="28" spans="1:13" x14ac:dyDescent="0.25">
      <c r="A28" s="3" t="s">
        <v>136</v>
      </c>
      <c r="B28" s="474"/>
      <c r="C28" s="474"/>
      <c r="D28" s="203"/>
      <c r="E28" s="163"/>
      <c r="F28" s="129">
        <f>+D28+E28</f>
        <v>0</v>
      </c>
      <c r="G28" s="158"/>
      <c r="H28" s="293"/>
      <c r="I28" s="163"/>
      <c r="J28" s="7">
        <f>+G28+I28</f>
        <v>0</v>
      </c>
      <c r="K28" s="129">
        <f t="shared" si="0"/>
        <v>0</v>
      </c>
      <c r="L28" s="175"/>
      <c r="M28" s="7">
        <f>+I28+L28</f>
        <v>0</v>
      </c>
    </row>
    <row r="29" spans="1:13" x14ac:dyDescent="0.25">
      <c r="A29" s="3" t="s">
        <v>137</v>
      </c>
      <c r="B29" s="474"/>
      <c r="C29" s="474"/>
      <c r="D29" s="203"/>
      <c r="E29" s="198"/>
      <c r="F29" s="129">
        <f>+D29+E29</f>
        <v>0</v>
      </c>
      <c r="G29" s="158"/>
      <c r="H29" s="293"/>
      <c r="I29" s="198"/>
      <c r="J29" s="7">
        <f>+G29+I29</f>
        <v>0</v>
      </c>
      <c r="K29" s="129">
        <f t="shared" si="0"/>
        <v>0</v>
      </c>
      <c r="L29" s="301"/>
      <c r="M29" s="7">
        <f>+I29+L29</f>
        <v>0</v>
      </c>
    </row>
    <row r="30" spans="1:13" ht="19.5" x14ac:dyDescent="0.3">
      <c r="A30" s="115" t="s">
        <v>128</v>
      </c>
      <c r="B30" s="473" t="s">
        <v>129</v>
      </c>
      <c r="C30" s="473"/>
      <c r="D30" s="199">
        <f>+D22+D26+D27+D28+D29</f>
        <v>36746000</v>
      </c>
      <c r="E30" s="199">
        <f>+E22+E26+E27+E28+E29</f>
        <v>36746000</v>
      </c>
      <c r="F30" s="199">
        <f>+F22+F26+F27+F28+F29</f>
        <v>0</v>
      </c>
      <c r="G30" s="199">
        <f>+G22+G26+G27+G28+G29</f>
        <v>0</v>
      </c>
      <c r="H30" s="302">
        <f t="shared" ref="H30:J30" si="1">+H22+H26+H27+H28+H29</f>
        <v>37444871</v>
      </c>
      <c r="I30" s="194">
        <f t="shared" si="1"/>
        <v>37444871</v>
      </c>
      <c r="J30" s="199">
        <f t="shared" si="1"/>
        <v>0</v>
      </c>
      <c r="K30" s="130">
        <f>+K10+K11+K12+K14+K26</f>
        <v>36115222</v>
      </c>
      <c r="L30" s="176">
        <f>+L22+L26+L27+L28+L29</f>
        <v>36115222</v>
      </c>
      <c r="M30" s="199">
        <f>+M22+M26+M27+M28+M29</f>
        <v>0</v>
      </c>
    </row>
    <row r="31" spans="1:13" x14ac:dyDescent="0.25">
      <c r="A31" s="11"/>
      <c r="B31" s="469"/>
      <c r="C31" s="469"/>
      <c r="D31" s="13"/>
      <c r="E31" s="165"/>
      <c r="F31" s="12"/>
      <c r="G31" s="12"/>
      <c r="H31" s="303"/>
      <c r="I31" s="165"/>
      <c r="J31" s="13"/>
      <c r="K31" s="12"/>
      <c r="L31" s="12"/>
      <c r="M31" s="13"/>
    </row>
    <row r="32" spans="1:13" x14ac:dyDescent="0.25">
      <c r="A32" s="3"/>
      <c r="B32" s="472" t="s">
        <v>156</v>
      </c>
      <c r="C32" s="472"/>
      <c r="D32" s="202"/>
      <c r="E32" s="162"/>
      <c r="F32" s="129"/>
      <c r="G32" s="158"/>
      <c r="H32" s="293"/>
      <c r="I32" s="162"/>
      <c r="J32" s="7"/>
      <c r="K32" s="129"/>
      <c r="L32" s="177"/>
      <c r="M32" s="7"/>
    </row>
    <row r="33" spans="1:13" x14ac:dyDescent="0.25">
      <c r="A33" s="3" t="s">
        <v>8</v>
      </c>
      <c r="B33" s="470" t="s">
        <v>178</v>
      </c>
      <c r="C33" s="470"/>
      <c r="D33" s="202"/>
      <c r="E33" s="162"/>
      <c r="F33" s="129"/>
      <c r="G33" s="158">
        <v>0</v>
      </c>
      <c r="H33" s="294">
        <f>+I33+J33</f>
        <v>11100</v>
      </c>
      <c r="I33" s="162">
        <v>11100</v>
      </c>
      <c r="J33" s="7"/>
      <c r="K33" s="129">
        <f t="shared" ref="K33:K82" si="2">+L33+M33</f>
        <v>6100</v>
      </c>
      <c r="L33" s="177">
        <v>6100</v>
      </c>
      <c r="M33" s="7"/>
    </row>
    <row r="34" spans="1:13" x14ac:dyDescent="0.25">
      <c r="A34" s="3" t="s">
        <v>17</v>
      </c>
      <c r="B34" s="470" t="s">
        <v>152</v>
      </c>
      <c r="C34" s="470"/>
      <c r="D34" s="202">
        <f>SUM(D35:D37)</f>
        <v>0</v>
      </c>
      <c r="E34" s="162">
        <f>SUM(E35:E37)</f>
        <v>0</v>
      </c>
      <c r="F34" s="162">
        <f>SUM(F35:F37)</f>
        <v>0</v>
      </c>
      <c r="G34" s="158"/>
      <c r="H34" s="294">
        <f t="shared" ref="H34:J34" si="3">SUM(H35:H37)</f>
        <v>0</v>
      </c>
      <c r="I34" s="162">
        <f t="shared" si="3"/>
        <v>0</v>
      </c>
      <c r="J34" s="214">
        <f t="shared" si="3"/>
        <v>0</v>
      </c>
      <c r="K34" s="129">
        <f t="shared" si="2"/>
        <v>0</v>
      </c>
      <c r="L34" s="177">
        <f>SUM(L35:L37)</f>
        <v>0</v>
      </c>
      <c r="M34" s="202">
        <f>SUM(M35:M37)</f>
        <v>0</v>
      </c>
    </row>
    <row r="35" spans="1:13" x14ac:dyDescent="0.25">
      <c r="A35" s="3"/>
      <c r="B35" s="133" t="s">
        <v>49</v>
      </c>
      <c r="C35" s="102" t="s">
        <v>132</v>
      </c>
      <c r="D35" s="202"/>
      <c r="E35" s="162"/>
      <c r="F35" s="129"/>
      <c r="G35" s="158"/>
      <c r="H35" s="294"/>
      <c r="I35" s="162"/>
      <c r="J35" s="7"/>
      <c r="K35" s="129">
        <f t="shared" si="2"/>
        <v>0</v>
      </c>
      <c r="L35" s="177"/>
      <c r="M35" s="7"/>
    </row>
    <row r="36" spans="1:13" x14ac:dyDescent="0.25">
      <c r="A36" s="3"/>
      <c r="B36" s="133" t="s">
        <v>50</v>
      </c>
      <c r="C36" s="102" t="s">
        <v>133</v>
      </c>
      <c r="D36" s="202"/>
      <c r="E36" s="162"/>
      <c r="F36" s="129"/>
      <c r="G36" s="158"/>
      <c r="H36" s="294"/>
      <c r="I36" s="162"/>
      <c r="J36" s="7"/>
      <c r="K36" s="129">
        <f t="shared" si="2"/>
        <v>0</v>
      </c>
      <c r="L36" s="177"/>
      <c r="M36" s="7"/>
    </row>
    <row r="37" spans="1:13" x14ac:dyDescent="0.25">
      <c r="A37" s="3"/>
      <c r="B37" s="133" t="s">
        <v>51</v>
      </c>
      <c r="C37" s="102" t="s">
        <v>134</v>
      </c>
      <c r="D37" s="202"/>
      <c r="E37" s="162"/>
      <c r="F37" s="129"/>
      <c r="G37" s="158"/>
      <c r="H37" s="294"/>
      <c r="I37" s="162"/>
      <c r="J37" s="7"/>
      <c r="K37" s="129">
        <f t="shared" si="2"/>
        <v>0</v>
      </c>
      <c r="L37" s="177"/>
      <c r="M37" s="7"/>
    </row>
    <row r="38" spans="1:13" x14ac:dyDescent="0.25">
      <c r="A38" s="3" t="s">
        <v>18</v>
      </c>
      <c r="B38" s="470" t="s">
        <v>101</v>
      </c>
      <c r="C38" s="470"/>
      <c r="D38" s="202">
        <f>SUM(D39:D41)</f>
        <v>0</v>
      </c>
      <c r="E38" s="162"/>
      <c r="F38" s="129">
        <f>SUM(F39:F41)</f>
        <v>0</v>
      </c>
      <c r="G38" s="158"/>
      <c r="H38" s="294">
        <f>SUM(H39:H41)</f>
        <v>0</v>
      </c>
      <c r="I38" s="162"/>
      <c r="J38" s="7">
        <f>SUM(J39:J41)</f>
        <v>0</v>
      </c>
      <c r="K38" s="129">
        <f t="shared" si="2"/>
        <v>0</v>
      </c>
      <c r="L38" s="177"/>
      <c r="M38" s="7">
        <f>SUM(M39:M41)</f>
        <v>0</v>
      </c>
    </row>
    <row r="39" spans="1:13" x14ac:dyDescent="0.25">
      <c r="A39" s="3"/>
      <c r="B39" s="134" t="s">
        <v>52</v>
      </c>
      <c r="C39" s="132" t="s">
        <v>181</v>
      </c>
      <c r="D39" s="202"/>
      <c r="E39" s="162"/>
      <c r="F39" s="129"/>
      <c r="G39" s="158"/>
      <c r="H39" s="294"/>
      <c r="I39" s="162"/>
      <c r="J39" s="7"/>
      <c r="K39" s="129">
        <f t="shared" si="2"/>
        <v>0</v>
      </c>
      <c r="L39" s="177"/>
      <c r="M39" s="7"/>
    </row>
    <row r="40" spans="1:13" x14ac:dyDescent="0.25">
      <c r="A40" s="3"/>
      <c r="B40" s="134" t="s">
        <v>53</v>
      </c>
      <c r="C40" s="132" t="s">
        <v>55</v>
      </c>
      <c r="D40" s="202"/>
      <c r="E40" s="162"/>
      <c r="F40" s="129">
        <f t="shared" ref="F40:F46" si="4">SUM(D40:D40)</f>
        <v>0</v>
      </c>
      <c r="G40" s="158"/>
      <c r="H40" s="294"/>
      <c r="I40" s="162"/>
      <c r="J40" s="7">
        <f>SUM(G40:G40)</f>
        <v>0</v>
      </c>
      <c r="K40" s="129">
        <f t="shared" si="2"/>
        <v>0</v>
      </c>
      <c r="L40" s="177"/>
      <c r="M40" s="7">
        <f>SUM(I40:I40)</f>
        <v>0</v>
      </c>
    </row>
    <row r="41" spans="1:13" x14ac:dyDescent="0.25">
      <c r="A41" s="3"/>
      <c r="B41" s="134" t="s">
        <v>54</v>
      </c>
      <c r="C41" s="132" t="s">
        <v>182</v>
      </c>
      <c r="D41" s="202"/>
      <c r="E41" s="162"/>
      <c r="F41" s="129"/>
      <c r="G41" s="158"/>
      <c r="H41" s="294"/>
      <c r="I41" s="162"/>
      <c r="J41" s="7"/>
      <c r="K41" s="129">
        <f t="shared" si="2"/>
        <v>0</v>
      </c>
      <c r="L41" s="177"/>
      <c r="M41" s="7"/>
    </row>
    <row r="42" spans="1:13" x14ac:dyDescent="0.25">
      <c r="A42" s="3" t="s">
        <v>19</v>
      </c>
      <c r="B42" s="470" t="s">
        <v>102</v>
      </c>
      <c r="C42" s="470"/>
      <c r="D42" s="202">
        <f>SUM(D43:D46)</f>
        <v>0</v>
      </c>
      <c r="E42" s="162">
        <f>SUM(E43:E46)</f>
        <v>0</v>
      </c>
      <c r="F42" s="162">
        <f>SUM(F43:F46)</f>
        <v>0</v>
      </c>
      <c r="G42" s="158"/>
      <c r="H42" s="294">
        <v>687771</v>
      </c>
      <c r="I42" s="162">
        <f>SUM(I43:I46)</f>
        <v>687771</v>
      </c>
      <c r="J42" s="214">
        <f>SUM(J43:J46)</f>
        <v>0</v>
      </c>
      <c r="K42" s="129">
        <f t="shared" si="2"/>
        <v>687771</v>
      </c>
      <c r="L42" s="177">
        <f>SUM(L43:L46)</f>
        <v>687771</v>
      </c>
      <c r="M42" s="202"/>
    </row>
    <row r="43" spans="1:13" x14ac:dyDescent="0.25">
      <c r="A43" s="3"/>
      <c r="B43" s="134" t="s">
        <v>56</v>
      </c>
      <c r="C43" s="132" t="s">
        <v>60</v>
      </c>
      <c r="D43" s="202"/>
      <c r="E43" s="162"/>
      <c r="F43" s="129"/>
      <c r="G43" s="158"/>
      <c r="H43" s="294">
        <v>687771</v>
      </c>
      <c r="I43" s="162">
        <v>687771</v>
      </c>
      <c r="J43" s="7"/>
      <c r="K43" s="129">
        <f t="shared" si="2"/>
        <v>687771</v>
      </c>
      <c r="L43" s="162">
        <v>687771</v>
      </c>
      <c r="M43" s="7"/>
    </row>
    <row r="44" spans="1:13" x14ac:dyDescent="0.25">
      <c r="A44" s="3"/>
      <c r="B44" s="134" t="s">
        <v>57</v>
      </c>
      <c r="C44" s="132" t="s">
        <v>61</v>
      </c>
      <c r="D44" s="202"/>
      <c r="E44" s="162"/>
      <c r="F44" s="129">
        <f t="shared" si="4"/>
        <v>0</v>
      </c>
      <c r="G44" s="158"/>
      <c r="H44" s="294"/>
      <c r="I44" s="162"/>
      <c r="J44" s="7">
        <f>SUM(G44:G44)</f>
        <v>0</v>
      </c>
      <c r="K44" s="129">
        <f t="shared" si="2"/>
        <v>0</v>
      </c>
      <c r="L44" s="177"/>
      <c r="M44" s="7">
        <f>SUM(I44:I44)</f>
        <v>0</v>
      </c>
    </row>
    <row r="45" spans="1:13" x14ac:dyDescent="0.25">
      <c r="A45" s="3"/>
      <c r="B45" s="134" t="s">
        <v>58</v>
      </c>
      <c r="C45" s="132" t="s">
        <v>207</v>
      </c>
      <c r="D45" s="202"/>
      <c r="E45" s="162"/>
      <c r="F45" s="129">
        <f t="shared" si="4"/>
        <v>0</v>
      </c>
      <c r="G45" s="158"/>
      <c r="H45" s="294"/>
      <c r="I45" s="162"/>
      <c r="J45" s="7">
        <f>SUM(G45:G45)</f>
        <v>0</v>
      </c>
      <c r="K45" s="129">
        <f t="shared" si="2"/>
        <v>0</v>
      </c>
      <c r="L45" s="177"/>
      <c r="M45" s="7">
        <f>SUM(I45:I45)</f>
        <v>0</v>
      </c>
    </row>
    <row r="46" spans="1:13" x14ac:dyDescent="0.25">
      <c r="A46" s="3"/>
      <c r="B46" s="134" t="s">
        <v>59</v>
      </c>
      <c r="C46" s="132" t="s">
        <v>62</v>
      </c>
      <c r="D46" s="202"/>
      <c r="E46" s="162"/>
      <c r="F46" s="129">
        <f t="shared" si="4"/>
        <v>0</v>
      </c>
      <c r="G46" s="158"/>
      <c r="H46" s="294"/>
      <c r="I46" s="162"/>
      <c r="J46" s="7">
        <f>SUM(G46:G46)</f>
        <v>0</v>
      </c>
      <c r="K46" s="129">
        <f t="shared" si="2"/>
        <v>0</v>
      </c>
      <c r="L46" s="177"/>
      <c r="M46" s="7">
        <f>SUM(I46:I46)</f>
        <v>0</v>
      </c>
    </row>
    <row r="47" spans="1:13" x14ac:dyDescent="0.25">
      <c r="A47" s="135" t="s">
        <v>147</v>
      </c>
      <c r="B47" s="460" t="s">
        <v>63</v>
      </c>
      <c r="C47" s="460"/>
      <c r="D47" s="202">
        <f>+D33+D34+D38+D42</f>
        <v>0</v>
      </c>
      <c r="E47" s="162">
        <f>+E33+E34+E38+E42</f>
        <v>0</v>
      </c>
      <c r="F47" s="202">
        <f>+F33+F34+F38+F42</f>
        <v>0</v>
      </c>
      <c r="G47" s="202">
        <f>+G33+G34+G38+G42</f>
        <v>0</v>
      </c>
      <c r="H47" s="294">
        <f t="shared" ref="H47:J47" si="5">+H33+H34+H38+H42</f>
        <v>698871</v>
      </c>
      <c r="I47" s="162">
        <f t="shared" si="5"/>
        <v>698871</v>
      </c>
      <c r="J47" s="202">
        <f t="shared" si="5"/>
        <v>0</v>
      </c>
      <c r="K47" s="129">
        <f t="shared" si="2"/>
        <v>693871</v>
      </c>
      <c r="L47" s="177">
        <f>+L33+L34+L38+L42</f>
        <v>693871</v>
      </c>
      <c r="M47" s="202">
        <f>+M33+M34+M38+M42</f>
        <v>0</v>
      </c>
    </row>
    <row r="48" spans="1:13" x14ac:dyDescent="0.25">
      <c r="A48" s="3" t="s">
        <v>21</v>
      </c>
      <c r="B48" s="470" t="s">
        <v>146</v>
      </c>
      <c r="C48" s="470"/>
      <c r="D48" s="202">
        <f>SUM(D49:D50)</f>
        <v>0</v>
      </c>
      <c r="E48" s="162">
        <f>SUM(E49:E50)</f>
        <v>0</v>
      </c>
      <c r="F48" s="162">
        <f>SUM(F49:F50)</f>
        <v>0</v>
      </c>
      <c r="G48" s="158"/>
      <c r="H48" s="294">
        <f t="shared" ref="H48:J48" si="6">SUM(H49:H50)</f>
        <v>0</v>
      </c>
      <c r="I48" s="162">
        <f t="shared" si="6"/>
        <v>0</v>
      </c>
      <c r="J48" s="214">
        <f t="shared" si="6"/>
        <v>0</v>
      </c>
      <c r="K48" s="129">
        <f t="shared" si="2"/>
        <v>0</v>
      </c>
      <c r="L48" s="177">
        <f>SUM(L49:L50)</f>
        <v>0</v>
      </c>
      <c r="M48" s="202">
        <f>SUM(M49:M50)</f>
        <v>0</v>
      </c>
    </row>
    <row r="49" spans="1:13" x14ac:dyDescent="0.25">
      <c r="A49" s="3"/>
      <c r="B49" s="134" t="s">
        <v>64</v>
      </c>
      <c r="C49" s="132" t="s">
        <v>66</v>
      </c>
      <c r="D49" s="202"/>
      <c r="E49" s="162"/>
      <c r="F49" s="129">
        <f t="shared" ref="F49:F57" si="7">SUM(D49:D49)</f>
        <v>0</v>
      </c>
      <c r="G49" s="158"/>
      <c r="H49" s="294"/>
      <c r="I49" s="162"/>
      <c r="J49" s="7">
        <f>SUM(G49:G49)</f>
        <v>0</v>
      </c>
      <c r="K49" s="129">
        <f t="shared" si="2"/>
        <v>0</v>
      </c>
      <c r="L49" s="177"/>
      <c r="M49" s="7">
        <f>SUM(I49:I49)</f>
        <v>0</v>
      </c>
    </row>
    <row r="50" spans="1:13" x14ac:dyDescent="0.25">
      <c r="A50" s="3"/>
      <c r="B50" s="134" t="s">
        <v>65</v>
      </c>
      <c r="C50" s="132" t="s">
        <v>1</v>
      </c>
      <c r="D50" s="202"/>
      <c r="E50" s="162"/>
      <c r="F50" s="129"/>
      <c r="G50" s="158"/>
      <c r="H50" s="294"/>
      <c r="I50" s="162"/>
      <c r="J50" s="7"/>
      <c r="K50" s="129">
        <f t="shared" si="2"/>
        <v>0</v>
      </c>
      <c r="L50" s="177"/>
      <c r="M50" s="7"/>
    </row>
    <row r="51" spans="1:13" x14ac:dyDescent="0.25">
      <c r="A51" s="3" t="s">
        <v>22</v>
      </c>
      <c r="B51" s="470" t="s">
        <v>103</v>
      </c>
      <c r="C51" s="470"/>
      <c r="D51" s="202">
        <f>SUM(D52:D53)</f>
        <v>0</v>
      </c>
      <c r="E51" s="162">
        <f>SUM(E52:E53)</f>
        <v>0</v>
      </c>
      <c r="F51" s="129">
        <f t="shared" si="7"/>
        <v>0</v>
      </c>
      <c r="G51" s="158"/>
      <c r="H51" s="294">
        <f>SUM(H52:H53)</f>
        <v>0</v>
      </c>
      <c r="I51" s="162">
        <f>SUM(I52:I53)</f>
        <v>0</v>
      </c>
      <c r="J51" s="7">
        <f>SUM(G51:G51)</f>
        <v>0</v>
      </c>
      <c r="K51" s="129">
        <f t="shared" si="2"/>
        <v>0</v>
      </c>
      <c r="L51" s="177">
        <f>SUM(L52:L53)</f>
        <v>0</v>
      </c>
      <c r="M51" s="7">
        <f>SUM(I51:I51)</f>
        <v>0</v>
      </c>
    </row>
    <row r="52" spans="1:13" x14ac:dyDescent="0.25">
      <c r="A52" s="3"/>
      <c r="B52" s="134" t="s">
        <v>67</v>
      </c>
      <c r="C52" s="132" t="s">
        <v>69</v>
      </c>
      <c r="D52" s="202"/>
      <c r="E52" s="162"/>
      <c r="F52" s="129">
        <f t="shared" si="7"/>
        <v>0</v>
      </c>
      <c r="G52" s="158"/>
      <c r="H52" s="294"/>
      <c r="I52" s="162"/>
      <c r="J52" s="7">
        <f>SUM(G52:G52)</f>
        <v>0</v>
      </c>
      <c r="K52" s="129">
        <f t="shared" si="2"/>
        <v>0</v>
      </c>
      <c r="L52" s="177"/>
      <c r="M52" s="7">
        <f>SUM(I52:I52)</f>
        <v>0</v>
      </c>
    </row>
    <row r="53" spans="1:13" x14ac:dyDescent="0.25">
      <c r="A53" s="3"/>
      <c r="B53" s="134" t="s">
        <v>68</v>
      </c>
      <c r="C53" s="132" t="s">
        <v>70</v>
      </c>
      <c r="D53" s="202">
        <v>0</v>
      </c>
      <c r="E53" s="162"/>
      <c r="F53" s="129">
        <f t="shared" si="7"/>
        <v>0</v>
      </c>
      <c r="G53" s="158"/>
      <c r="H53" s="294">
        <v>0</v>
      </c>
      <c r="I53" s="162"/>
      <c r="J53" s="7">
        <f>SUM(G53:G53)</f>
        <v>0</v>
      </c>
      <c r="K53" s="129">
        <f t="shared" si="2"/>
        <v>0</v>
      </c>
      <c r="L53" s="177"/>
      <c r="M53" s="7">
        <f>SUM(I53:I53)</f>
        <v>0</v>
      </c>
    </row>
    <row r="54" spans="1:13" x14ac:dyDescent="0.25">
      <c r="A54" s="3" t="s">
        <v>23</v>
      </c>
      <c r="B54" s="470" t="s">
        <v>104</v>
      </c>
      <c r="C54" s="470"/>
      <c r="D54" s="202">
        <f>SUM(D55:D57)</f>
        <v>0</v>
      </c>
      <c r="E54" s="162">
        <f>SUM(E55:E57)</f>
        <v>0</v>
      </c>
      <c r="F54" s="129">
        <f>SUM(F55:F57)</f>
        <v>0</v>
      </c>
      <c r="G54" s="158"/>
      <c r="H54" s="294">
        <f t="shared" ref="H54:J54" si="8">SUM(H55:H57)</f>
        <v>0</v>
      </c>
      <c r="I54" s="162">
        <f t="shared" si="8"/>
        <v>0</v>
      </c>
      <c r="J54" s="7">
        <f t="shared" si="8"/>
        <v>0</v>
      </c>
      <c r="K54" s="129">
        <f t="shared" si="2"/>
        <v>0</v>
      </c>
      <c r="L54" s="177">
        <f>SUM(L55:L57)</f>
        <v>0</v>
      </c>
      <c r="M54" s="7">
        <f>SUM(M55:M57)</f>
        <v>0</v>
      </c>
    </row>
    <row r="55" spans="1:13" x14ac:dyDescent="0.25">
      <c r="A55" s="3"/>
      <c r="B55" s="134" t="s">
        <v>71</v>
      </c>
      <c r="C55" s="132" t="s">
        <v>74</v>
      </c>
      <c r="D55" s="202"/>
      <c r="E55" s="162"/>
      <c r="F55" s="129"/>
      <c r="G55" s="158"/>
      <c r="H55" s="294"/>
      <c r="I55" s="162"/>
      <c r="J55" s="7"/>
      <c r="K55" s="129">
        <f t="shared" si="2"/>
        <v>0</v>
      </c>
      <c r="L55" s="177"/>
      <c r="M55" s="7"/>
    </row>
    <row r="56" spans="1:13" x14ac:dyDescent="0.25">
      <c r="A56" s="3"/>
      <c r="B56" s="134" t="s">
        <v>72</v>
      </c>
      <c r="C56" s="132" t="s">
        <v>2</v>
      </c>
      <c r="D56" s="202"/>
      <c r="E56" s="162"/>
      <c r="F56" s="129">
        <f t="shared" si="7"/>
        <v>0</v>
      </c>
      <c r="G56" s="158"/>
      <c r="H56" s="294"/>
      <c r="I56" s="162"/>
      <c r="J56" s="7">
        <f>SUM(G56:G56)</f>
        <v>0</v>
      </c>
      <c r="K56" s="129">
        <f t="shared" si="2"/>
        <v>0</v>
      </c>
      <c r="L56" s="177"/>
      <c r="M56" s="7">
        <f>SUM(I56:I56)</f>
        <v>0</v>
      </c>
    </row>
    <row r="57" spans="1:13" x14ac:dyDescent="0.25">
      <c r="A57" s="3"/>
      <c r="B57" s="134" t="s">
        <v>73</v>
      </c>
      <c r="C57" s="132" t="s">
        <v>75</v>
      </c>
      <c r="D57" s="202"/>
      <c r="E57" s="162"/>
      <c r="F57" s="129">
        <f t="shared" si="7"/>
        <v>0</v>
      </c>
      <c r="G57" s="158"/>
      <c r="H57" s="294"/>
      <c r="I57" s="162"/>
      <c r="J57" s="7">
        <f>SUM(G57:G57)</f>
        <v>0</v>
      </c>
      <c r="K57" s="129">
        <f t="shared" si="2"/>
        <v>0</v>
      </c>
      <c r="L57" s="177"/>
      <c r="M57" s="7">
        <f>SUM(I57:I57)</f>
        <v>0</v>
      </c>
    </row>
    <row r="58" spans="1:13" x14ac:dyDescent="0.25">
      <c r="A58" s="135" t="s">
        <v>148</v>
      </c>
      <c r="B58" s="460" t="s">
        <v>167</v>
      </c>
      <c r="C58" s="460"/>
      <c r="D58" s="203">
        <f>+D48+D51+D54</f>
        <v>0</v>
      </c>
      <c r="E58" s="203">
        <f>+E48+E51+E54</f>
        <v>0</v>
      </c>
      <c r="F58" s="203">
        <f>+F48+F51+F54</f>
        <v>0</v>
      </c>
      <c r="G58" s="203">
        <f>+G48+G51+G54</f>
        <v>0</v>
      </c>
      <c r="H58" s="300">
        <f t="shared" ref="H58:J58" si="9">+H48+H51+H54</f>
        <v>0</v>
      </c>
      <c r="I58" s="204">
        <f t="shared" si="9"/>
        <v>0</v>
      </c>
      <c r="J58" s="203">
        <f t="shared" si="9"/>
        <v>0</v>
      </c>
      <c r="K58" s="129">
        <f t="shared" si="2"/>
        <v>0</v>
      </c>
      <c r="L58" s="175">
        <f>+L48+L51+L54</f>
        <v>0</v>
      </c>
      <c r="M58" s="203">
        <f>+M48+M51+M54</f>
        <v>0</v>
      </c>
    </row>
    <row r="59" spans="1:13" x14ac:dyDescent="0.25">
      <c r="A59" s="135" t="s">
        <v>149</v>
      </c>
      <c r="B59" s="460" t="s">
        <v>105</v>
      </c>
      <c r="C59" s="460"/>
      <c r="D59" s="203"/>
      <c r="E59" s="163"/>
      <c r="F59" s="200"/>
      <c r="G59" s="205"/>
      <c r="H59" s="300"/>
      <c r="I59" s="163"/>
      <c r="J59" s="10"/>
      <c r="K59" s="129">
        <f t="shared" si="2"/>
        <v>0</v>
      </c>
      <c r="L59" s="175"/>
      <c r="M59" s="10"/>
    </row>
    <row r="60" spans="1:13" x14ac:dyDescent="0.25">
      <c r="A60" s="135" t="s">
        <v>136</v>
      </c>
      <c r="B60" s="460" t="s">
        <v>3</v>
      </c>
      <c r="C60" s="460"/>
      <c r="D60" s="203"/>
      <c r="E60" s="163"/>
      <c r="F60" s="200"/>
      <c r="G60" s="205"/>
      <c r="H60" s="300"/>
      <c r="I60" s="163"/>
      <c r="J60" s="10"/>
      <c r="K60" s="129">
        <f t="shared" si="2"/>
        <v>0</v>
      </c>
      <c r="L60" s="175"/>
      <c r="M60" s="10"/>
    </row>
    <row r="61" spans="1:13" ht="18.75" x14ac:dyDescent="0.3">
      <c r="A61" s="115" t="s">
        <v>106</v>
      </c>
      <c r="B61" s="468" t="s">
        <v>107</v>
      </c>
      <c r="C61" s="468"/>
      <c r="D61" s="199">
        <f>+D47+D58+D59+D60</f>
        <v>0</v>
      </c>
      <c r="E61" s="199">
        <f>+E47+E58+E59+E60</f>
        <v>0</v>
      </c>
      <c r="F61" s="199">
        <f>+F47+F58+F59+F60</f>
        <v>0</v>
      </c>
      <c r="G61" s="199">
        <f>+G47+G58+G59+G60</f>
        <v>0</v>
      </c>
      <c r="H61" s="302">
        <f t="shared" ref="H61:J61" si="10">+H47+H58+H59+H60</f>
        <v>698871</v>
      </c>
      <c r="I61" s="194">
        <f t="shared" si="10"/>
        <v>698871</v>
      </c>
      <c r="J61" s="199">
        <f t="shared" si="10"/>
        <v>0</v>
      </c>
      <c r="K61" s="130">
        <f t="shared" si="2"/>
        <v>693871</v>
      </c>
      <c r="L61" s="176">
        <f>+L47+L58+L59+L60</f>
        <v>693871</v>
      </c>
      <c r="M61" s="199">
        <f>+M47+M58+M59+M60</f>
        <v>0</v>
      </c>
    </row>
    <row r="62" spans="1:13" ht="18.75" x14ac:dyDescent="0.3">
      <c r="A62" s="115"/>
      <c r="B62" s="468" t="s">
        <v>108</v>
      </c>
      <c r="C62" s="468"/>
      <c r="D62" s="199">
        <f>+D30-D61</f>
        <v>36746000</v>
      </c>
      <c r="E62" s="199">
        <f>+E30-E61</f>
        <v>36746000</v>
      </c>
      <c r="F62" s="199">
        <f>+F30-F61</f>
        <v>0</v>
      </c>
      <c r="G62" s="199">
        <f>+G30-G61</f>
        <v>0</v>
      </c>
      <c r="H62" s="302">
        <f t="shared" ref="H62:J62" si="11">+H30-H61</f>
        <v>36746000</v>
      </c>
      <c r="I62" s="194">
        <f t="shared" si="11"/>
        <v>36746000</v>
      </c>
      <c r="J62" s="199">
        <f t="shared" si="11"/>
        <v>0</v>
      </c>
      <c r="K62" s="130">
        <f>K30+K61</f>
        <v>36809093</v>
      </c>
      <c r="L62" s="176">
        <f>+L30-L61</f>
        <v>35421351</v>
      </c>
      <c r="M62" s="199">
        <f>+M30-M61</f>
        <v>0</v>
      </c>
    </row>
    <row r="63" spans="1:13" ht="18.75" x14ac:dyDescent="0.3">
      <c r="A63" s="115"/>
      <c r="B63" s="460" t="s">
        <v>208</v>
      </c>
      <c r="C63" s="460"/>
      <c r="D63" s="199">
        <v>36746000</v>
      </c>
      <c r="E63" s="173">
        <v>36746000</v>
      </c>
      <c r="F63" s="194"/>
      <c r="G63" s="199"/>
      <c r="H63" s="302">
        <f>+J63+I63</f>
        <v>36550871</v>
      </c>
      <c r="I63" s="173">
        <v>36550871</v>
      </c>
      <c r="J63" s="199"/>
      <c r="K63" s="130">
        <f t="shared" si="2"/>
        <v>36318308</v>
      </c>
      <c r="L63" s="176">
        <v>36318308</v>
      </c>
      <c r="M63" s="199"/>
    </row>
    <row r="64" spans="1:13" x14ac:dyDescent="0.25">
      <c r="A64" s="135" t="s">
        <v>137</v>
      </c>
      <c r="B64" s="460" t="s">
        <v>109</v>
      </c>
      <c r="C64" s="460"/>
      <c r="D64" s="202"/>
      <c r="E64" s="162"/>
      <c r="F64" s="129"/>
      <c r="G64" s="158"/>
      <c r="H64" s="294">
        <f>SUM(I64:J64)</f>
        <v>195129</v>
      </c>
      <c r="I64" s="172">
        <v>195129</v>
      </c>
      <c r="J64" s="7"/>
      <c r="K64" s="294">
        <f>SUM(L64:M64)</f>
        <v>195129</v>
      </c>
      <c r="L64" s="172">
        <v>195129</v>
      </c>
      <c r="M64" s="7"/>
    </row>
    <row r="65" spans="1:13" ht="18.75" x14ac:dyDescent="0.3">
      <c r="A65" s="115"/>
      <c r="B65" s="154" t="s">
        <v>8</v>
      </c>
      <c r="C65" s="132" t="s">
        <v>76</v>
      </c>
      <c r="D65" s="202"/>
      <c r="E65" s="162"/>
      <c r="F65" s="155"/>
      <c r="G65" s="159"/>
      <c r="H65" s="294">
        <f>SUM(I65:J65)</f>
        <v>195129</v>
      </c>
      <c r="I65" s="172">
        <v>195129</v>
      </c>
      <c r="J65" s="215"/>
      <c r="K65" s="294">
        <f>SUM(L65:M65)</f>
        <v>195129</v>
      </c>
      <c r="L65" s="172">
        <v>195129</v>
      </c>
      <c r="M65" s="215"/>
    </row>
    <row r="66" spans="1:13" ht="18.75" x14ac:dyDescent="0.3">
      <c r="A66" s="115"/>
      <c r="B66" s="154" t="s">
        <v>17</v>
      </c>
      <c r="C66" s="132" t="s">
        <v>77</v>
      </c>
      <c r="D66" s="206"/>
      <c r="E66" s="164"/>
      <c r="F66" s="129"/>
      <c r="G66" s="159"/>
      <c r="H66" s="305"/>
      <c r="I66" s="173"/>
      <c r="J66" s="7"/>
      <c r="K66" s="129">
        <f t="shared" si="2"/>
        <v>0</v>
      </c>
      <c r="L66" s="176"/>
      <c r="M66" s="7"/>
    </row>
    <row r="67" spans="1:13" ht="18.75" x14ac:dyDescent="0.3">
      <c r="A67" s="115" t="s">
        <v>110</v>
      </c>
      <c r="B67" s="473" t="s">
        <v>114</v>
      </c>
      <c r="C67" s="473"/>
      <c r="D67" s="199"/>
      <c r="E67" s="199"/>
      <c r="F67" s="199">
        <f>+F64</f>
        <v>0</v>
      </c>
      <c r="G67" s="159"/>
      <c r="H67" s="302">
        <f t="shared" ref="H67:J67" si="12">+H64</f>
        <v>195129</v>
      </c>
      <c r="I67" s="173">
        <f t="shared" si="12"/>
        <v>195129</v>
      </c>
      <c r="J67" s="199">
        <f t="shared" si="12"/>
        <v>0</v>
      </c>
      <c r="K67" s="130">
        <f t="shared" si="2"/>
        <v>195129</v>
      </c>
      <c r="L67" s="176">
        <f>+L64</f>
        <v>195129</v>
      </c>
      <c r="M67" s="199">
        <f>+M64</f>
        <v>0</v>
      </c>
    </row>
    <row r="68" spans="1:13" ht="18.75" x14ac:dyDescent="0.3">
      <c r="A68" s="3" t="s">
        <v>138</v>
      </c>
      <c r="B68" s="470" t="s">
        <v>111</v>
      </c>
      <c r="C68" s="470"/>
      <c r="D68" s="199"/>
      <c r="E68" s="164"/>
      <c r="F68" s="130">
        <f t="shared" ref="F68:F81" si="13">SUM(D68:E68)</f>
        <v>0</v>
      </c>
      <c r="G68" s="159"/>
      <c r="H68" s="302"/>
      <c r="I68" s="164"/>
      <c r="J68" s="5">
        <f>SUM(G68:I68)</f>
        <v>0</v>
      </c>
      <c r="K68" s="129">
        <f t="shared" si="2"/>
        <v>0</v>
      </c>
      <c r="L68" s="176"/>
      <c r="M68" s="5"/>
    </row>
    <row r="69" spans="1:13" ht="18.75" x14ac:dyDescent="0.3">
      <c r="A69" s="3" t="s">
        <v>139</v>
      </c>
      <c r="B69" s="470" t="s">
        <v>112</v>
      </c>
      <c r="C69" s="470"/>
      <c r="D69" s="199">
        <f>SUM(D70:D73)</f>
        <v>0</v>
      </c>
      <c r="E69" s="164"/>
      <c r="F69" s="130">
        <f t="shared" si="13"/>
        <v>0</v>
      </c>
      <c r="G69" s="159"/>
      <c r="H69" s="302">
        <f>SUM(H70:H73)</f>
        <v>0</v>
      </c>
      <c r="I69" s="164"/>
      <c r="J69" s="5">
        <f>SUM(G69:I69)</f>
        <v>0</v>
      </c>
      <c r="K69" s="129">
        <f t="shared" si="2"/>
        <v>0</v>
      </c>
      <c r="L69" s="176"/>
      <c r="M69" s="5"/>
    </row>
    <row r="70" spans="1:13" ht="18.75" x14ac:dyDescent="0.3">
      <c r="A70" s="3"/>
      <c r="B70" s="134" t="s">
        <v>8</v>
      </c>
      <c r="C70" s="132" t="s">
        <v>78</v>
      </c>
      <c r="D70" s="206"/>
      <c r="E70" s="166"/>
      <c r="F70" s="155">
        <f t="shared" si="13"/>
        <v>0</v>
      </c>
      <c r="G70" s="159"/>
      <c r="H70" s="305"/>
      <c r="I70" s="166"/>
      <c r="J70" s="215">
        <f>SUM(G70:I70)</f>
        <v>0</v>
      </c>
      <c r="K70" s="129">
        <f t="shared" si="2"/>
        <v>0</v>
      </c>
      <c r="L70" s="188"/>
      <c r="M70" s="215"/>
    </row>
    <row r="71" spans="1:13" ht="18.75" x14ac:dyDescent="0.3">
      <c r="A71" s="3"/>
      <c r="B71" s="134" t="s">
        <v>17</v>
      </c>
      <c r="C71" s="132" t="s">
        <v>79</v>
      </c>
      <c r="D71" s="199"/>
      <c r="E71" s="164"/>
      <c r="F71" s="130">
        <f t="shared" si="13"/>
        <v>0</v>
      </c>
      <c r="G71" s="159"/>
      <c r="H71" s="302"/>
      <c r="I71" s="164"/>
      <c r="J71" s="5">
        <f>SUM(G71:I71)</f>
        <v>0</v>
      </c>
      <c r="K71" s="129">
        <f t="shared" si="2"/>
        <v>0</v>
      </c>
      <c r="L71" s="176"/>
      <c r="M71" s="5"/>
    </row>
    <row r="72" spans="1:13" ht="18.75" x14ac:dyDescent="0.3">
      <c r="A72" s="3"/>
      <c r="B72" s="134" t="s">
        <v>18</v>
      </c>
      <c r="C72" s="132" t="s">
        <v>176</v>
      </c>
      <c r="D72" s="206"/>
      <c r="E72" s="164"/>
      <c r="F72" s="130"/>
      <c r="G72" s="159"/>
      <c r="H72" s="305"/>
      <c r="I72" s="164"/>
      <c r="J72" s="5"/>
      <c r="K72" s="129">
        <f t="shared" si="2"/>
        <v>0</v>
      </c>
      <c r="L72" s="176"/>
      <c r="M72" s="5"/>
    </row>
    <row r="73" spans="1:13" ht="18.75" x14ac:dyDescent="0.3">
      <c r="A73" s="3"/>
      <c r="B73" s="134" t="s">
        <v>19</v>
      </c>
      <c r="C73" s="132" t="s">
        <v>177</v>
      </c>
      <c r="D73" s="206"/>
      <c r="E73" s="164"/>
      <c r="F73" s="130"/>
      <c r="G73" s="159"/>
      <c r="H73" s="305"/>
      <c r="I73" s="164"/>
      <c r="J73" s="5"/>
      <c r="K73" s="129">
        <f t="shared" si="2"/>
        <v>0</v>
      </c>
      <c r="L73" s="176"/>
      <c r="M73" s="5"/>
    </row>
    <row r="74" spans="1:13" ht="19.5" x14ac:dyDescent="0.3">
      <c r="A74" s="115" t="s">
        <v>113</v>
      </c>
      <c r="B74" s="471" t="s">
        <v>115</v>
      </c>
      <c r="C74" s="471"/>
      <c r="D74" s="199">
        <f>+D68+D69</f>
        <v>0</v>
      </c>
      <c r="E74" s="164"/>
      <c r="F74" s="130">
        <f t="shared" si="13"/>
        <v>0</v>
      </c>
      <c r="G74" s="159"/>
      <c r="H74" s="302">
        <f>+H68+H69</f>
        <v>0</v>
      </c>
      <c r="I74" s="164"/>
      <c r="J74" s="5">
        <f>SUM(G74:I74)</f>
        <v>0</v>
      </c>
      <c r="K74" s="129">
        <f t="shared" si="2"/>
        <v>0</v>
      </c>
      <c r="L74" s="176"/>
      <c r="M74" s="5"/>
    </row>
    <row r="75" spans="1:13" ht="18.75" x14ac:dyDescent="0.3">
      <c r="A75" s="115" t="s">
        <v>116</v>
      </c>
      <c r="B75" s="468" t="s">
        <v>117</v>
      </c>
      <c r="C75" s="468"/>
      <c r="D75" s="199">
        <f>+D67+D74</f>
        <v>0</v>
      </c>
      <c r="E75" s="164">
        <f>+E67+E74</f>
        <v>0</v>
      </c>
      <c r="F75" s="164">
        <f>+F67+F74</f>
        <v>0</v>
      </c>
      <c r="G75" s="159"/>
      <c r="H75" s="302">
        <f t="shared" ref="H75:J75" si="14">+H67+H74+H63</f>
        <v>36746000</v>
      </c>
      <c r="I75" s="164">
        <f t="shared" si="14"/>
        <v>36746000</v>
      </c>
      <c r="J75" s="174">
        <f t="shared" si="14"/>
        <v>0</v>
      </c>
      <c r="K75" s="130">
        <f t="shared" si="2"/>
        <v>36513437</v>
      </c>
      <c r="L75" s="176">
        <f>+L67+L74+L63</f>
        <v>36513437</v>
      </c>
      <c r="M75" s="199">
        <f>+M67+M74+M63</f>
        <v>0</v>
      </c>
    </row>
    <row r="76" spans="1:13" ht="18.75" x14ac:dyDescent="0.3">
      <c r="A76" s="3" t="s">
        <v>140</v>
      </c>
      <c r="B76" s="470" t="s">
        <v>209</v>
      </c>
      <c r="C76" s="470"/>
      <c r="D76" s="199"/>
      <c r="E76" s="164"/>
      <c r="F76" s="130">
        <f t="shared" si="13"/>
        <v>0</v>
      </c>
      <c r="G76" s="159"/>
      <c r="H76" s="302"/>
      <c r="I76" s="164"/>
      <c r="J76" s="5">
        <f t="shared" ref="J76:J81" si="15">SUM(G76:I76)</f>
        <v>0</v>
      </c>
      <c r="K76" s="129">
        <f t="shared" si="2"/>
        <v>0</v>
      </c>
      <c r="L76" s="176"/>
      <c r="M76" s="5"/>
    </row>
    <row r="77" spans="1:13" ht="18.75" x14ac:dyDescent="0.3">
      <c r="A77" s="3" t="s">
        <v>141</v>
      </c>
      <c r="B77" s="470" t="s">
        <v>118</v>
      </c>
      <c r="C77" s="470"/>
      <c r="D77" s="206">
        <f>SUM(D78:D80)</f>
        <v>0</v>
      </c>
      <c r="E77" s="166"/>
      <c r="F77" s="155">
        <f t="shared" si="13"/>
        <v>0</v>
      </c>
      <c r="G77" s="159"/>
      <c r="H77" s="305">
        <f>SUM(H78:H80)</f>
        <v>0</v>
      </c>
      <c r="I77" s="166"/>
      <c r="J77" s="215">
        <f t="shared" si="15"/>
        <v>0</v>
      </c>
      <c r="K77" s="129">
        <f t="shared" si="2"/>
        <v>0</v>
      </c>
      <c r="L77" s="188"/>
      <c r="M77" s="215"/>
    </row>
    <row r="78" spans="1:13" ht="18.75" x14ac:dyDescent="0.3">
      <c r="A78" s="3"/>
      <c r="B78" s="134" t="s">
        <v>8</v>
      </c>
      <c r="C78" s="132" t="s">
        <v>173</v>
      </c>
      <c r="D78" s="206"/>
      <c r="E78" s="166"/>
      <c r="F78" s="155">
        <f t="shared" si="13"/>
        <v>0</v>
      </c>
      <c r="G78" s="159"/>
      <c r="H78" s="305"/>
      <c r="I78" s="166"/>
      <c r="J78" s="215">
        <f t="shared" si="15"/>
        <v>0</v>
      </c>
      <c r="K78" s="129">
        <f t="shared" si="2"/>
        <v>0</v>
      </c>
      <c r="L78" s="188"/>
      <c r="M78" s="215"/>
    </row>
    <row r="79" spans="1:13" ht="18.75" x14ac:dyDescent="0.3">
      <c r="A79" s="3"/>
      <c r="B79" s="134" t="s">
        <v>17</v>
      </c>
      <c r="C79" s="132" t="s">
        <v>172</v>
      </c>
      <c r="D79" s="206"/>
      <c r="E79" s="166"/>
      <c r="F79" s="155">
        <f t="shared" si="13"/>
        <v>0</v>
      </c>
      <c r="G79" s="159"/>
      <c r="H79" s="305"/>
      <c r="I79" s="166"/>
      <c r="J79" s="215">
        <f t="shared" si="15"/>
        <v>0</v>
      </c>
      <c r="K79" s="129">
        <f t="shared" si="2"/>
        <v>0</v>
      </c>
      <c r="L79" s="188"/>
      <c r="M79" s="215"/>
    </row>
    <row r="80" spans="1:13" ht="18.75" x14ac:dyDescent="0.3">
      <c r="A80" s="3"/>
      <c r="B80" s="134" t="s">
        <v>18</v>
      </c>
      <c r="C80" s="132" t="s">
        <v>80</v>
      </c>
      <c r="D80" s="206"/>
      <c r="E80" s="166"/>
      <c r="F80" s="155">
        <f t="shared" si="13"/>
        <v>0</v>
      </c>
      <c r="G80" s="159"/>
      <c r="H80" s="305"/>
      <c r="I80" s="166"/>
      <c r="J80" s="215">
        <f t="shared" si="15"/>
        <v>0</v>
      </c>
      <c r="K80" s="129">
        <f t="shared" si="2"/>
        <v>0</v>
      </c>
      <c r="L80" s="188"/>
      <c r="M80" s="215"/>
    </row>
    <row r="81" spans="1:13" ht="18.75" x14ac:dyDescent="0.3">
      <c r="A81" s="115" t="s">
        <v>119</v>
      </c>
      <c r="B81" s="468" t="s">
        <v>120</v>
      </c>
      <c r="C81" s="468"/>
      <c r="D81" s="199">
        <f>+D76+D77</f>
        <v>0</v>
      </c>
      <c r="E81" s="164">
        <f>+E76+E77</f>
        <v>0</v>
      </c>
      <c r="F81" s="130">
        <f t="shared" si="13"/>
        <v>0</v>
      </c>
      <c r="G81" s="159"/>
      <c r="H81" s="302">
        <f>+H76+H77</f>
        <v>0</v>
      </c>
      <c r="I81" s="164">
        <f>+I76+I77</f>
        <v>0</v>
      </c>
      <c r="J81" s="5">
        <f t="shared" si="15"/>
        <v>0</v>
      </c>
      <c r="K81" s="129">
        <f t="shared" si="2"/>
        <v>0</v>
      </c>
      <c r="L81" s="176">
        <f>+L76+L77</f>
        <v>0</v>
      </c>
      <c r="M81" s="5"/>
    </row>
    <row r="82" spans="1:13" ht="18.75" x14ac:dyDescent="0.3">
      <c r="A82" s="115" t="s">
        <v>158</v>
      </c>
      <c r="B82" s="468" t="s">
        <v>160</v>
      </c>
      <c r="C82" s="468"/>
      <c r="D82" s="122">
        <f>+D30+D81</f>
        <v>36746000</v>
      </c>
      <c r="E82" s="122">
        <f>+E30+E81</f>
        <v>36746000</v>
      </c>
      <c r="F82" s="122">
        <f>+F30+F81</f>
        <v>0</v>
      </c>
      <c r="G82" s="122">
        <f>+G30+G81</f>
        <v>0</v>
      </c>
      <c r="H82" s="306">
        <f t="shared" ref="H82:J82" si="16">+H30+H81</f>
        <v>37444871</v>
      </c>
      <c r="I82" s="122">
        <f t="shared" si="16"/>
        <v>37444871</v>
      </c>
      <c r="J82" s="122">
        <f t="shared" si="16"/>
        <v>0</v>
      </c>
      <c r="K82" s="130">
        <f t="shared" si="2"/>
        <v>36115222</v>
      </c>
      <c r="L82" s="190">
        <f>+L30+L81</f>
        <v>36115222</v>
      </c>
      <c r="M82" s="122">
        <f>+M30+M81</f>
        <v>0</v>
      </c>
    </row>
    <row r="83" spans="1:13" ht="19.5" thickBot="1" x14ac:dyDescent="0.35">
      <c r="A83" s="123" t="s">
        <v>159</v>
      </c>
      <c r="B83" s="124" t="s">
        <v>161</v>
      </c>
      <c r="C83" s="124"/>
      <c r="D83" s="125">
        <f>+D61+D75+D63</f>
        <v>36746000</v>
      </c>
      <c r="E83" s="125">
        <f>+E61+E75+E63</f>
        <v>36746000</v>
      </c>
      <c r="F83" s="125">
        <f>+F61+F75</f>
        <v>0</v>
      </c>
      <c r="G83" s="125">
        <f>+G61+G75</f>
        <v>0</v>
      </c>
      <c r="H83" s="308">
        <f t="shared" ref="H83:J83" si="17">+H61+H75</f>
        <v>37444871</v>
      </c>
      <c r="I83" s="125">
        <f t="shared" si="17"/>
        <v>37444871</v>
      </c>
      <c r="J83" s="125">
        <f t="shared" si="17"/>
        <v>0</v>
      </c>
      <c r="K83" s="130">
        <f>K75+K61</f>
        <v>37207308</v>
      </c>
      <c r="L83" s="23">
        <f>+L61+L75</f>
        <v>37207308</v>
      </c>
      <c r="M83" s="125">
        <f>+M61+M75</f>
        <v>0</v>
      </c>
    </row>
    <row r="84" spans="1:13" x14ac:dyDescent="0.2">
      <c r="B84" s="8"/>
      <c r="C84" s="8"/>
      <c r="D84" s="9"/>
      <c r="E84" s="9"/>
      <c r="F84" s="9"/>
    </row>
    <row r="85" spans="1:13" x14ac:dyDescent="0.2">
      <c r="B85" s="8"/>
      <c r="C85" s="8"/>
      <c r="D85" s="128">
        <f>+D83-D82</f>
        <v>0</v>
      </c>
      <c r="E85" s="128">
        <f>+E83-E82</f>
        <v>0</v>
      </c>
      <c r="F85" s="128">
        <f>+F82-F83</f>
        <v>0</v>
      </c>
      <c r="G85" s="128">
        <f>+G83-G82</f>
        <v>0</v>
      </c>
    </row>
    <row r="86" spans="1:13" x14ac:dyDescent="0.2">
      <c r="B86" s="8"/>
      <c r="C86" s="8"/>
      <c r="D86" s="9"/>
      <c r="E86" s="9"/>
      <c r="F86" s="9"/>
    </row>
    <row r="87" spans="1:13" x14ac:dyDescent="0.2">
      <c r="B87" s="8"/>
      <c r="C87" s="8"/>
      <c r="D87" s="9"/>
      <c r="E87" s="9"/>
      <c r="F87" s="9"/>
    </row>
    <row r="88" spans="1:13" x14ac:dyDescent="0.2">
      <c r="B88" s="8"/>
      <c r="C88" s="8"/>
      <c r="D88" s="9"/>
      <c r="E88" s="9"/>
      <c r="F88" s="9"/>
    </row>
    <row r="89" spans="1:13" x14ac:dyDescent="0.2">
      <c r="B89" s="8"/>
      <c r="C89" s="8"/>
      <c r="D89" s="9"/>
      <c r="E89" s="9"/>
      <c r="F89" s="9"/>
    </row>
    <row r="90" spans="1:13" x14ac:dyDescent="0.2">
      <c r="B90" s="8"/>
      <c r="C90" s="8"/>
      <c r="D90" s="9"/>
      <c r="E90" s="9"/>
      <c r="F90" s="9"/>
    </row>
    <row r="91" spans="1:13" x14ac:dyDescent="0.2">
      <c r="B91" s="8"/>
      <c r="C91" s="8"/>
      <c r="D91" s="9"/>
      <c r="E91" s="9"/>
      <c r="F91" s="9"/>
    </row>
    <row r="92" spans="1:13" x14ac:dyDescent="0.2">
      <c r="B92" s="8"/>
      <c r="C92" s="8"/>
      <c r="D92" s="9"/>
      <c r="E92" s="9"/>
      <c r="F92" s="9"/>
    </row>
    <row r="93" spans="1:13" x14ac:dyDescent="0.2">
      <c r="B93" s="8"/>
      <c r="C93" s="8"/>
      <c r="D93" s="9"/>
      <c r="E93" s="9"/>
      <c r="F93" s="9"/>
    </row>
    <row r="94" spans="1:13" x14ac:dyDescent="0.2">
      <c r="B94" s="8"/>
      <c r="C94" s="8"/>
      <c r="D94" s="9"/>
      <c r="E94" s="9"/>
      <c r="F94" s="9"/>
    </row>
    <row r="95" spans="1:13" x14ac:dyDescent="0.2">
      <c r="B95" s="8"/>
      <c r="C95" s="8"/>
      <c r="D95" s="9"/>
      <c r="E95" s="9"/>
      <c r="F95" s="9"/>
    </row>
    <row r="96" spans="1:13" x14ac:dyDescent="0.2">
      <c r="B96" s="8"/>
      <c r="C96" s="8"/>
      <c r="D96" s="9"/>
      <c r="E96" s="9"/>
      <c r="F96" s="9"/>
    </row>
    <row r="97" spans="2:6" x14ac:dyDescent="0.2">
      <c r="B97" s="8"/>
      <c r="C97" s="8"/>
      <c r="D97" s="9"/>
      <c r="E97" s="9"/>
      <c r="F97" s="9"/>
    </row>
    <row r="98" spans="2:6" x14ac:dyDescent="0.2">
      <c r="B98" s="8"/>
      <c r="C98" s="8"/>
      <c r="D98" s="9"/>
      <c r="E98" s="9"/>
      <c r="F98" s="9"/>
    </row>
    <row r="99" spans="2:6" x14ac:dyDescent="0.2">
      <c r="B99" s="8"/>
      <c r="C99" s="8"/>
      <c r="D99" s="9"/>
      <c r="E99" s="9"/>
      <c r="F99" s="9"/>
    </row>
    <row r="100" spans="2:6" x14ac:dyDescent="0.2">
      <c r="B100" s="8"/>
      <c r="C100" s="8"/>
      <c r="D100" s="9"/>
      <c r="E100" s="9"/>
      <c r="F100" s="9"/>
    </row>
    <row r="101" spans="2:6" x14ac:dyDescent="0.2">
      <c r="B101" s="8"/>
      <c r="C101" s="8"/>
      <c r="D101" s="9"/>
      <c r="E101" s="9"/>
      <c r="F101" s="9"/>
    </row>
    <row r="102" spans="2:6" x14ac:dyDescent="0.2">
      <c r="B102" s="8"/>
      <c r="C102" s="8"/>
      <c r="D102" s="9"/>
      <c r="E102" s="9"/>
      <c r="F102" s="9"/>
    </row>
    <row r="103" spans="2:6" x14ac:dyDescent="0.2">
      <c r="B103" s="8"/>
      <c r="C103" s="8"/>
      <c r="D103" s="9"/>
      <c r="E103" s="9"/>
      <c r="F103" s="9"/>
    </row>
    <row r="104" spans="2:6" x14ac:dyDescent="0.2">
      <c r="B104" s="8"/>
      <c r="C104" s="8"/>
      <c r="D104" s="9"/>
      <c r="E104" s="9"/>
      <c r="F104" s="9"/>
    </row>
    <row r="105" spans="2:6" x14ac:dyDescent="0.2">
      <c r="B105" s="8"/>
      <c r="C105" s="8"/>
      <c r="D105" s="9"/>
      <c r="E105" s="9"/>
      <c r="F105" s="9"/>
    </row>
  </sheetData>
  <mergeCells count="65">
    <mergeCell ref="A6:A8"/>
    <mergeCell ref="B6:C8"/>
    <mergeCell ref="D6:D7"/>
    <mergeCell ref="E6:E7"/>
    <mergeCell ref="F6:F7"/>
    <mergeCell ref="A1:F1"/>
    <mergeCell ref="A2:F2"/>
    <mergeCell ref="A3:F3"/>
    <mergeCell ref="A4:F4"/>
    <mergeCell ref="A5:F5"/>
    <mergeCell ref="B11:C11"/>
    <mergeCell ref="B12:C12"/>
    <mergeCell ref="B13:C13"/>
    <mergeCell ref="B14:C14"/>
    <mergeCell ref="G6:G7"/>
    <mergeCell ref="D8:F8"/>
    <mergeCell ref="B9:C9"/>
    <mergeCell ref="B10:C10"/>
    <mergeCell ref="B19:C19"/>
    <mergeCell ref="B21:C21"/>
    <mergeCell ref="B23:C23"/>
    <mergeCell ref="B24:C24"/>
    <mergeCell ref="B15:C15"/>
    <mergeCell ref="B16:C16"/>
    <mergeCell ref="B17:C17"/>
    <mergeCell ref="B18:C18"/>
    <mergeCell ref="B29:C29"/>
    <mergeCell ref="B30:C30"/>
    <mergeCell ref="B31:C31"/>
    <mergeCell ref="B32:C32"/>
    <mergeCell ref="B25:C25"/>
    <mergeCell ref="B26:C26"/>
    <mergeCell ref="B27:C27"/>
    <mergeCell ref="B28:C28"/>
    <mergeCell ref="B47:C47"/>
    <mergeCell ref="B48:C48"/>
    <mergeCell ref="B51:C51"/>
    <mergeCell ref="B54:C54"/>
    <mergeCell ref="B33:C33"/>
    <mergeCell ref="B34:C34"/>
    <mergeCell ref="B38:C38"/>
    <mergeCell ref="B42:C42"/>
    <mergeCell ref="B62:C62"/>
    <mergeCell ref="B63:C63"/>
    <mergeCell ref="B64:C64"/>
    <mergeCell ref="B67:C67"/>
    <mergeCell ref="B58:C58"/>
    <mergeCell ref="B59:C59"/>
    <mergeCell ref="B60:C60"/>
    <mergeCell ref="B61:C61"/>
    <mergeCell ref="B76:C76"/>
    <mergeCell ref="B77:C77"/>
    <mergeCell ref="B81:C81"/>
    <mergeCell ref="B82:C82"/>
    <mergeCell ref="B68:C68"/>
    <mergeCell ref="B69:C69"/>
    <mergeCell ref="B74:C74"/>
    <mergeCell ref="B75:C75"/>
    <mergeCell ref="M6:M7"/>
    <mergeCell ref="H8:J8"/>
    <mergeCell ref="H6:H7"/>
    <mergeCell ref="I6:I7"/>
    <mergeCell ref="J6:J7"/>
    <mergeCell ref="K6:K7"/>
    <mergeCell ref="L6:L7"/>
  </mergeCells>
  <phoneticPr fontId="16" type="noConversion"/>
  <pageMargins left="0.15748031496062992" right="0.15748031496062992" top="0.19685039370078741" bottom="0.98425196850393704" header="0.15748031496062992" footer="0.51181102362204722"/>
  <pageSetup paperSize="9" scale="4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Normal="100" zoomScaleSheetLayoutView="100" workbookViewId="0">
      <selection activeCell="G7" sqref="G7"/>
    </sheetView>
  </sheetViews>
  <sheetFormatPr defaultRowHeight="12.75" x14ac:dyDescent="0.2"/>
  <cols>
    <col min="1" max="1" width="5" customWidth="1"/>
    <col min="2" max="2" width="39.85546875" bestFit="1" customWidth="1"/>
    <col min="3" max="3" width="15.28515625" style="254" bestFit="1" customWidth="1"/>
  </cols>
  <sheetData>
    <row r="1" spans="1:7" ht="20.25" x14ac:dyDescent="0.3">
      <c r="B1" s="327" t="s">
        <v>469</v>
      </c>
      <c r="C1" s="426"/>
    </row>
    <row r="2" spans="1:7" ht="15.75" x14ac:dyDescent="0.25">
      <c r="B2" s="231" t="s">
        <v>190</v>
      </c>
      <c r="C2" s="427"/>
    </row>
    <row r="3" spans="1:7" x14ac:dyDescent="0.2">
      <c r="B3" s="222"/>
    </row>
    <row r="4" spans="1:7" x14ac:dyDescent="0.2">
      <c r="B4" s="222" t="s">
        <v>346</v>
      </c>
    </row>
    <row r="6" spans="1:7" x14ac:dyDescent="0.2">
      <c r="A6" s="113" t="s">
        <v>347</v>
      </c>
      <c r="B6" s="328" t="s">
        <v>142</v>
      </c>
      <c r="C6" s="428" t="s">
        <v>243</v>
      </c>
      <c r="E6" t="s">
        <v>219</v>
      </c>
      <c r="G6" t="s">
        <v>466</v>
      </c>
    </row>
    <row r="7" spans="1:7" x14ac:dyDescent="0.2">
      <c r="A7" s="113">
        <v>1</v>
      </c>
      <c r="B7" s="113" t="s">
        <v>348</v>
      </c>
      <c r="C7" s="428">
        <v>500000</v>
      </c>
    </row>
    <row r="8" spans="1:7" x14ac:dyDescent="0.2">
      <c r="A8" s="113">
        <v>2</v>
      </c>
      <c r="B8" s="113" t="s">
        <v>349</v>
      </c>
      <c r="C8" s="428">
        <v>3800000</v>
      </c>
    </row>
    <row r="9" spans="1:7" x14ac:dyDescent="0.2">
      <c r="A9" s="113">
        <v>3</v>
      </c>
      <c r="B9" s="113" t="s">
        <v>350</v>
      </c>
      <c r="C9" s="428">
        <v>10000</v>
      </c>
    </row>
    <row r="10" spans="1:7" x14ac:dyDescent="0.2">
      <c r="A10" s="113">
        <v>4</v>
      </c>
      <c r="B10" s="113"/>
      <c r="C10" s="428"/>
    </row>
    <row r="11" spans="1:7" x14ac:dyDescent="0.2">
      <c r="A11" s="113">
        <v>5</v>
      </c>
      <c r="B11" s="113"/>
      <c r="C11" s="428"/>
    </row>
    <row r="12" spans="1:7" x14ac:dyDescent="0.2">
      <c r="A12" s="113">
        <v>6</v>
      </c>
      <c r="B12" s="113"/>
      <c r="C12" s="428"/>
    </row>
    <row r="13" spans="1:7" x14ac:dyDescent="0.2">
      <c r="A13" s="113">
        <v>7</v>
      </c>
      <c r="B13" s="113"/>
      <c r="C13" s="249"/>
    </row>
    <row r="14" spans="1:7" x14ac:dyDescent="0.2">
      <c r="A14" s="113"/>
      <c r="B14" s="113" t="s">
        <v>351</v>
      </c>
      <c r="C14" s="428">
        <v>4310000</v>
      </c>
    </row>
  </sheetData>
  <pageMargins left="0.7" right="0.7" top="0.75" bottom="0.75" header="0.3" footer="0.3"/>
  <pageSetup paperSize="9" scale="9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view="pageBreakPreview" zoomScale="60" zoomScaleNormal="66" workbookViewId="0">
      <selection activeCell="I24" sqref="I24"/>
    </sheetView>
  </sheetViews>
  <sheetFormatPr defaultRowHeight="15.75" x14ac:dyDescent="0.2"/>
  <cols>
    <col min="1" max="1" width="6" style="2" customWidth="1"/>
    <col min="2" max="2" width="5.140625" style="1" customWidth="1"/>
    <col min="3" max="3" width="82.5703125" style="1" customWidth="1"/>
    <col min="4" max="4" width="19.140625" style="2" bestFit="1" customWidth="1"/>
    <col min="5" max="5" width="18.85546875" style="2" customWidth="1"/>
    <col min="6" max="6" width="17.7109375" style="2" customWidth="1"/>
    <col min="7" max="7" width="7" style="4" customWidth="1"/>
    <col min="8" max="9" width="18.5703125" customWidth="1"/>
    <col min="10" max="10" width="17.7109375" customWidth="1"/>
    <col min="11" max="11" width="6.85546875" customWidth="1"/>
    <col min="12" max="12" width="19.28515625" customWidth="1"/>
    <col min="13" max="13" width="18.7109375" customWidth="1"/>
    <col min="14" max="14" width="15.7109375" customWidth="1"/>
    <col min="15" max="15" width="8.5703125" customWidth="1"/>
  </cols>
  <sheetData>
    <row r="1" spans="1:15" ht="18.75" x14ac:dyDescent="0.3">
      <c r="A1" s="461" t="s">
        <v>368</v>
      </c>
      <c r="B1" s="462"/>
      <c r="C1" s="462"/>
      <c r="D1" s="462"/>
      <c r="E1" s="462"/>
      <c r="F1" s="462"/>
      <c r="H1" s="4"/>
      <c r="I1" s="4"/>
      <c r="J1" s="4"/>
      <c r="K1" s="4"/>
      <c r="L1" s="4"/>
      <c r="M1" s="4"/>
      <c r="N1" s="4"/>
      <c r="O1" s="4"/>
    </row>
    <row r="2" spans="1:15" x14ac:dyDescent="0.2">
      <c r="A2" s="464"/>
      <c r="B2" s="464"/>
      <c r="C2" s="464"/>
      <c r="D2" s="464"/>
      <c r="E2" s="464"/>
      <c r="F2" s="464"/>
      <c r="H2" s="4"/>
      <c r="I2" s="4"/>
      <c r="J2" s="4"/>
      <c r="K2" s="4"/>
      <c r="L2" s="4"/>
      <c r="M2" s="4"/>
      <c r="N2" s="4"/>
      <c r="O2" s="4"/>
    </row>
    <row r="3" spans="1:15" x14ac:dyDescent="0.25">
      <c r="A3" s="465" t="s">
        <v>472</v>
      </c>
      <c r="B3" s="465"/>
      <c r="C3" s="465"/>
      <c r="D3" s="465"/>
      <c r="E3" s="465"/>
      <c r="F3" s="465"/>
      <c r="H3" s="4"/>
      <c r="I3" s="4"/>
      <c r="J3" s="4"/>
      <c r="K3" s="4"/>
      <c r="L3" s="4"/>
      <c r="M3" s="4"/>
      <c r="N3" s="4"/>
      <c r="O3" s="4"/>
    </row>
    <row r="4" spans="1:15" x14ac:dyDescent="0.2">
      <c r="A4" s="464" t="s">
        <v>153</v>
      </c>
      <c r="B4" s="464"/>
      <c r="C4" s="464"/>
      <c r="D4" s="464"/>
      <c r="E4" s="464"/>
      <c r="F4" s="464"/>
      <c r="H4" s="4"/>
      <c r="I4" s="4"/>
      <c r="J4" s="4"/>
      <c r="K4" s="4"/>
      <c r="L4" s="4"/>
      <c r="M4" s="4"/>
      <c r="N4" s="4"/>
      <c r="O4" s="4"/>
    </row>
    <row r="5" spans="1:15" ht="16.5" thickBot="1" x14ac:dyDescent="0.3">
      <c r="A5" s="463" t="s">
        <v>220</v>
      </c>
      <c r="B5" s="463"/>
      <c r="C5" s="463"/>
      <c r="D5" s="463"/>
      <c r="E5" s="463"/>
      <c r="F5" s="463"/>
      <c r="H5" s="4"/>
      <c r="I5" s="4"/>
      <c r="J5" s="4"/>
      <c r="K5" s="4"/>
      <c r="L5" s="4"/>
      <c r="M5" s="4"/>
      <c r="N5" s="4"/>
      <c r="O5" s="4"/>
    </row>
    <row r="6" spans="1:15" ht="12.75" customHeight="1" x14ac:dyDescent="0.2">
      <c r="A6" s="448" t="s">
        <v>154</v>
      </c>
      <c r="B6" s="451" t="s">
        <v>142</v>
      </c>
      <c r="C6" s="451"/>
      <c r="D6" s="438" t="s">
        <v>358</v>
      </c>
      <c r="E6" s="444" t="s">
        <v>184</v>
      </c>
      <c r="F6" s="444" t="s">
        <v>185</v>
      </c>
      <c r="G6" s="429" t="s">
        <v>186</v>
      </c>
      <c r="H6" s="438" t="s">
        <v>359</v>
      </c>
      <c r="I6" s="444" t="s">
        <v>471</v>
      </c>
      <c r="J6" s="429" t="s">
        <v>470</v>
      </c>
      <c r="K6" s="429" t="s">
        <v>186</v>
      </c>
      <c r="L6" s="438" t="s">
        <v>360</v>
      </c>
      <c r="M6" s="440" t="s">
        <v>338</v>
      </c>
      <c r="N6" s="442" t="s">
        <v>339</v>
      </c>
      <c r="O6" s="429" t="s">
        <v>186</v>
      </c>
    </row>
    <row r="7" spans="1:15" ht="21.75" customHeight="1" thickBot="1" x14ac:dyDescent="0.25">
      <c r="A7" s="449"/>
      <c r="B7" s="452"/>
      <c r="C7" s="452"/>
      <c r="D7" s="439"/>
      <c r="E7" s="445"/>
      <c r="F7" s="445"/>
      <c r="G7" s="430"/>
      <c r="H7" s="439"/>
      <c r="I7" s="445"/>
      <c r="J7" s="430"/>
      <c r="K7" s="430"/>
      <c r="L7" s="439"/>
      <c r="M7" s="441"/>
      <c r="N7" s="443"/>
      <c r="O7" s="430"/>
    </row>
    <row r="8" spans="1:15" ht="15.75" customHeight="1" thickBot="1" x14ac:dyDescent="0.25">
      <c r="A8" s="450"/>
      <c r="B8" s="453"/>
      <c r="C8" s="454"/>
      <c r="D8" s="431" t="s">
        <v>352</v>
      </c>
      <c r="E8" s="432"/>
      <c r="F8" s="432"/>
      <c r="G8" s="434"/>
      <c r="H8" s="431" t="s">
        <v>352</v>
      </c>
      <c r="I8" s="432"/>
      <c r="J8" s="432"/>
      <c r="K8" s="433"/>
      <c r="L8" s="435" t="s">
        <v>466</v>
      </c>
      <c r="M8" s="436"/>
      <c r="N8" s="436"/>
      <c r="O8" s="437"/>
    </row>
    <row r="9" spans="1:15" x14ac:dyDescent="0.2">
      <c r="A9" s="330"/>
      <c r="B9" s="451" t="s">
        <v>155</v>
      </c>
      <c r="C9" s="451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spans="1:15" ht="15.75" customHeight="1" x14ac:dyDescent="0.25">
      <c r="A10" s="3">
        <v>1</v>
      </c>
      <c r="B10" s="455" t="s">
        <v>143</v>
      </c>
      <c r="C10" s="455"/>
      <c r="D10" s="418">
        <f>SUM(E10:G10)</f>
        <v>92326000</v>
      </c>
      <c r="E10" s="418">
        <f>'14'!E10+'10'!E10+'12'!E10</f>
        <v>92326000</v>
      </c>
      <c r="F10" s="419">
        <f>'14'!F10+'10'!F10+'12'!F10</f>
        <v>0</v>
      </c>
      <c r="G10" s="420"/>
      <c r="H10" s="299">
        <f>SUM(I10:J10)</f>
        <v>102966457</v>
      </c>
      <c r="I10" s="421">
        <f>'14'!I10+'10'!H10+'12'!I10</f>
        <v>102966457</v>
      </c>
      <c r="J10" s="419">
        <f>'14'!J10+'10'!I10+'12'!J10</f>
        <v>0</v>
      </c>
      <c r="K10" s="394"/>
      <c r="L10" s="299">
        <f>SUM(M10:N10)</f>
        <v>102644433</v>
      </c>
      <c r="M10" s="421">
        <f>'14'!M10+'10'!K10+'12'!L10</f>
        <v>102644433</v>
      </c>
      <c r="N10" s="419">
        <f>'14'!N10+'10'!L10+'12'!M10</f>
        <v>0</v>
      </c>
      <c r="O10" s="422"/>
    </row>
    <row r="11" spans="1:15" ht="15.75" customHeight="1" x14ac:dyDescent="0.25">
      <c r="A11" s="3">
        <v>2</v>
      </c>
      <c r="B11" s="455" t="s">
        <v>150</v>
      </c>
      <c r="C11" s="455"/>
      <c r="D11" s="161">
        <f>SUM(E11:G11)</f>
        <v>24003000</v>
      </c>
      <c r="E11" s="418">
        <f>'14'!E11+'10'!E11+'12'!E11</f>
        <v>24003000</v>
      </c>
      <c r="F11" s="419">
        <f>'14'!F11+'10'!F11+'12'!F11</f>
        <v>0</v>
      </c>
      <c r="G11" s="401"/>
      <c r="H11" s="299">
        <f t="shared" ref="H11:H21" si="0">SUM(I11:J11)</f>
        <v>26240376</v>
      </c>
      <c r="I11" s="421">
        <f>'14'!I11+'10'!H11+'12'!I11</f>
        <v>26240376</v>
      </c>
      <c r="J11" s="419">
        <f>'14'!J11+'10'!I11+'12'!J11</f>
        <v>0</v>
      </c>
      <c r="K11" s="395"/>
      <c r="L11" s="299">
        <f t="shared" ref="L11:L12" si="1">SUM(M11:N11)</f>
        <v>25949436</v>
      </c>
      <c r="M11" s="421">
        <f>'14'!M11+'10'!K11+'12'!L11</f>
        <v>25949436</v>
      </c>
      <c r="N11" s="419">
        <f>'14'!N11+'10'!L11+'12'!M11</f>
        <v>0</v>
      </c>
      <c r="O11" s="157"/>
    </row>
    <row r="12" spans="1:15" ht="15.75" customHeight="1" x14ac:dyDescent="0.25">
      <c r="A12" s="3">
        <v>3</v>
      </c>
      <c r="B12" s="455" t="s">
        <v>151</v>
      </c>
      <c r="C12" s="455"/>
      <c r="D12" s="161">
        <f>E12+F12+G12</f>
        <v>70030053</v>
      </c>
      <c r="E12" s="418">
        <f>'14'!E12+'10'!E12+'12'!E12</f>
        <v>70030053</v>
      </c>
      <c r="F12" s="419">
        <f>'14'!F12+'10'!F12+'12'!F12</f>
        <v>0</v>
      </c>
      <c r="G12" s="402"/>
      <c r="H12" s="299">
        <f t="shared" si="0"/>
        <v>76035069</v>
      </c>
      <c r="I12" s="421">
        <f>'14'!I12+'10'!H12+'12'!I12</f>
        <v>76035069</v>
      </c>
      <c r="J12" s="419">
        <f>'14'!J12+'10'!I12+'12'!J12</f>
        <v>0</v>
      </c>
      <c r="K12" s="395"/>
      <c r="L12" s="299">
        <f t="shared" si="1"/>
        <v>70439525</v>
      </c>
      <c r="M12" s="421">
        <f>'14'!M12+'10'!K12+'12'!L12</f>
        <v>70439525</v>
      </c>
      <c r="N12" s="419">
        <f>'14'!N12+'10'!L12+'12'!M12</f>
        <v>0</v>
      </c>
      <c r="O12" s="157"/>
    </row>
    <row r="13" spans="1:15" ht="15.75" customHeight="1" x14ac:dyDescent="0.25">
      <c r="A13" s="3" t="s">
        <v>19</v>
      </c>
      <c r="B13" s="455" t="s">
        <v>135</v>
      </c>
      <c r="C13" s="455"/>
      <c r="D13" s="161">
        <f t="shared" ref="D13:D19" si="2">SUM(E13:G13)</f>
        <v>0</v>
      </c>
      <c r="E13" s="418">
        <f>'14'!E13+'10'!E13+'12'!E13</f>
        <v>0</v>
      </c>
      <c r="F13" s="419">
        <f>'14'!F13+'10'!F13+'12'!F13</f>
        <v>0</v>
      </c>
      <c r="G13" s="169"/>
      <c r="H13" s="299">
        <f t="shared" si="0"/>
        <v>0</v>
      </c>
      <c r="I13" s="421">
        <f>'14'!I13+'10'!H13+'12'!L13</f>
        <v>0</v>
      </c>
      <c r="J13" s="419">
        <f>'14'!J13+'10'!I13+'12'!J13</f>
        <v>0</v>
      </c>
      <c r="K13" s="395"/>
      <c r="L13" s="293">
        <f t="shared" ref="L13:L28" si="3">+M13+N13</f>
        <v>0</v>
      </c>
      <c r="M13" s="421">
        <f>'14'!M13+'10'!K13+'12'!L13</f>
        <v>0</v>
      </c>
      <c r="N13" s="419">
        <f>'14'!N13+'10'!L13+'12'!M13</f>
        <v>0</v>
      </c>
      <c r="O13" s="157"/>
    </row>
    <row r="14" spans="1:15" x14ac:dyDescent="0.25">
      <c r="A14" s="3" t="s">
        <v>21</v>
      </c>
      <c r="B14" s="456" t="s">
        <v>130</v>
      </c>
      <c r="C14" s="456"/>
      <c r="D14" s="161">
        <f t="shared" si="2"/>
        <v>16718000</v>
      </c>
      <c r="E14" s="418">
        <f>'14'!E14+'10'!E14+'12'!E14</f>
        <v>14670000</v>
      </c>
      <c r="F14" s="6">
        <f>'14'!F14+'10'!F14+'12'!F14</f>
        <v>2048000</v>
      </c>
      <c r="G14" s="170"/>
      <c r="H14" s="299">
        <f t="shared" si="0"/>
        <v>28888607</v>
      </c>
      <c r="I14" s="6">
        <f>+I15+I16+I17+I18+I19</f>
        <v>26707871</v>
      </c>
      <c r="J14" s="6">
        <v>2180736</v>
      </c>
      <c r="K14" s="171"/>
      <c r="L14" s="292">
        <f t="shared" ref="L14" si="4">SUM(M14:O14)</f>
        <v>27226185</v>
      </c>
      <c r="M14" s="6">
        <f>+M15+M16+M17+M18+M19</f>
        <v>25132402</v>
      </c>
      <c r="N14" s="6">
        <v>2093783</v>
      </c>
      <c r="O14" s="157"/>
    </row>
    <row r="15" spans="1:15" x14ac:dyDescent="0.25">
      <c r="A15" s="3" t="s">
        <v>122</v>
      </c>
      <c r="B15" s="459" t="s">
        <v>125</v>
      </c>
      <c r="C15" s="459"/>
      <c r="D15" s="161">
        <f t="shared" si="2"/>
        <v>0</v>
      </c>
      <c r="E15" s="418">
        <f>'14'!E15+'10'!E15+'12'!E15</f>
        <v>0</v>
      </c>
      <c r="F15" s="6">
        <f>'14'!F15+'10'!F15+'12'!F15</f>
        <v>0</v>
      </c>
      <c r="G15" s="169"/>
      <c r="H15" s="299">
        <f t="shared" si="0"/>
        <v>0</v>
      </c>
      <c r="I15" s="421">
        <f>'14'!I15+'10'!H15+'12'!L15</f>
        <v>0</v>
      </c>
      <c r="J15" s="419">
        <f>'14'!J15+'10'!I15+'12'!J15</f>
        <v>0</v>
      </c>
      <c r="K15" s="395"/>
      <c r="L15" s="293">
        <f t="shared" si="3"/>
        <v>0</v>
      </c>
      <c r="M15" s="421">
        <f>'14'!M15+'10'!K15+'12'!L15</f>
        <v>0</v>
      </c>
      <c r="N15" s="419">
        <f>'14'!N15+'10'!L15+'12'!M15</f>
        <v>0</v>
      </c>
      <c r="O15" s="157"/>
    </row>
    <row r="16" spans="1:15" x14ac:dyDescent="0.25">
      <c r="A16" s="3" t="s">
        <v>123</v>
      </c>
      <c r="B16" s="459" t="s">
        <v>183</v>
      </c>
      <c r="C16" s="459"/>
      <c r="D16" s="161">
        <f t="shared" si="2"/>
        <v>5963000</v>
      </c>
      <c r="E16" s="418">
        <f>'14'!E16+'10'!E16+'12'!E16</f>
        <v>3915000</v>
      </c>
      <c r="F16" s="6">
        <f>'14'!F16+'10'!F16+'12'!F16</f>
        <v>2048000</v>
      </c>
      <c r="G16" s="169"/>
      <c r="H16" s="299">
        <f t="shared" si="0"/>
        <v>16671836</v>
      </c>
      <c r="I16" s="421">
        <f>'14'!I16+'10'!H16+'12'!L16</f>
        <v>14491100</v>
      </c>
      <c r="J16" s="419">
        <f>'14'!J16+'10'!I16+'12'!J16</f>
        <v>2180736</v>
      </c>
      <c r="K16" s="395"/>
      <c r="L16" s="293">
        <f>SUM(M16:N16)</f>
        <v>16164994</v>
      </c>
      <c r="M16" s="421">
        <f>'14'!M16+'10'!K16+'12'!L16</f>
        <v>14071211</v>
      </c>
      <c r="N16" s="419">
        <f>'14'!N16+'10'!L16+'12'!M16</f>
        <v>2093783</v>
      </c>
      <c r="O16" s="157"/>
    </row>
    <row r="17" spans="1:15" x14ac:dyDescent="0.25">
      <c r="A17" s="3"/>
      <c r="B17" s="466"/>
      <c r="C17" s="467"/>
      <c r="D17" s="161">
        <f t="shared" si="2"/>
        <v>0</v>
      </c>
      <c r="E17" s="418">
        <f>'14'!E17+'10'!E17+'12'!E17</f>
        <v>0</v>
      </c>
      <c r="F17" s="6">
        <f>'14'!F17+'10'!F17+'12'!F17</f>
        <v>0</v>
      </c>
      <c r="G17" s="169"/>
      <c r="H17" s="299">
        <f t="shared" si="0"/>
        <v>0</v>
      </c>
      <c r="I17" s="421">
        <f>'14'!I17+'10'!H17+'12'!L17</f>
        <v>0</v>
      </c>
      <c r="J17" s="419">
        <f>'14'!J17+'10'!I17+'12'!J17</f>
        <v>0</v>
      </c>
      <c r="K17" s="395"/>
      <c r="L17" s="293">
        <f t="shared" si="3"/>
        <v>0</v>
      </c>
      <c r="M17" s="421">
        <f>'14'!M17+'10'!K17+'12'!L17</f>
        <v>0</v>
      </c>
      <c r="N17" s="419">
        <f>'14'!N17+'10'!L17+'12'!M17</f>
        <v>0</v>
      </c>
      <c r="O17" s="157"/>
    </row>
    <row r="18" spans="1:15" ht="15.75" customHeight="1" x14ac:dyDescent="0.25">
      <c r="A18" s="3" t="s">
        <v>124</v>
      </c>
      <c r="B18" s="457" t="s">
        <v>126</v>
      </c>
      <c r="C18" s="457"/>
      <c r="D18" s="161">
        <v>10755000</v>
      </c>
      <c r="E18" s="418">
        <f>'14'!E18+'10'!E18+'12'!E18</f>
        <v>10755000</v>
      </c>
      <c r="F18" s="6">
        <f>'14'!F18+'10'!F18+'12'!F18</f>
        <v>0</v>
      </c>
      <c r="G18" s="169"/>
      <c r="H18" s="299">
        <f t="shared" si="0"/>
        <v>12124060</v>
      </c>
      <c r="I18" s="421">
        <f>'14'!I18+'10'!H18+'12'!L18</f>
        <v>12124060</v>
      </c>
      <c r="J18" s="419">
        <f>'14'!J18+'10'!I18+'12'!J18</f>
        <v>0</v>
      </c>
      <c r="K18" s="395"/>
      <c r="L18" s="293">
        <f t="shared" si="3"/>
        <v>10968480</v>
      </c>
      <c r="M18" s="421">
        <f>'14'!M18+'10'!K18+'12'!L18</f>
        <v>10968480</v>
      </c>
      <c r="N18" s="419">
        <f>'14'!N18+'10'!L18+'12'!M18</f>
        <v>0</v>
      </c>
      <c r="O18" s="157"/>
    </row>
    <row r="19" spans="1:15" ht="15.75" customHeight="1" x14ac:dyDescent="0.25">
      <c r="A19" s="3" t="s">
        <v>47</v>
      </c>
      <c r="B19" s="457" t="s">
        <v>216</v>
      </c>
      <c r="C19" s="458"/>
      <c r="D19" s="161">
        <f t="shared" si="2"/>
        <v>0</v>
      </c>
      <c r="E19" s="418">
        <f>'14'!E19+'10'!E19+'12'!E19</f>
        <v>0</v>
      </c>
      <c r="F19" s="6">
        <f>'14'!F19+'10'!F19+'12'!F19</f>
        <v>0</v>
      </c>
      <c r="G19" s="169"/>
      <c r="H19" s="299">
        <f t="shared" si="0"/>
        <v>92711</v>
      </c>
      <c r="I19" s="421">
        <f>'14'!I19+'10'!H19+'12'!L19</f>
        <v>92711</v>
      </c>
      <c r="J19" s="419">
        <f>'14'!J19+'10'!I19+'12'!J19</f>
        <v>0</v>
      </c>
      <c r="K19" s="395"/>
      <c r="L19" s="293">
        <f t="shared" si="3"/>
        <v>92711</v>
      </c>
      <c r="M19" s="421">
        <f>'14'!M19+'10'!K19+'12'!L19</f>
        <v>92711</v>
      </c>
      <c r="N19" s="419">
        <f>'14'!N19+'10'!L19+'12'!M19</f>
        <v>0</v>
      </c>
      <c r="O19" s="157"/>
    </row>
    <row r="20" spans="1:15" ht="15.75" customHeight="1" x14ac:dyDescent="0.25">
      <c r="A20" s="3"/>
      <c r="B20" s="455" t="s">
        <v>237</v>
      </c>
      <c r="C20" s="455"/>
      <c r="D20" s="6">
        <f>E20+F20+G20</f>
        <v>0</v>
      </c>
      <c r="E20" s="418">
        <f>'14'!E20+'10'!E20+'12'!E20</f>
        <v>0</v>
      </c>
      <c r="F20" s="6">
        <f>'14'!F20+'10'!F20+'12'!F20</f>
        <v>0</v>
      </c>
      <c r="G20" s="169"/>
      <c r="H20" s="299">
        <f t="shared" si="0"/>
        <v>0</v>
      </c>
      <c r="I20" s="421">
        <f>'14'!I20+'10'!H20+'12'!L20</f>
        <v>0</v>
      </c>
      <c r="J20" s="419">
        <f>'14'!J20+'10'!I20+'12'!J20</f>
        <v>0</v>
      </c>
      <c r="K20" s="395"/>
      <c r="L20" s="293">
        <f t="shared" si="3"/>
        <v>0</v>
      </c>
      <c r="M20" s="421">
        <f>'14'!M20+'10'!K20+'12'!L20</f>
        <v>0</v>
      </c>
      <c r="N20" s="419">
        <f>'14'!N20+'10'!L20+'12'!M20</f>
        <v>0</v>
      </c>
      <c r="O20" s="157"/>
    </row>
    <row r="21" spans="1:15" ht="15.75" customHeight="1" x14ac:dyDescent="0.25">
      <c r="A21" s="3"/>
      <c r="B21" s="455" t="s">
        <v>236</v>
      </c>
      <c r="C21" s="455"/>
      <c r="D21" s="177">
        <f>E21+F21+G21</f>
        <v>35324999</v>
      </c>
      <c r="E21" s="418">
        <f>'14'!E21+'10'!E21+'12'!E21</f>
        <v>16176999</v>
      </c>
      <c r="F21" s="6">
        <f>'14'!F21+'10'!F21+'12'!F21</f>
        <v>19148000</v>
      </c>
      <c r="G21" s="169"/>
      <c r="H21" s="299">
        <f t="shared" si="0"/>
        <v>79645223</v>
      </c>
      <c r="I21" s="421">
        <f>'14'!I21+'10'!H21+'12'!L21</f>
        <v>21676018</v>
      </c>
      <c r="J21" s="419">
        <f>'14'!J21+'10'!I21+'12'!J21</f>
        <v>57969205</v>
      </c>
      <c r="K21" s="171"/>
      <c r="L21" s="293"/>
      <c r="M21" s="421">
        <f>'14'!M21+'10'!K21+'12'!L21</f>
        <v>0</v>
      </c>
      <c r="N21" s="419">
        <f>'14'!N21+'10'!L21+'12'!M21</f>
        <v>0</v>
      </c>
      <c r="O21" s="157"/>
    </row>
    <row r="22" spans="1:15" s="191" customFormat="1" ht="15.75" customHeight="1" x14ac:dyDescent="0.2">
      <c r="A22" s="3" t="s">
        <v>147</v>
      </c>
      <c r="B22" s="331" t="s">
        <v>121</v>
      </c>
      <c r="C22" s="113"/>
      <c r="D22" s="6">
        <f>+D10+D11+D12+D13+D14+D21+D20</f>
        <v>238402052</v>
      </c>
      <c r="E22" s="418">
        <f>'14'!E22+'10'!E22+'12'!E22</f>
        <v>217206052</v>
      </c>
      <c r="F22" s="6">
        <f>'14'!F22+'10'!F22+'12'!F22</f>
        <v>21196000</v>
      </c>
      <c r="G22" s="170"/>
      <c r="H22" s="292">
        <f>+H10+H11+H12+H13+H14+H21+H20</f>
        <v>313775732</v>
      </c>
      <c r="I22" s="6">
        <f>+I10+I11+I12+I13+I14+I21+I20</f>
        <v>253625791</v>
      </c>
      <c r="J22" s="6">
        <f>+J10+J11+J12+J13+J14+J21</f>
        <v>60149941</v>
      </c>
      <c r="K22" s="171"/>
      <c r="L22" s="292">
        <f>+L10+L11+L12+L13+L14+L21+L20</f>
        <v>226259579</v>
      </c>
      <c r="M22" s="6">
        <f>+M10+M11+M12+M13+M14+M21+M20</f>
        <v>224165796</v>
      </c>
      <c r="N22" s="6">
        <f>+N10+N11+N12+N13+N14+N21</f>
        <v>2093783</v>
      </c>
      <c r="O22" s="157"/>
    </row>
    <row r="23" spans="1:15" ht="15.75" customHeight="1" x14ac:dyDescent="0.25">
      <c r="A23" s="3" t="s">
        <v>22</v>
      </c>
      <c r="B23" s="455" t="s">
        <v>145</v>
      </c>
      <c r="C23" s="455"/>
      <c r="D23" s="6">
        <f>SUM(E23:F23)</f>
        <v>6642000</v>
      </c>
      <c r="E23" s="418">
        <f>'14'!E23+'10'!E23+'12'!E23</f>
        <v>1539000</v>
      </c>
      <c r="F23" s="6">
        <f>'14'!F23+'10'!F23+'12'!F23</f>
        <v>5103000</v>
      </c>
      <c r="G23" s="401"/>
      <c r="H23" s="292">
        <f>SUM(I23:J23)</f>
        <v>12618836</v>
      </c>
      <c r="I23" s="421">
        <f>'14'!I23+'10'!H23+'12'!L23</f>
        <v>12618836</v>
      </c>
      <c r="J23" s="419">
        <f>'14'!J23+'10'!I23+'12'!J23</f>
        <v>0</v>
      </c>
      <c r="K23" s="395"/>
      <c r="L23" s="293">
        <f t="shared" si="3"/>
        <v>9802521</v>
      </c>
      <c r="M23" s="421">
        <f>'14'!M23+'10'!K23+'12'!L23</f>
        <v>9802521</v>
      </c>
      <c r="N23" s="419">
        <f>'14'!N23+'10'!L23+'12'!M23</f>
        <v>0</v>
      </c>
      <c r="O23" s="157"/>
    </row>
    <row r="24" spans="1:15" ht="15.75" customHeight="1" x14ac:dyDescent="0.25">
      <c r="A24" s="3" t="s">
        <v>23</v>
      </c>
      <c r="B24" s="455" t="s">
        <v>144</v>
      </c>
      <c r="C24" s="455"/>
      <c r="D24" s="6">
        <f>SUM(E24:G24)</f>
        <v>1000000</v>
      </c>
      <c r="E24" s="418">
        <f>'14'!E24+'10'!E24+'12'!E24</f>
        <v>0</v>
      </c>
      <c r="F24" s="6">
        <f>'14'!F24+'10'!F24+'12'!F24</f>
        <v>1000000</v>
      </c>
      <c r="G24" s="401"/>
      <c r="H24" s="292">
        <f>SUM(I24:J24)</f>
        <v>1787980</v>
      </c>
      <c r="I24" s="421">
        <f>'14'!I24+'10'!H24+'12'!L24</f>
        <v>1787980</v>
      </c>
      <c r="J24" s="419">
        <f>'14'!J24+'10'!I24+'12'!J24</f>
        <v>0</v>
      </c>
      <c r="K24" s="395"/>
      <c r="L24" s="293">
        <f t="shared" si="3"/>
        <v>1761458</v>
      </c>
      <c r="M24" s="421">
        <f>'14'!M24+'10'!K24+'12'!L24</f>
        <v>1761458</v>
      </c>
      <c r="N24" s="419">
        <f>'14'!N24+'10'!L24+'12'!M24</f>
        <v>0</v>
      </c>
      <c r="O24" s="157"/>
    </row>
    <row r="25" spans="1:15" ht="15.75" customHeight="1" x14ac:dyDescent="0.25">
      <c r="A25" s="3" t="s">
        <v>25</v>
      </c>
      <c r="B25" s="455" t="s">
        <v>217</v>
      </c>
      <c r="C25" s="455"/>
      <c r="D25" s="6">
        <f>SUM(E25:G25)</f>
        <v>1334000</v>
      </c>
      <c r="E25" s="418">
        <f>'14'!E25+'10'!E25+'12'!E25</f>
        <v>0</v>
      </c>
      <c r="F25" s="6">
        <f>'14'!F25+'10'!F25+'12'!F25</f>
        <v>1334000</v>
      </c>
      <c r="G25" s="401"/>
      <c r="H25" s="293">
        <f>+J25+I25</f>
        <v>1071374</v>
      </c>
      <c r="I25" s="421">
        <f>'14'!I25+'10'!H25+'12'!L25</f>
        <v>1071374</v>
      </c>
      <c r="J25" s="419">
        <f>'14'!J25+'10'!I25+'12'!J25</f>
        <v>0</v>
      </c>
      <c r="K25" s="395"/>
      <c r="L25" s="293">
        <f>SUM(M25:N25)</f>
        <v>1071374</v>
      </c>
      <c r="M25" s="421">
        <f>'14'!M25+'10'!K25+'12'!L25</f>
        <v>1071374</v>
      </c>
      <c r="N25" s="419">
        <f>'14'!N25+'10'!L25+'12'!M25</f>
        <v>0</v>
      </c>
      <c r="O25" s="157"/>
    </row>
    <row r="26" spans="1:15" s="191" customFormat="1" ht="18.75" customHeight="1" x14ac:dyDescent="0.25">
      <c r="A26" s="3" t="s">
        <v>148</v>
      </c>
      <c r="B26" s="455" t="s">
        <v>180</v>
      </c>
      <c r="C26" s="455"/>
      <c r="D26" s="177">
        <f>+D23+D24+D25</f>
        <v>8976000</v>
      </c>
      <c r="E26" s="418">
        <f>'14'!E26+'10'!E26+'12'!E26</f>
        <v>1539000</v>
      </c>
      <c r="F26" s="6">
        <f>'14'!F26+'10'!F26+'12'!F26</f>
        <v>7437000</v>
      </c>
      <c r="G26" s="401"/>
      <c r="H26" s="293">
        <f>SUM(H23:H25)</f>
        <v>15478190</v>
      </c>
      <c r="I26" s="129">
        <f t="shared" ref="I26:J26" si="5">SUM(I23:I25)</f>
        <v>15478190</v>
      </c>
      <c r="J26" s="129">
        <f t="shared" si="5"/>
        <v>0</v>
      </c>
      <c r="K26" s="395"/>
      <c r="L26" s="293">
        <f>SUM(L23:L25)</f>
        <v>12635353</v>
      </c>
      <c r="M26" s="129">
        <f t="shared" ref="M26:N26" si="6">SUM(M23:M25)</f>
        <v>12635353</v>
      </c>
      <c r="N26" s="129">
        <f t="shared" si="6"/>
        <v>0</v>
      </c>
      <c r="O26" s="157"/>
    </row>
    <row r="27" spans="1:15" x14ac:dyDescent="0.25">
      <c r="A27" s="3" t="s">
        <v>149</v>
      </c>
      <c r="B27" s="455"/>
      <c r="C27" s="455"/>
      <c r="D27" s="177"/>
      <c r="E27" s="418">
        <f>'14'!E27+'10'!E27+'12'!E27</f>
        <v>0</v>
      </c>
      <c r="F27" s="6">
        <f>'14'!F27+'10'!F27+'12'!F27</f>
        <v>0</v>
      </c>
      <c r="G27" s="401"/>
      <c r="H27" s="293"/>
      <c r="I27" s="175"/>
      <c r="J27" s="129">
        <f>+G27+I27</f>
        <v>0</v>
      </c>
      <c r="K27" s="395"/>
      <c r="L27" s="293">
        <f t="shared" si="3"/>
        <v>0</v>
      </c>
      <c r="M27" s="175"/>
      <c r="N27" s="129">
        <f>+I27+M27</f>
        <v>0</v>
      </c>
      <c r="O27" s="157"/>
    </row>
    <row r="28" spans="1:15" x14ac:dyDescent="0.25">
      <c r="A28" s="3" t="s">
        <v>136</v>
      </c>
      <c r="B28" s="474"/>
      <c r="C28" s="474"/>
      <c r="D28" s="175"/>
      <c r="E28" s="418">
        <f>'14'!E28+'10'!E28+'12'!E28</f>
        <v>0</v>
      </c>
      <c r="F28" s="6">
        <f>'14'!F28+'10'!F28+'12'!F28</f>
        <v>0</v>
      </c>
      <c r="G28" s="401"/>
      <c r="H28" s="293"/>
      <c r="I28" s="301"/>
      <c r="J28" s="129">
        <f>+G28+I28</f>
        <v>0</v>
      </c>
      <c r="K28" s="395"/>
      <c r="L28" s="293">
        <f t="shared" si="3"/>
        <v>0</v>
      </c>
      <c r="M28" s="301"/>
      <c r="N28" s="129">
        <f>+I28+M28</f>
        <v>0</v>
      </c>
      <c r="O28" s="157"/>
    </row>
    <row r="29" spans="1:15" ht="19.5" customHeight="1" x14ac:dyDescent="0.3">
      <c r="A29" s="3" t="s">
        <v>137</v>
      </c>
      <c r="B29" s="474"/>
      <c r="C29" s="474"/>
      <c r="D29" s="175"/>
      <c r="E29" s="418">
        <f>'14'!E29+'10'!E29+'12'!E29</f>
        <v>0</v>
      </c>
      <c r="F29" s="6">
        <f>'14'!F29+'10'!F29+'12'!F29</f>
        <v>0</v>
      </c>
      <c r="G29" s="401"/>
      <c r="H29" s="302"/>
      <c r="I29" s="176"/>
      <c r="J29" s="176"/>
      <c r="K29" s="194"/>
      <c r="L29" s="413"/>
      <c r="M29" s="176"/>
      <c r="N29" s="176"/>
      <c r="O29" s="157"/>
    </row>
    <row r="30" spans="1:15" ht="20.25" customHeight="1" x14ac:dyDescent="0.3">
      <c r="A30" s="115" t="s">
        <v>128</v>
      </c>
      <c r="B30" s="473" t="s">
        <v>129</v>
      </c>
      <c r="C30" s="473"/>
      <c r="D30" s="194">
        <f t="shared" ref="D30:N30" si="7">+D22+D26+D27+D28+D29</f>
        <v>247378052</v>
      </c>
      <c r="E30" s="176">
        <f t="shared" si="7"/>
        <v>218745052</v>
      </c>
      <c r="F30" s="176">
        <f t="shared" si="7"/>
        <v>28633000</v>
      </c>
      <c r="G30" s="173">
        <f t="shared" si="7"/>
        <v>0</v>
      </c>
      <c r="H30" s="302">
        <f t="shared" si="7"/>
        <v>329253922</v>
      </c>
      <c r="I30" s="176">
        <f t="shared" si="7"/>
        <v>269103981</v>
      </c>
      <c r="J30" s="176">
        <f t="shared" si="7"/>
        <v>60149941</v>
      </c>
      <c r="K30" s="194"/>
      <c r="L30" s="302">
        <f t="shared" si="7"/>
        <v>238894932</v>
      </c>
      <c r="M30" s="176">
        <f t="shared" si="7"/>
        <v>236801149</v>
      </c>
      <c r="N30" s="176">
        <f t="shared" si="7"/>
        <v>2093783</v>
      </c>
      <c r="O30" s="199"/>
    </row>
    <row r="31" spans="1:15" x14ac:dyDescent="0.25">
      <c r="A31" s="11"/>
      <c r="B31" s="469"/>
      <c r="C31" s="469"/>
      <c r="D31" s="195"/>
      <c r="E31" s="12"/>
      <c r="F31" s="165"/>
      <c r="G31" s="195"/>
      <c r="H31" s="303"/>
      <c r="I31" s="12"/>
      <c r="J31" s="12"/>
      <c r="K31" s="195"/>
      <c r="L31" s="303"/>
      <c r="M31" s="12"/>
      <c r="N31" s="12"/>
      <c r="O31" s="414"/>
    </row>
    <row r="32" spans="1:15" x14ac:dyDescent="0.25">
      <c r="A32" s="3"/>
      <c r="B32" s="472" t="s">
        <v>156</v>
      </c>
      <c r="C32" s="472"/>
      <c r="D32" s="177"/>
      <c r="E32" s="197"/>
      <c r="F32" s="129"/>
      <c r="G32" s="401"/>
      <c r="H32" s="294"/>
      <c r="I32" s="177"/>
      <c r="J32" s="129"/>
      <c r="K32" s="395"/>
      <c r="L32" s="293"/>
      <c r="M32" s="177"/>
      <c r="N32" s="129"/>
      <c r="O32" s="157"/>
    </row>
    <row r="33" spans="1:15" x14ac:dyDescent="0.25">
      <c r="A33" s="3" t="s">
        <v>8</v>
      </c>
      <c r="B33" s="470" t="s">
        <v>178</v>
      </c>
      <c r="C33" s="470"/>
      <c r="D33" s="178">
        <f t="shared" ref="D33:D41" si="8">SUM(E33:G33)</f>
        <v>10511680</v>
      </c>
      <c r="E33" s="418">
        <f>'14'!E33+'10'!E33+'12'!E33</f>
        <v>10511680</v>
      </c>
      <c r="F33" s="419">
        <f>'14'!F33+'10'!F33+'12'!F33</f>
        <v>0</v>
      </c>
      <c r="G33" s="403">
        <v>0</v>
      </c>
      <c r="H33" s="380">
        <f>SUM(I33:J33)</f>
        <v>16380273</v>
      </c>
      <c r="I33" s="177">
        <f>'14'!I33+'10'!H33+'12'!I33</f>
        <v>16380273</v>
      </c>
      <c r="J33" s="177">
        <f>'14'!J33+'10'!I33+'12'!J33</f>
        <v>0</v>
      </c>
      <c r="K33" s="396"/>
      <c r="L33" s="294">
        <f>SUM(M33:N33)</f>
        <v>14095530</v>
      </c>
      <c r="M33" s="421">
        <f>'14'!M33+'10'!K33+'12'!L33</f>
        <v>14095530</v>
      </c>
      <c r="N33" s="419">
        <f>'14'!N33+'10'!L33+'12'!M33</f>
        <v>0</v>
      </c>
      <c r="O33" s="157"/>
    </row>
    <row r="34" spans="1:15" x14ac:dyDescent="0.25">
      <c r="A34" s="3" t="s">
        <v>17</v>
      </c>
      <c r="B34" s="470" t="s">
        <v>152</v>
      </c>
      <c r="C34" s="470"/>
      <c r="D34" s="178">
        <f t="shared" si="8"/>
        <v>36669000</v>
      </c>
      <c r="E34" s="418">
        <f>'14'!E34+'10'!E34+'12'!E34</f>
        <v>36669000</v>
      </c>
      <c r="F34" s="419">
        <f>'14'!F34+'10'!F34+'12'!F34</f>
        <v>0</v>
      </c>
      <c r="G34" s="403"/>
      <c r="H34" s="408">
        <f>SUM(I34:J34)</f>
        <v>57117098</v>
      </c>
      <c r="I34" s="181">
        <f>SUM(I35:I37)</f>
        <v>57117098</v>
      </c>
      <c r="J34" s="129"/>
      <c r="K34" s="395"/>
      <c r="L34" s="408">
        <f t="shared" ref="L34" si="9">SUM(M34:O34)</f>
        <v>41691573</v>
      </c>
      <c r="M34" s="181">
        <f>SUM(M35:M37)</f>
        <v>41691573</v>
      </c>
      <c r="N34" s="129"/>
      <c r="O34" s="157"/>
    </row>
    <row r="35" spans="1:15" x14ac:dyDescent="0.25">
      <c r="A35" s="3"/>
      <c r="B35" s="133" t="s">
        <v>49</v>
      </c>
      <c r="C35" s="102" t="s">
        <v>132</v>
      </c>
      <c r="D35" s="178">
        <v>31600000</v>
      </c>
      <c r="E35" s="418">
        <f>'14'!E35+'10'!E35+'12'!E35</f>
        <v>31600000</v>
      </c>
      <c r="F35" s="419">
        <f>'14'!F35+'10'!F35+'12'!F35</f>
        <v>0</v>
      </c>
      <c r="G35" s="403"/>
      <c r="H35" s="294">
        <f>SUM(I35:J35)</f>
        <v>39292773</v>
      </c>
      <c r="I35" s="177">
        <f>'14'!I35+'10'!H35+'12'!I35</f>
        <v>39292773</v>
      </c>
      <c r="J35" s="177">
        <f>'14'!J35+'10'!I35+'12'!J35</f>
        <v>0</v>
      </c>
      <c r="K35" s="395"/>
      <c r="L35" s="294">
        <v>34508834</v>
      </c>
      <c r="M35" s="421">
        <f>'14'!M35+'10'!K35+'12'!L35</f>
        <v>34508834</v>
      </c>
      <c r="N35" s="419">
        <f>'14'!N35+'10'!L35+'12'!M35</f>
        <v>0</v>
      </c>
      <c r="O35" s="157"/>
    </row>
    <row r="36" spans="1:15" x14ac:dyDescent="0.25">
      <c r="A36" s="3"/>
      <c r="B36" s="133" t="s">
        <v>50</v>
      </c>
      <c r="C36" s="102" t="s">
        <v>133</v>
      </c>
      <c r="D36" s="178">
        <v>4500000</v>
      </c>
      <c r="E36" s="418">
        <f>'14'!E36+'10'!E36+'12'!E36</f>
        <v>4500000</v>
      </c>
      <c r="F36" s="419">
        <f>'14'!F36+'10'!F36+'12'!F36</f>
        <v>0</v>
      </c>
      <c r="G36" s="403"/>
      <c r="H36" s="294">
        <v>10575908</v>
      </c>
      <c r="I36" s="177">
        <f>'14'!I36+'10'!H36+'12'!I36</f>
        <v>10575908</v>
      </c>
      <c r="J36" s="177">
        <f>'14'!J36+'10'!I36+'12'!J36</f>
        <v>0</v>
      </c>
      <c r="K36" s="395"/>
      <c r="L36" s="294">
        <v>4800890</v>
      </c>
      <c r="M36" s="421">
        <f>'14'!M36+'10'!K36+'12'!L36</f>
        <v>4800890</v>
      </c>
      <c r="N36" s="419">
        <f>'14'!N36+'10'!L36+'12'!M36</f>
        <v>0</v>
      </c>
      <c r="O36" s="157"/>
    </row>
    <row r="37" spans="1:15" x14ac:dyDescent="0.25">
      <c r="A37" s="3"/>
      <c r="B37" s="133" t="s">
        <v>51</v>
      </c>
      <c r="C37" s="102" t="s">
        <v>134</v>
      </c>
      <c r="D37" s="178">
        <v>569000</v>
      </c>
      <c r="E37" s="418">
        <f>'14'!E37+'10'!E37+'12'!E37</f>
        <v>569000</v>
      </c>
      <c r="F37" s="419">
        <f>'14'!F37+'10'!F37+'12'!F37</f>
        <v>0</v>
      </c>
      <c r="G37" s="403"/>
      <c r="H37" s="294">
        <f>SUM(I37:J37)</f>
        <v>7248417</v>
      </c>
      <c r="I37" s="177">
        <f>'14'!I37+'10'!H37+'12'!I37</f>
        <v>7248417</v>
      </c>
      <c r="J37" s="177">
        <f>'14'!J37+'10'!I37+'12'!J37</f>
        <v>0</v>
      </c>
      <c r="K37" s="395"/>
      <c r="L37" s="294">
        <f>SUM(M37:N37)</f>
        <v>2381849</v>
      </c>
      <c r="M37" s="421">
        <f>'14'!M37+'10'!K37+'12'!L37</f>
        <v>2381849</v>
      </c>
      <c r="N37" s="419">
        <f>'14'!N37+'10'!L37+'12'!M37</f>
        <v>0</v>
      </c>
      <c r="O37" s="157"/>
    </row>
    <row r="38" spans="1:15" x14ac:dyDescent="0.25">
      <c r="A38" s="3" t="s">
        <v>18</v>
      </c>
      <c r="B38" s="470" t="s">
        <v>101</v>
      </c>
      <c r="C38" s="470"/>
      <c r="D38" s="181">
        <f t="shared" si="8"/>
        <v>130054591</v>
      </c>
      <c r="E38" s="418">
        <f>'14'!E38+'10'!E38+'12'!E38</f>
        <v>130054591</v>
      </c>
      <c r="F38" s="419">
        <f>'14'!F38+'10'!F38+'12'!F38</f>
        <v>0</v>
      </c>
      <c r="G38" s="403"/>
      <c r="H38" s="294">
        <f>SUM(H39:H41)</f>
        <v>149250172</v>
      </c>
      <c r="I38" s="177">
        <f>SUM(I39:I41)</f>
        <v>149250172</v>
      </c>
      <c r="J38" s="129"/>
      <c r="K38" s="395"/>
      <c r="L38" s="294">
        <f>SUM(L39:L41)</f>
        <v>149250172</v>
      </c>
      <c r="M38" s="177">
        <f>SUM(M39:M41)</f>
        <v>149250172</v>
      </c>
      <c r="N38" s="129"/>
      <c r="O38" s="157"/>
    </row>
    <row r="39" spans="1:15" x14ac:dyDescent="0.25">
      <c r="A39" s="3"/>
      <c r="B39" s="134" t="s">
        <v>52</v>
      </c>
      <c r="C39" s="334" t="s">
        <v>181</v>
      </c>
      <c r="D39" s="181">
        <f t="shared" si="8"/>
        <v>130054591</v>
      </c>
      <c r="E39" s="418">
        <f>'14'!E39+'10'!E39+'12'!E39</f>
        <v>130054591</v>
      </c>
      <c r="F39" s="419">
        <f>'14'!F39+'10'!F39+'12'!F39</f>
        <v>0</v>
      </c>
      <c r="G39" s="403"/>
      <c r="H39" s="409">
        <f>SUM(I39:J39)</f>
        <v>149250172</v>
      </c>
      <c r="I39" s="177">
        <f>'14'!I39+'10'!H39+'12'!I39</f>
        <v>149250172</v>
      </c>
      <c r="J39" s="177">
        <f>'14'!J39+'10'!I39+'12'!J39</f>
        <v>0</v>
      </c>
      <c r="K39" s="395"/>
      <c r="L39" s="293">
        <f t="shared" ref="L39:L79" si="10">+M39+N39</f>
        <v>149250172</v>
      </c>
      <c r="M39" s="421">
        <f>'14'!M39+'10'!K39+'12'!L39</f>
        <v>149250172</v>
      </c>
      <c r="N39" s="419">
        <f>'14'!N39+'10'!L39+'12'!M39</f>
        <v>0</v>
      </c>
      <c r="O39" s="157"/>
    </row>
    <row r="40" spans="1:15" x14ac:dyDescent="0.25">
      <c r="A40" s="3"/>
      <c r="B40" s="134" t="s">
        <v>53</v>
      </c>
      <c r="C40" s="334" t="s">
        <v>55</v>
      </c>
      <c r="D40" s="181">
        <f t="shared" si="8"/>
        <v>0</v>
      </c>
      <c r="E40" s="418">
        <f>'14'!E40+'10'!E40+'12'!E40</f>
        <v>0</v>
      </c>
      <c r="F40" s="419">
        <f>'14'!F40+'10'!F40+'12'!F40</f>
        <v>0</v>
      </c>
      <c r="G40" s="403"/>
      <c r="H40" s="294"/>
      <c r="I40" s="177">
        <f>'14'!I40+'10'!H40+'12'!I40</f>
        <v>0</v>
      </c>
      <c r="J40" s="129"/>
      <c r="K40" s="395"/>
      <c r="L40" s="293">
        <f t="shared" si="10"/>
        <v>0</v>
      </c>
      <c r="M40" s="421">
        <f>'14'!M40+'10'!K40+'12'!L40</f>
        <v>0</v>
      </c>
      <c r="N40" s="419">
        <f>'14'!N40+'10'!L40+'12'!M40</f>
        <v>0</v>
      </c>
      <c r="O40" s="157"/>
    </row>
    <row r="41" spans="1:15" x14ac:dyDescent="0.25">
      <c r="A41" s="3"/>
      <c r="B41" s="134" t="s">
        <v>54</v>
      </c>
      <c r="C41" s="334" t="s">
        <v>182</v>
      </c>
      <c r="D41" s="181">
        <f t="shared" si="8"/>
        <v>0</v>
      </c>
      <c r="E41" s="418">
        <f>'14'!E41+'10'!E41+'12'!E41</f>
        <v>0</v>
      </c>
      <c r="F41" s="419">
        <f>'14'!F41+'10'!F41+'12'!F41</f>
        <v>0</v>
      </c>
      <c r="G41" s="403"/>
      <c r="H41" s="294"/>
      <c r="I41" s="177">
        <f>'14'!I41+'10'!H41+'12'!I41</f>
        <v>0</v>
      </c>
      <c r="J41" s="177">
        <f>SUM(J42:J45)</f>
        <v>0</v>
      </c>
      <c r="K41" s="396"/>
      <c r="L41" s="293"/>
      <c r="M41" s="421">
        <f>'14'!M41+'10'!K41+'12'!L41</f>
        <v>0</v>
      </c>
      <c r="N41" s="419">
        <f>'14'!N41+'10'!L41+'12'!M41</f>
        <v>0</v>
      </c>
      <c r="O41" s="157"/>
    </row>
    <row r="42" spans="1:15" x14ac:dyDescent="0.25">
      <c r="A42" s="3" t="s">
        <v>19</v>
      </c>
      <c r="B42" s="470" t="s">
        <v>102</v>
      </c>
      <c r="C42" s="470"/>
      <c r="D42" s="181">
        <f>SUM(D43:D46)</f>
        <v>16826126</v>
      </c>
      <c r="E42" s="418">
        <f>'14'!E42+'10'!E42+'12'!E42</f>
        <v>16826126</v>
      </c>
      <c r="F42" s="419">
        <f>'14'!F42+'10'!F42+'12'!F42</f>
        <v>0</v>
      </c>
      <c r="G42" s="403"/>
      <c r="H42" s="409">
        <f>SUM(H43:H46)</f>
        <v>29528758</v>
      </c>
      <c r="I42" s="181">
        <f>SUM(I43:I46)</f>
        <v>29528758</v>
      </c>
      <c r="J42" s="129"/>
      <c r="K42" s="395"/>
      <c r="L42" s="409">
        <f>SUM(L43:L46)</f>
        <v>27925734</v>
      </c>
      <c r="M42" s="181">
        <f>SUM(M43:M46)</f>
        <v>27925734</v>
      </c>
      <c r="N42" s="129"/>
      <c r="O42" s="157"/>
    </row>
    <row r="43" spans="1:15" x14ac:dyDescent="0.25">
      <c r="A43" s="3"/>
      <c r="B43" s="134" t="s">
        <v>56</v>
      </c>
      <c r="C43" s="334" t="s">
        <v>60</v>
      </c>
      <c r="D43" s="181">
        <f>SUM(E43:G43)</f>
        <v>15605608</v>
      </c>
      <c r="E43" s="418">
        <f>'14'!E43+'10'!E43+'12'!E43</f>
        <v>15605608</v>
      </c>
      <c r="F43" s="419">
        <f>'14'!F43+'10'!F43+'12'!F43</f>
        <v>0</v>
      </c>
      <c r="G43" s="403"/>
      <c r="H43" s="294">
        <f>SUM(I43:J43)</f>
        <v>27623403</v>
      </c>
      <c r="I43" s="177">
        <f>'14'!I43+'10'!H43+'12'!I43</f>
        <v>27623403</v>
      </c>
      <c r="J43" s="129"/>
      <c r="K43" s="395"/>
      <c r="L43" s="293">
        <f t="shared" si="10"/>
        <v>26956805</v>
      </c>
      <c r="M43" s="421">
        <f>'14'!M43+'10'!K43+'12'!L43</f>
        <v>26956805</v>
      </c>
      <c r="N43" s="419">
        <f>'14'!N43+'10'!L43+'12'!M43</f>
        <v>0</v>
      </c>
      <c r="O43" s="157"/>
    </row>
    <row r="44" spans="1:15" x14ac:dyDescent="0.25">
      <c r="A44" s="3"/>
      <c r="B44" s="134" t="s">
        <v>57</v>
      </c>
      <c r="C44" s="334" t="s">
        <v>447</v>
      </c>
      <c r="D44" s="181"/>
      <c r="E44" s="418">
        <f>'14'!E44+'10'!E44+'12'!E44</f>
        <v>0</v>
      </c>
      <c r="F44" s="419">
        <f>'14'!F44+'10'!F44+'12'!F44</f>
        <v>0</v>
      </c>
      <c r="G44" s="403"/>
      <c r="H44" s="294">
        <v>684837</v>
      </c>
      <c r="I44" s="177">
        <f>'14'!I44+'10'!H44+'12'!I44</f>
        <v>684837</v>
      </c>
      <c r="J44" s="129"/>
      <c r="K44" s="395"/>
      <c r="L44" s="293">
        <f t="shared" si="10"/>
        <v>90000</v>
      </c>
      <c r="M44" s="421">
        <f>'14'!M44+'10'!K44+'12'!L44</f>
        <v>90000</v>
      </c>
      <c r="N44" s="419">
        <f>'14'!N44+'10'!L44+'12'!M44</f>
        <v>0</v>
      </c>
      <c r="O44" s="157"/>
    </row>
    <row r="45" spans="1:15" x14ac:dyDescent="0.25">
      <c r="A45" s="3"/>
      <c r="B45" s="134" t="s">
        <v>58</v>
      </c>
      <c r="C45" s="334" t="s">
        <v>206</v>
      </c>
      <c r="D45" s="181">
        <f>G45+F45+E45</f>
        <v>1220518</v>
      </c>
      <c r="E45" s="418">
        <f>'14'!E45+'10'!E45+'12'!E45</f>
        <v>1220518</v>
      </c>
      <c r="F45" s="419">
        <f>'14'!F45+'10'!F45+'12'!F45</f>
        <v>0</v>
      </c>
      <c r="G45" s="403"/>
      <c r="H45" s="380">
        <v>1220518</v>
      </c>
      <c r="I45" s="177">
        <f>'14'!I45+'10'!H45+'12'!I45</f>
        <v>1220518</v>
      </c>
      <c r="J45" s="129"/>
      <c r="K45" s="395"/>
      <c r="L45" s="380">
        <f t="shared" si="10"/>
        <v>878929</v>
      </c>
      <c r="M45" s="421">
        <f>'14'!M45+'10'!K45+'12'!L45</f>
        <v>878929</v>
      </c>
      <c r="N45" s="419">
        <f>'14'!N45+'10'!L45+'12'!M45</f>
        <v>0</v>
      </c>
      <c r="O45" s="157"/>
    </row>
    <row r="46" spans="1:15" x14ac:dyDescent="0.25">
      <c r="A46" s="3"/>
      <c r="B46" s="134" t="s">
        <v>59</v>
      </c>
      <c r="C46" s="334" t="s">
        <v>62</v>
      </c>
      <c r="D46" s="181"/>
      <c r="E46" s="418">
        <f>'14'!E46+'10'!E46+'12'!E46</f>
        <v>0</v>
      </c>
      <c r="F46" s="419">
        <f>'14'!F46+'10'!F46+'12'!F46</f>
        <v>0</v>
      </c>
      <c r="G46" s="403"/>
      <c r="H46" s="294"/>
      <c r="I46" s="177">
        <f>'14'!I46+'10'!H46+'12'!I46</f>
        <v>0</v>
      </c>
      <c r="J46" s="177">
        <f t="shared" ref="J46" si="11">+J32+J33+J37+J41</f>
        <v>0</v>
      </c>
      <c r="K46" s="396"/>
      <c r="L46" s="293"/>
      <c r="M46" s="421">
        <f>'14'!M46+'10'!K46+'12'!L46</f>
        <v>0</v>
      </c>
      <c r="N46" s="419">
        <f>'14'!N46+'10'!L46+'12'!M46</f>
        <v>0</v>
      </c>
      <c r="O46" s="157"/>
    </row>
    <row r="47" spans="1:15" x14ac:dyDescent="0.25">
      <c r="A47" s="135" t="s">
        <v>147</v>
      </c>
      <c r="B47" s="460" t="s">
        <v>63</v>
      </c>
      <c r="C47" s="460"/>
      <c r="D47" s="181">
        <f>+D33+D34+D38+D42</f>
        <v>194061397</v>
      </c>
      <c r="E47" s="418">
        <f>'14'!E47+'10'!E47+'12'!E47</f>
        <v>194061397</v>
      </c>
      <c r="F47" s="419">
        <f>'14'!F47+'10'!F47+'12'!F47</f>
        <v>0</v>
      </c>
      <c r="G47" s="185">
        <f>+G33+G34+G38+G42</f>
        <v>0</v>
      </c>
      <c r="H47" s="409">
        <f>+H33+H34+H38+H42</f>
        <v>252276301</v>
      </c>
      <c r="I47" s="181">
        <f>+I33+I34+I38+I42</f>
        <v>252276301</v>
      </c>
      <c r="J47" s="177"/>
      <c r="K47" s="396"/>
      <c r="L47" s="409">
        <f>+L33+L34+L38+L42</f>
        <v>232963009</v>
      </c>
      <c r="M47" s="181">
        <f>+M33+M34+M38+M42</f>
        <v>232963009</v>
      </c>
      <c r="N47" s="177"/>
      <c r="O47" s="415"/>
    </row>
    <row r="48" spans="1:15" x14ac:dyDescent="0.25">
      <c r="A48" s="3" t="s">
        <v>21</v>
      </c>
      <c r="B48" s="470" t="s">
        <v>146</v>
      </c>
      <c r="C48" s="470"/>
      <c r="D48" s="179">
        <f>SUM(D49:D50)</f>
        <v>19414291</v>
      </c>
      <c r="E48" s="418">
        <f>'14'!E48+'10'!E48+'12'!E48</f>
        <v>0</v>
      </c>
      <c r="F48" s="419">
        <f>'14'!F48+'10'!F48+'12'!F48</f>
        <v>19414291</v>
      </c>
      <c r="G48" s="403"/>
      <c r="H48" s="409">
        <f>SUM(H49:H50)</f>
        <v>35042138</v>
      </c>
      <c r="I48" s="181">
        <f>SUM(I49:I50)</f>
        <v>35042138</v>
      </c>
      <c r="J48" s="129"/>
      <c r="K48" s="395"/>
      <c r="L48" s="293">
        <f t="shared" si="10"/>
        <v>33657525</v>
      </c>
      <c r="M48" s="177">
        <f>SUM(M49:M50)</f>
        <v>33657525</v>
      </c>
      <c r="N48" s="129"/>
      <c r="O48" s="157"/>
    </row>
    <row r="49" spans="1:15" x14ac:dyDescent="0.25">
      <c r="A49" s="3"/>
      <c r="B49" s="134" t="s">
        <v>64</v>
      </c>
      <c r="C49" s="334" t="s">
        <v>66</v>
      </c>
      <c r="D49" s="181">
        <v>10679000</v>
      </c>
      <c r="E49" s="418">
        <f>'14'!E49+'10'!E49+'12'!E49</f>
        <v>0</v>
      </c>
      <c r="F49" s="419">
        <f>'14'!F49+'10'!F49+'12'!F49</f>
        <v>10679000</v>
      </c>
      <c r="G49" s="403"/>
      <c r="H49" s="294">
        <v>20484686</v>
      </c>
      <c r="I49" s="177">
        <v>20484686</v>
      </c>
      <c r="J49" s="129"/>
      <c r="K49" s="395"/>
      <c r="L49" s="293">
        <f t="shared" si="10"/>
        <v>19100074</v>
      </c>
      <c r="M49" s="421">
        <f>'14'!M49+'10'!K49+'12'!L49</f>
        <v>19100074</v>
      </c>
      <c r="N49" s="419">
        <f>'14'!N49+'10'!L49+'12'!M49</f>
        <v>0</v>
      </c>
      <c r="O49" s="157"/>
    </row>
    <row r="50" spans="1:15" x14ac:dyDescent="0.25">
      <c r="A50" s="3"/>
      <c r="B50" s="134" t="s">
        <v>65</v>
      </c>
      <c r="C50" s="334" t="s">
        <v>1</v>
      </c>
      <c r="D50" s="181">
        <f>+E50+F50+G50</f>
        <v>8735291</v>
      </c>
      <c r="E50" s="418">
        <f>'14'!E50+'10'!E50+'12'!E50</f>
        <v>0</v>
      </c>
      <c r="F50" s="419">
        <f>'14'!F50+'10'!F50+'12'!F50</f>
        <v>8735291</v>
      </c>
      <c r="G50" s="403"/>
      <c r="H50" s="380">
        <v>14557452</v>
      </c>
      <c r="I50" s="177">
        <v>14557452</v>
      </c>
      <c r="J50" s="129"/>
      <c r="K50" s="395"/>
      <c r="L50" s="380">
        <f t="shared" si="10"/>
        <v>14557451</v>
      </c>
      <c r="M50" s="421">
        <f>'14'!M50+'10'!K50+'12'!L50</f>
        <v>14557451</v>
      </c>
      <c r="N50" s="419">
        <f>'14'!N50+'10'!L50+'12'!M50</f>
        <v>0</v>
      </c>
      <c r="O50" s="157"/>
    </row>
    <row r="51" spans="1:15" x14ac:dyDescent="0.25">
      <c r="A51" s="3" t="s">
        <v>22</v>
      </c>
      <c r="B51" s="470" t="s">
        <v>103</v>
      </c>
      <c r="C51" s="470"/>
      <c r="D51" s="181">
        <f>SUM(D52:D53)</f>
        <v>0</v>
      </c>
      <c r="E51" s="418">
        <f>'14'!E51+'10'!E51+'12'!E51</f>
        <v>0</v>
      </c>
      <c r="F51" s="419">
        <f>'14'!F51+'10'!F51+'12'!F51</f>
        <v>0</v>
      </c>
      <c r="G51" s="403"/>
      <c r="H51" s="294"/>
      <c r="I51" s="177"/>
      <c r="J51" s="129">
        <f>SUM(G51:G51)</f>
        <v>0</v>
      </c>
      <c r="K51" s="395"/>
      <c r="L51" s="293">
        <f t="shared" si="10"/>
        <v>0</v>
      </c>
      <c r="M51" s="177"/>
      <c r="N51" s="129">
        <f>SUM(I51:I51)</f>
        <v>0</v>
      </c>
      <c r="O51" s="157"/>
    </row>
    <row r="52" spans="1:15" x14ac:dyDescent="0.25">
      <c r="A52" s="3"/>
      <c r="B52" s="134" t="s">
        <v>67</v>
      </c>
      <c r="C52" s="334" t="s">
        <v>69</v>
      </c>
      <c r="D52" s="181"/>
      <c r="E52" s="418">
        <f>'14'!E52+'10'!E52+'12'!E52</f>
        <v>0</v>
      </c>
      <c r="F52" s="419">
        <f>'14'!F52+'10'!F52+'12'!F52</f>
        <v>0</v>
      </c>
      <c r="G52" s="403"/>
      <c r="H52" s="294">
        <v>0</v>
      </c>
      <c r="I52" s="177"/>
      <c r="J52" s="129">
        <f>SUM(G52:G52)</f>
        <v>0</v>
      </c>
      <c r="K52" s="395"/>
      <c r="L52" s="293">
        <f t="shared" si="10"/>
        <v>0</v>
      </c>
      <c r="M52" s="421">
        <f>'14'!M52+'10'!K52+'12'!L52</f>
        <v>0</v>
      </c>
      <c r="N52" s="419">
        <f>'14'!N52+'10'!L52+'12'!M52</f>
        <v>0</v>
      </c>
      <c r="O52" s="157"/>
    </row>
    <row r="53" spans="1:15" x14ac:dyDescent="0.25">
      <c r="A53" s="3"/>
      <c r="B53" s="134" t="s">
        <v>68</v>
      </c>
      <c r="C53" s="334" t="s">
        <v>70</v>
      </c>
      <c r="D53" s="181">
        <v>0</v>
      </c>
      <c r="E53" s="418">
        <f>'14'!E53+'10'!E53+'12'!E53</f>
        <v>0</v>
      </c>
      <c r="F53" s="419">
        <f>'14'!F53+'10'!F53+'12'!F53</f>
        <v>0</v>
      </c>
      <c r="G53" s="403"/>
      <c r="H53" s="294"/>
      <c r="I53" s="177"/>
      <c r="J53" s="129">
        <f t="shared" ref="J53" si="12">SUM(J54:J56)</f>
        <v>0</v>
      </c>
      <c r="K53" s="395"/>
      <c r="L53" s="293">
        <f t="shared" si="10"/>
        <v>0</v>
      </c>
      <c r="M53" s="421">
        <f>'14'!M53+'10'!K53+'12'!L53</f>
        <v>0</v>
      </c>
      <c r="N53" s="419">
        <f>'14'!N53+'10'!L53+'12'!M53</f>
        <v>0</v>
      </c>
      <c r="O53" s="157"/>
    </row>
    <row r="54" spans="1:15" x14ac:dyDescent="0.25">
      <c r="A54" s="3" t="s">
        <v>23</v>
      </c>
      <c r="B54" s="470" t="s">
        <v>104</v>
      </c>
      <c r="C54" s="470"/>
      <c r="D54" s="181">
        <f>SUM(D55:D57)</f>
        <v>0</v>
      </c>
      <c r="E54" s="418">
        <f>'14'!E54+'10'!E54+'12'!E54</f>
        <v>0</v>
      </c>
      <c r="F54" s="419">
        <f>'14'!F54+'10'!F54+'12'!F54</f>
        <v>0</v>
      </c>
      <c r="G54" s="403"/>
      <c r="H54" s="294">
        <f>SUM(H55:H57)</f>
        <v>2895752</v>
      </c>
      <c r="I54" s="177">
        <f>SUM(I55:I57)</f>
        <v>2895752</v>
      </c>
      <c r="J54" s="129"/>
      <c r="K54" s="395"/>
      <c r="L54" s="293">
        <f t="shared" si="10"/>
        <v>2700002</v>
      </c>
      <c r="M54" s="177">
        <v>2700002</v>
      </c>
      <c r="N54" s="129"/>
      <c r="O54" s="157"/>
    </row>
    <row r="55" spans="1:15" x14ac:dyDescent="0.25">
      <c r="A55" s="3"/>
      <c r="B55" s="134" t="s">
        <v>71</v>
      </c>
      <c r="C55" s="334" t="s">
        <v>74</v>
      </c>
      <c r="D55" s="181">
        <f>+E55+F55+G55</f>
        <v>0</v>
      </c>
      <c r="E55" s="418">
        <f>'14'!E55+'10'!E55+'12'!E55</f>
        <v>0</v>
      </c>
      <c r="F55" s="419">
        <f>'14'!F55+'10'!F55+'12'!F55</f>
        <v>0</v>
      </c>
      <c r="G55" s="403"/>
      <c r="H55" s="294">
        <v>2700002</v>
      </c>
      <c r="I55" s="177">
        <v>2700002</v>
      </c>
      <c r="J55" s="129">
        <f>SUM(G55:G55)</f>
        <v>0</v>
      </c>
      <c r="K55" s="395"/>
      <c r="L55" s="293">
        <f t="shared" si="10"/>
        <v>2700002</v>
      </c>
      <c r="M55" s="421">
        <f>'14'!M55+'10'!K55+'12'!L55</f>
        <v>2700002</v>
      </c>
      <c r="N55" s="419">
        <f>'14'!N55+'10'!L55+'12'!M55</f>
        <v>0</v>
      </c>
      <c r="O55" s="157"/>
    </row>
    <row r="56" spans="1:15" x14ac:dyDescent="0.25">
      <c r="A56" s="3"/>
      <c r="B56" s="134" t="s">
        <v>72</v>
      </c>
      <c r="C56" s="334" t="s">
        <v>448</v>
      </c>
      <c r="D56" s="181"/>
      <c r="E56" s="418">
        <f>'14'!E56+'10'!E56+'12'!E56</f>
        <v>0</v>
      </c>
      <c r="F56" s="419">
        <f>'14'!F56+'10'!F56+'12'!F56</f>
        <v>0</v>
      </c>
      <c r="G56" s="403"/>
      <c r="H56" s="294">
        <v>195750</v>
      </c>
      <c r="I56" s="177">
        <v>195750</v>
      </c>
      <c r="J56" s="129">
        <f>SUM(G56:G56)</f>
        <v>0</v>
      </c>
      <c r="K56" s="395"/>
      <c r="L56" s="293">
        <f t="shared" si="10"/>
        <v>0</v>
      </c>
      <c r="M56" s="421">
        <f>'14'!M56+'10'!K56+'12'!L56</f>
        <v>0</v>
      </c>
      <c r="N56" s="419">
        <f>'14'!N56+'10'!L56+'12'!M56</f>
        <v>0</v>
      </c>
      <c r="O56" s="157"/>
    </row>
    <row r="57" spans="1:15" x14ac:dyDescent="0.25">
      <c r="A57" s="3"/>
      <c r="B57" s="134" t="s">
        <v>73</v>
      </c>
      <c r="C57" s="334" t="s">
        <v>75</v>
      </c>
      <c r="D57" s="181"/>
      <c r="E57" s="418">
        <f>'14'!E57+'10'!E57+'12'!E57</f>
        <v>0</v>
      </c>
      <c r="F57" s="419">
        <f>'14'!F57+'10'!F57+'12'!F57</f>
        <v>0</v>
      </c>
      <c r="G57" s="403"/>
      <c r="H57" s="300"/>
      <c r="I57" s="175"/>
      <c r="J57" s="175">
        <f t="shared" ref="J57" si="13">+J47+J50+J53</f>
        <v>0</v>
      </c>
      <c r="K57" s="204"/>
      <c r="L57" s="293"/>
      <c r="M57" s="421">
        <f>'14'!M57+'10'!K57+'12'!L57</f>
        <v>0</v>
      </c>
      <c r="N57" s="419">
        <f>'14'!N57+'10'!L57+'12'!M57</f>
        <v>0</v>
      </c>
      <c r="O57" s="157"/>
    </row>
    <row r="58" spans="1:15" x14ac:dyDescent="0.25">
      <c r="A58" s="135" t="s">
        <v>148</v>
      </c>
      <c r="B58" s="460" t="s">
        <v>167</v>
      </c>
      <c r="C58" s="460"/>
      <c r="D58" s="181">
        <f>+D48+D51+D54</f>
        <v>19414291</v>
      </c>
      <c r="E58" s="418">
        <f>'14'!E58+'10'!E58+'12'!E58</f>
        <v>0</v>
      </c>
      <c r="F58" s="419">
        <f>'14'!F58+'10'!F58+'12'!F58</f>
        <v>19414291</v>
      </c>
      <c r="G58" s="182">
        <f>+G48+G51+G54</f>
        <v>0</v>
      </c>
      <c r="H58" s="409">
        <f>+H48+H51+H54</f>
        <v>37937890</v>
      </c>
      <c r="I58" s="181">
        <f>+I48+I51+I54</f>
        <v>37937890</v>
      </c>
      <c r="J58" s="181">
        <f>+J48+J51+J54</f>
        <v>0</v>
      </c>
      <c r="K58" s="411"/>
      <c r="L58" s="409">
        <f>+L48+L51+L54</f>
        <v>36357527</v>
      </c>
      <c r="M58" s="181">
        <f>+M48+M51+M54</f>
        <v>36357527</v>
      </c>
      <c r="N58" s="181">
        <f>+N48+N51+N54</f>
        <v>0</v>
      </c>
      <c r="O58" s="415"/>
    </row>
    <row r="59" spans="1:15" x14ac:dyDescent="0.25">
      <c r="A59" s="135" t="s">
        <v>149</v>
      </c>
      <c r="B59" s="460" t="s">
        <v>105</v>
      </c>
      <c r="C59" s="460"/>
      <c r="D59" s="187"/>
      <c r="E59" s="418">
        <f>'14'!E59+'10'!E59+'12'!E59</f>
        <v>0</v>
      </c>
      <c r="F59" s="419">
        <f>'14'!F59+'10'!F59+'12'!F59</f>
        <v>0</v>
      </c>
      <c r="G59" s="404"/>
      <c r="H59" s="300"/>
      <c r="I59" s="175"/>
      <c r="J59" s="200"/>
      <c r="K59" s="397"/>
      <c r="L59" s="293">
        <f t="shared" si="10"/>
        <v>0</v>
      </c>
      <c r="M59" s="175"/>
      <c r="N59" s="200"/>
      <c r="O59" s="415"/>
    </row>
    <row r="60" spans="1:15" ht="18.75" x14ac:dyDescent="0.3">
      <c r="A60" s="135" t="s">
        <v>136</v>
      </c>
      <c r="B60" s="460" t="s">
        <v>3</v>
      </c>
      <c r="C60" s="460"/>
      <c r="D60" s="187"/>
      <c r="E60" s="418">
        <f>'14'!E60+'10'!E60+'12'!E60</f>
        <v>0</v>
      </c>
      <c r="F60" s="419">
        <f>'14'!F60+'10'!F60+'12'!F60</f>
        <v>0</v>
      </c>
      <c r="G60" s="404"/>
      <c r="H60" s="302"/>
      <c r="I60" s="176"/>
      <c r="J60" s="176">
        <f t="shared" ref="J60" si="14">+J46+J57+J58+J59</f>
        <v>0</v>
      </c>
      <c r="K60" s="194"/>
      <c r="L60" s="413"/>
      <c r="M60" s="176"/>
      <c r="N60" s="176">
        <f>+N46+N57+N58+N59</f>
        <v>0</v>
      </c>
      <c r="O60" s="415"/>
    </row>
    <row r="61" spans="1:15" ht="18.75" x14ac:dyDescent="0.3">
      <c r="A61" s="115" t="s">
        <v>106</v>
      </c>
      <c r="B61" s="468" t="s">
        <v>107</v>
      </c>
      <c r="C61" s="468"/>
      <c r="D61" s="184">
        <f t="shared" ref="D61:J61" si="15">+D47+D58+D59+D60</f>
        <v>213475688</v>
      </c>
      <c r="E61" s="186">
        <f t="shared" si="15"/>
        <v>194061397</v>
      </c>
      <c r="F61" s="184">
        <f t="shared" si="15"/>
        <v>19414291</v>
      </c>
      <c r="G61" s="186">
        <f t="shared" si="15"/>
        <v>0</v>
      </c>
      <c r="H61" s="410">
        <f t="shared" si="15"/>
        <v>290214191</v>
      </c>
      <c r="I61" s="184">
        <f t="shared" si="15"/>
        <v>290214191</v>
      </c>
      <c r="J61" s="184">
        <f t="shared" si="15"/>
        <v>0</v>
      </c>
      <c r="K61" s="412"/>
      <c r="L61" s="410">
        <f>+L47+L58+L59+L60</f>
        <v>269320536</v>
      </c>
      <c r="M61" s="184">
        <f>+M47+M58+M59+M60</f>
        <v>269320536</v>
      </c>
      <c r="N61" s="176">
        <f>+N29-N60</f>
        <v>0</v>
      </c>
      <c r="O61" s="416"/>
    </row>
    <row r="62" spans="1:15" ht="18.75" x14ac:dyDescent="0.3">
      <c r="A62" s="115"/>
      <c r="B62" s="468" t="s">
        <v>108</v>
      </c>
      <c r="C62" s="468"/>
      <c r="D62" s="176">
        <f>+D30-D61</f>
        <v>33902364</v>
      </c>
      <c r="E62" s="173">
        <f>+E30-E61</f>
        <v>24683655</v>
      </c>
      <c r="F62" s="176">
        <f>+F30-F61</f>
        <v>9218709</v>
      </c>
      <c r="G62" s="173">
        <f>+G30-G61</f>
        <v>0</v>
      </c>
      <c r="H62" s="302">
        <f>+J62+I62</f>
        <v>36550871</v>
      </c>
      <c r="I62" s="176">
        <v>36550871</v>
      </c>
      <c r="J62" s="176"/>
      <c r="K62" s="194"/>
      <c r="L62" s="413">
        <f t="shared" si="10"/>
        <v>36318308</v>
      </c>
      <c r="M62" s="176">
        <v>36318308</v>
      </c>
      <c r="N62" s="176"/>
      <c r="O62" s="416"/>
    </row>
    <row r="63" spans="1:15" ht="18.75" x14ac:dyDescent="0.3">
      <c r="A63" s="115"/>
      <c r="B63" s="460" t="s">
        <v>208</v>
      </c>
      <c r="C63" s="460"/>
      <c r="D63" s="176">
        <f>SUM(E63:F63)</f>
        <v>97601000</v>
      </c>
      <c r="E63" s="418">
        <f>'14'!E63+'10'!E63+'12'!E63</f>
        <v>97601000</v>
      </c>
      <c r="F63" s="419">
        <f>'14'!F63+'10'!F63+'12'!F63</f>
        <v>0</v>
      </c>
      <c r="G63" s="173"/>
      <c r="H63" s="294">
        <f>SUM(I63:J63)</f>
        <v>101654432</v>
      </c>
      <c r="I63" s="177">
        <f>'14'!I63+'10'!H63+'12'!I63</f>
        <v>101654432</v>
      </c>
      <c r="J63" s="129"/>
      <c r="K63" s="395"/>
      <c r="L63" s="294">
        <f>SUM(M63:N63)</f>
        <v>101421869</v>
      </c>
      <c r="M63" s="421">
        <f>'14'!M63+'10'!K63+'12'!L63</f>
        <v>101421869</v>
      </c>
      <c r="N63" s="419">
        <f>'14'!N63+'10'!L63+'12'!M63</f>
        <v>0</v>
      </c>
      <c r="O63" s="416"/>
    </row>
    <row r="64" spans="1:15" ht="18.75" x14ac:dyDescent="0.3">
      <c r="A64" s="135" t="s">
        <v>137</v>
      </c>
      <c r="B64" s="460" t="s">
        <v>109</v>
      </c>
      <c r="C64" s="460"/>
      <c r="D64" s="177">
        <f>+E64+F64</f>
        <v>38461312</v>
      </c>
      <c r="E64" s="418">
        <f>'14'!E64+'10'!E64+'12'!E64</f>
        <v>38461312</v>
      </c>
      <c r="F64" s="419">
        <f>'14'!F64+'10'!F64+'12'!F64</f>
        <v>0</v>
      </c>
      <c r="G64" s="169"/>
      <c r="H64" s="294">
        <f>+I64+J64</f>
        <v>38695060</v>
      </c>
      <c r="I64" s="177">
        <f>SUM(I65:I66)</f>
        <v>38695060</v>
      </c>
      <c r="J64" s="155"/>
      <c r="K64" s="398"/>
      <c r="L64" s="294">
        <f>+M64+N64</f>
        <v>38695060</v>
      </c>
      <c r="M64" s="177">
        <f>SUM(M65:M66)</f>
        <v>38695060</v>
      </c>
      <c r="N64" s="155"/>
      <c r="O64" s="157"/>
    </row>
    <row r="65" spans="1:15" ht="18.75" x14ac:dyDescent="0.25">
      <c r="A65" s="115"/>
      <c r="B65" s="154" t="s">
        <v>8</v>
      </c>
      <c r="C65" s="334" t="s">
        <v>76</v>
      </c>
      <c r="D65" s="177">
        <f>+E65+F65</f>
        <v>38461312</v>
      </c>
      <c r="E65" s="418">
        <f>'14'!E65+'10'!E65+'12'!E65</f>
        <v>38461312</v>
      </c>
      <c r="F65" s="419">
        <f>'14'!F65+'10'!F65+'12'!F65</f>
        <v>0</v>
      </c>
      <c r="G65" s="405"/>
      <c r="H65" s="294">
        <f>+I65+J65</f>
        <v>38695060</v>
      </c>
      <c r="I65" s="177">
        <f>'14'!I65+'10'!H65+'12'!I65</f>
        <v>38695060</v>
      </c>
      <c r="J65" s="129"/>
      <c r="K65" s="395"/>
      <c r="L65" s="294">
        <f>+M65+N65</f>
        <v>38695060</v>
      </c>
      <c r="M65" s="421">
        <f>'14'!M65+'10'!K65+'12'!L65</f>
        <v>38695060</v>
      </c>
      <c r="N65" s="419">
        <f>'14'!N65+'10'!L65+'12'!M65</f>
        <v>0</v>
      </c>
      <c r="O65" s="416"/>
    </row>
    <row r="66" spans="1:15" ht="18.75" x14ac:dyDescent="0.3">
      <c r="A66" s="115"/>
      <c r="B66" s="154" t="s">
        <v>17</v>
      </c>
      <c r="C66" s="334" t="s">
        <v>77</v>
      </c>
      <c r="D66" s="188"/>
      <c r="E66" s="418">
        <f>'14'!E66+'10'!E66+'12'!E66</f>
        <v>0</v>
      </c>
      <c r="F66" s="419">
        <f>'14'!F66+'10'!F66+'12'!F66</f>
        <v>0</v>
      </c>
      <c r="G66" s="405"/>
      <c r="H66" s="302"/>
      <c r="I66" s="176"/>
      <c r="J66" s="176">
        <f t="shared" ref="J66" si="16">+J63</f>
        <v>0</v>
      </c>
      <c r="K66" s="194"/>
      <c r="L66" s="413">
        <f t="shared" si="10"/>
        <v>0</v>
      </c>
      <c r="M66" s="421">
        <f>'14'!M66+'10'!K66+'12'!L66</f>
        <v>0</v>
      </c>
      <c r="N66" s="419">
        <f>'14'!N66+'10'!L66+'12'!M66</f>
        <v>0</v>
      </c>
      <c r="O66" s="416"/>
    </row>
    <row r="67" spans="1:15" ht="18.75" customHeight="1" x14ac:dyDescent="0.3">
      <c r="A67" s="115" t="s">
        <v>110</v>
      </c>
      <c r="B67" s="473" t="s">
        <v>114</v>
      </c>
      <c r="C67" s="473"/>
      <c r="D67" s="176">
        <f>+E67+F67</f>
        <v>38461312</v>
      </c>
      <c r="E67" s="173">
        <f>+E65</f>
        <v>38461312</v>
      </c>
      <c r="F67" s="176">
        <f>+F64</f>
        <v>0</v>
      </c>
      <c r="G67" s="405"/>
      <c r="H67" s="302">
        <f>+I67+J67</f>
        <v>38695060</v>
      </c>
      <c r="I67" s="176">
        <f>+I65</f>
        <v>38695060</v>
      </c>
      <c r="J67" s="176"/>
      <c r="K67" s="194"/>
      <c r="L67" s="302">
        <f>+M67+N67</f>
        <v>38695060</v>
      </c>
      <c r="M67" s="176">
        <f>+M65</f>
        <v>38695060</v>
      </c>
      <c r="N67" s="176">
        <f>+N64</f>
        <v>0</v>
      </c>
      <c r="O67" s="416"/>
    </row>
    <row r="68" spans="1:15" ht="18.75" x14ac:dyDescent="0.3">
      <c r="A68" s="3" t="s">
        <v>138</v>
      </c>
      <c r="B68" s="470" t="s">
        <v>449</v>
      </c>
      <c r="C68" s="470"/>
      <c r="D68" s="176"/>
      <c r="E68" s="418">
        <f>'14'!E68+'10'!E68+'12'!E68</f>
        <v>0</v>
      </c>
      <c r="F68" s="419">
        <f>'14'!F68+'10'!F68+'12'!F68</f>
        <v>0</v>
      </c>
      <c r="G68" s="406"/>
      <c r="H68" s="305">
        <v>4903619</v>
      </c>
      <c r="I68" s="177">
        <f>'14'!I68+'10'!H68+'12'!I68</f>
        <v>4903619</v>
      </c>
      <c r="J68" s="130"/>
      <c r="K68" s="399"/>
      <c r="L68" s="305">
        <v>4903619</v>
      </c>
      <c r="M68" s="188">
        <v>4903619</v>
      </c>
      <c r="N68" s="130"/>
      <c r="O68" s="416"/>
    </row>
    <row r="69" spans="1:15" ht="18.75" x14ac:dyDescent="0.3">
      <c r="A69" s="3" t="s">
        <v>139</v>
      </c>
      <c r="B69" s="470" t="s">
        <v>112</v>
      </c>
      <c r="C69" s="470"/>
      <c r="D69" s="176">
        <f>SUM(D70:D73)</f>
        <v>0</v>
      </c>
      <c r="E69" s="418">
        <f>'14'!E69+'10'!E69+'12'!E69</f>
        <v>0</v>
      </c>
      <c r="F69" s="419">
        <f>'14'!F69+'10'!F69+'12'!F69</f>
        <v>0</v>
      </c>
      <c r="G69" s="406"/>
      <c r="H69" s="305"/>
      <c r="I69" s="188"/>
      <c r="J69" s="155">
        <f>SUM(G69:I69)</f>
        <v>0</v>
      </c>
      <c r="K69" s="398"/>
      <c r="L69" s="293">
        <f t="shared" si="10"/>
        <v>0</v>
      </c>
      <c r="M69" s="188"/>
      <c r="N69" s="155"/>
      <c r="O69" s="416"/>
    </row>
    <row r="70" spans="1:15" ht="18.75" x14ac:dyDescent="0.3">
      <c r="A70" s="3"/>
      <c r="B70" s="134" t="s">
        <v>8</v>
      </c>
      <c r="C70" s="334" t="s">
        <v>78</v>
      </c>
      <c r="D70" s="188"/>
      <c r="E70" s="418">
        <f>'14'!E70+'10'!E70+'12'!E70</f>
        <v>0</v>
      </c>
      <c r="F70" s="419">
        <f>'14'!F70+'10'!F70+'12'!F70</f>
        <v>0</v>
      </c>
      <c r="G70" s="406"/>
      <c r="H70" s="302"/>
      <c r="I70" s="177">
        <f>'14'!I70+'10'!H70+'12'!I70</f>
        <v>0</v>
      </c>
      <c r="J70" s="130">
        <f>SUM(G70:I70)</f>
        <v>0</v>
      </c>
      <c r="K70" s="399"/>
      <c r="L70" s="293">
        <f t="shared" si="10"/>
        <v>0</v>
      </c>
      <c r="M70" s="176"/>
      <c r="N70" s="130"/>
      <c r="O70" s="416"/>
    </row>
    <row r="71" spans="1:15" ht="18.75" x14ac:dyDescent="0.3">
      <c r="A71" s="3"/>
      <c r="B71" s="134" t="s">
        <v>17</v>
      </c>
      <c r="C71" s="334" t="s">
        <v>79</v>
      </c>
      <c r="D71" s="176"/>
      <c r="E71" s="418">
        <f>'14'!E71+'10'!E71+'12'!E71</f>
        <v>0</v>
      </c>
      <c r="F71" s="419">
        <f>'14'!F71+'10'!F71+'12'!F71</f>
        <v>0</v>
      </c>
      <c r="G71" s="406"/>
      <c r="H71" s="305"/>
      <c r="I71" s="177">
        <f>'14'!I71+'10'!H71+'12'!I71</f>
        <v>0</v>
      </c>
      <c r="J71" s="130"/>
      <c r="K71" s="399"/>
      <c r="L71" s="293">
        <f t="shared" si="10"/>
        <v>0</v>
      </c>
      <c r="M71" s="176"/>
      <c r="N71" s="130"/>
      <c r="O71" s="416"/>
    </row>
    <row r="72" spans="1:15" ht="18.75" x14ac:dyDescent="0.3">
      <c r="A72" s="3"/>
      <c r="B72" s="134" t="s">
        <v>18</v>
      </c>
      <c r="C72" s="334" t="s">
        <v>176</v>
      </c>
      <c r="D72" s="188"/>
      <c r="E72" s="418">
        <f>'14'!E72+'10'!E72+'12'!E72</f>
        <v>0</v>
      </c>
      <c r="F72" s="419">
        <f>'14'!F72+'10'!F72+'12'!F72</f>
        <v>0</v>
      </c>
      <c r="G72" s="406"/>
      <c r="H72" s="305"/>
      <c r="I72" s="177">
        <f>'14'!I72+'10'!H72+'12'!I72</f>
        <v>0</v>
      </c>
      <c r="J72" s="130"/>
      <c r="K72" s="399"/>
      <c r="L72" s="293">
        <f t="shared" si="10"/>
        <v>0</v>
      </c>
      <c r="M72" s="176"/>
      <c r="N72" s="130"/>
      <c r="O72" s="416"/>
    </row>
    <row r="73" spans="1:15" ht="18.75" x14ac:dyDescent="0.3">
      <c r="A73" s="3"/>
      <c r="B73" s="134" t="s">
        <v>19</v>
      </c>
      <c r="C73" s="334" t="s">
        <v>177</v>
      </c>
      <c r="D73" s="188"/>
      <c r="E73" s="418">
        <f>'14'!E73+'10'!E73+'12'!E73</f>
        <v>0</v>
      </c>
      <c r="F73" s="419">
        <f>'14'!F73+'10'!F73+'12'!F73</f>
        <v>0</v>
      </c>
      <c r="G73" s="406"/>
      <c r="H73" s="302"/>
      <c r="I73" s="177">
        <f>'14'!I73+'10'!H73+'12'!I73</f>
        <v>0</v>
      </c>
      <c r="J73" s="130"/>
      <c r="K73" s="399"/>
      <c r="L73" s="293">
        <f t="shared" si="10"/>
        <v>0</v>
      </c>
      <c r="M73" s="176"/>
      <c r="N73" s="130"/>
      <c r="O73" s="416"/>
    </row>
    <row r="74" spans="1:15" ht="35.25" customHeight="1" x14ac:dyDescent="0.3">
      <c r="A74" s="115" t="s">
        <v>113</v>
      </c>
      <c r="B74" s="471" t="s">
        <v>115</v>
      </c>
      <c r="C74" s="471"/>
      <c r="D74" s="176">
        <f>+D68+D69</f>
        <v>0</v>
      </c>
      <c r="E74" s="164"/>
      <c r="F74" s="130">
        <f t="shared" ref="F74" si="17">SUM(D74:E74)</f>
        <v>0</v>
      </c>
      <c r="G74" s="406"/>
      <c r="H74" s="302"/>
      <c r="I74" s="176"/>
      <c r="J74" s="176">
        <f t="shared" ref="J74" si="18">+J66+J73+J62</f>
        <v>0</v>
      </c>
      <c r="K74" s="194"/>
      <c r="L74" s="413"/>
      <c r="M74" s="176"/>
      <c r="N74" s="176">
        <f>+N66+N73+N62</f>
        <v>0</v>
      </c>
      <c r="O74" s="416"/>
    </row>
    <row r="75" spans="1:15" ht="18.75" x14ac:dyDescent="0.3">
      <c r="A75" s="115" t="s">
        <v>116</v>
      </c>
      <c r="B75" s="468" t="s">
        <v>117</v>
      </c>
      <c r="C75" s="468"/>
      <c r="D75" s="176">
        <f>+D67+D74+D63</f>
        <v>136062312</v>
      </c>
      <c r="E75" s="176">
        <f>+E67+E74+E63</f>
        <v>136062312</v>
      </c>
      <c r="F75" s="164">
        <f>+F67+F74</f>
        <v>0</v>
      </c>
      <c r="G75" s="406"/>
      <c r="H75" s="302">
        <f>+H67+H74+H68+H63</f>
        <v>145253111</v>
      </c>
      <c r="I75" s="176">
        <f>+I67+I74+I68+I63</f>
        <v>145253111</v>
      </c>
      <c r="J75" s="130"/>
      <c r="K75" s="399"/>
      <c r="L75" s="302">
        <f>+L67+L74+L68+L63</f>
        <v>145020548</v>
      </c>
      <c r="M75" s="176">
        <f>+M67+M74+M68+M63</f>
        <v>145020548</v>
      </c>
      <c r="N75" s="130"/>
      <c r="O75" s="416"/>
    </row>
    <row r="76" spans="1:15" ht="18.75" x14ac:dyDescent="0.3">
      <c r="A76" s="3" t="s">
        <v>140</v>
      </c>
      <c r="B76" s="470" t="s">
        <v>196</v>
      </c>
      <c r="C76" s="470"/>
      <c r="D76" s="176">
        <v>97601000</v>
      </c>
      <c r="E76" s="418">
        <f>'14'!E76+'10'!E76+'12'!E76</f>
        <v>97601000</v>
      </c>
      <c r="F76" s="419">
        <f>'14'!F76+'10'!F76+'12'!F76</f>
        <v>0</v>
      </c>
      <c r="G76" s="406"/>
      <c r="H76" s="305">
        <v>101654432</v>
      </c>
      <c r="I76" s="188">
        <v>101654432</v>
      </c>
      <c r="J76" s="155"/>
      <c r="K76" s="398"/>
      <c r="L76" s="293">
        <v>101421869</v>
      </c>
      <c r="M76" s="188">
        <v>101421869</v>
      </c>
      <c r="N76" s="155"/>
      <c r="O76" s="416"/>
    </row>
    <row r="77" spans="1:15" ht="18.75" x14ac:dyDescent="0.3">
      <c r="A77" s="3" t="s">
        <v>141</v>
      </c>
      <c r="B77" s="470" t="s">
        <v>118</v>
      </c>
      <c r="C77" s="470"/>
      <c r="D77" s="188">
        <f>E77+F77</f>
        <v>0</v>
      </c>
      <c r="E77" s="418">
        <f>'14'!E77+'10'!E77+'12'!E77</f>
        <v>0</v>
      </c>
      <c r="F77" s="419">
        <f>'14'!F77+'10'!F77+'12'!F77</f>
        <v>0</v>
      </c>
      <c r="G77" s="406"/>
      <c r="H77" s="305"/>
      <c r="I77" s="188"/>
      <c r="J77" s="155">
        <f t="shared" ref="J77:J79" si="19">SUM(G77:I77)</f>
        <v>0</v>
      </c>
      <c r="K77" s="398"/>
      <c r="L77" s="293">
        <f t="shared" si="10"/>
        <v>0</v>
      </c>
      <c r="M77" s="188"/>
      <c r="N77" s="155"/>
      <c r="O77" s="416"/>
    </row>
    <row r="78" spans="1:15" ht="18.75" x14ac:dyDescent="0.3">
      <c r="A78" s="3"/>
      <c r="B78" s="134" t="s">
        <v>8</v>
      </c>
      <c r="C78" s="334" t="s">
        <v>173</v>
      </c>
      <c r="D78" s="188"/>
      <c r="E78" s="418">
        <f>'14'!E78+'10'!E78+'12'!E78</f>
        <v>0</v>
      </c>
      <c r="F78" s="419">
        <f>'14'!F78+'10'!F78+'12'!F78</f>
        <v>0</v>
      </c>
      <c r="G78" s="406"/>
      <c r="H78" s="305"/>
      <c r="I78" s="177">
        <f>'14'!I78+'10'!H78+'12'!I78</f>
        <v>0</v>
      </c>
      <c r="J78" s="155">
        <f t="shared" si="19"/>
        <v>0</v>
      </c>
      <c r="K78" s="398"/>
      <c r="L78" s="293">
        <f t="shared" si="10"/>
        <v>0</v>
      </c>
      <c r="M78" s="188"/>
      <c r="N78" s="155"/>
      <c r="O78" s="416"/>
    </row>
    <row r="79" spans="1:15" ht="18.75" x14ac:dyDescent="0.3">
      <c r="A79" s="3"/>
      <c r="B79" s="134" t="s">
        <v>17</v>
      </c>
      <c r="C79" s="334" t="s">
        <v>172</v>
      </c>
      <c r="D79" s="188"/>
      <c r="E79" s="418">
        <f>'14'!E79+'10'!E79+'12'!E79</f>
        <v>0</v>
      </c>
      <c r="F79" s="419">
        <f>'14'!F79+'10'!F79+'12'!F79</f>
        <v>0</v>
      </c>
      <c r="G79" s="406"/>
      <c r="H79" s="305"/>
      <c r="I79" s="177">
        <f>'14'!I79+'10'!H79+'12'!I79</f>
        <v>0</v>
      </c>
      <c r="J79" s="155">
        <f t="shared" si="19"/>
        <v>0</v>
      </c>
      <c r="K79" s="398"/>
      <c r="L79" s="293">
        <f t="shared" si="10"/>
        <v>0</v>
      </c>
      <c r="M79" s="188"/>
      <c r="N79" s="155"/>
      <c r="O79" s="416"/>
    </row>
    <row r="80" spans="1:15" ht="18.75" x14ac:dyDescent="0.3">
      <c r="A80" s="3" t="s">
        <v>227</v>
      </c>
      <c r="B80" s="446" t="s">
        <v>226</v>
      </c>
      <c r="C80" s="447"/>
      <c r="D80" s="188">
        <v>4558948</v>
      </c>
      <c r="E80" s="418">
        <f>'14'!E80+'10'!E80+'12'!E80</f>
        <v>4558948</v>
      </c>
      <c r="F80" s="419">
        <f>'14'!F80+'10'!F80+'12'!F80</f>
        <v>0</v>
      </c>
      <c r="G80" s="406"/>
      <c r="H80" s="305">
        <v>4558948</v>
      </c>
      <c r="I80" s="177">
        <f>'14'!I80+'10'!H80+'12'!I80</f>
        <v>4558948</v>
      </c>
      <c r="J80" s="130"/>
      <c r="K80" s="399"/>
      <c r="L80" s="305">
        <v>4558948</v>
      </c>
      <c r="M80" s="188">
        <v>4558948</v>
      </c>
      <c r="N80" s="130"/>
      <c r="O80" s="416"/>
    </row>
    <row r="81" spans="1:15" ht="18.75" x14ac:dyDescent="0.3">
      <c r="A81" s="115" t="s">
        <v>119</v>
      </c>
      <c r="B81" s="468" t="s">
        <v>120</v>
      </c>
      <c r="C81" s="468"/>
      <c r="D81" s="176">
        <f>+D76+D77+D80</f>
        <v>102159948</v>
      </c>
      <c r="E81" s="164">
        <f>+E76+E77+E80</f>
        <v>102159948</v>
      </c>
      <c r="F81" s="164">
        <f>+F76+F77+F80</f>
        <v>0</v>
      </c>
      <c r="G81" s="406"/>
      <c r="H81" s="302">
        <f>+H76+H77+H80</f>
        <v>106213380</v>
      </c>
      <c r="I81" s="176">
        <f>+I76+I77+I80</f>
        <v>106213380</v>
      </c>
      <c r="J81" s="176">
        <f>+J76+J77+J80</f>
        <v>0</v>
      </c>
      <c r="K81" s="194"/>
      <c r="L81" s="302">
        <f>+L76+L77+L80</f>
        <v>105980817</v>
      </c>
      <c r="M81" s="176">
        <f>+M76+M77+M80</f>
        <v>105980817</v>
      </c>
      <c r="N81" s="176">
        <f>+N76+N77+N80</f>
        <v>0</v>
      </c>
      <c r="O81" s="416"/>
    </row>
    <row r="82" spans="1:15" ht="18.75" x14ac:dyDescent="0.3">
      <c r="A82" s="115" t="s">
        <v>158</v>
      </c>
      <c r="B82" s="468" t="s">
        <v>160</v>
      </c>
      <c r="C82" s="468"/>
      <c r="D82" s="190">
        <f t="shared" ref="D82:J82" si="20">+D30+D81</f>
        <v>349538000</v>
      </c>
      <c r="E82" s="189">
        <f t="shared" si="20"/>
        <v>320905000</v>
      </c>
      <c r="F82" s="122">
        <f t="shared" si="20"/>
        <v>28633000</v>
      </c>
      <c r="G82" s="400">
        <f t="shared" si="20"/>
        <v>0</v>
      </c>
      <c r="H82" s="306">
        <f t="shared" si="20"/>
        <v>435467302</v>
      </c>
      <c r="I82" s="190">
        <f t="shared" si="20"/>
        <v>375317361</v>
      </c>
      <c r="J82" s="190">
        <f t="shared" si="20"/>
        <v>60149941</v>
      </c>
      <c r="K82" s="400"/>
      <c r="L82" s="306">
        <f>+L30+L81</f>
        <v>344875749</v>
      </c>
      <c r="M82" s="190">
        <f>+M30+M81</f>
        <v>342781966</v>
      </c>
      <c r="N82" s="190">
        <f>+N30+N81</f>
        <v>2093783</v>
      </c>
      <c r="O82" s="416"/>
    </row>
    <row r="83" spans="1:15" ht="19.5" thickBot="1" x14ac:dyDescent="0.35">
      <c r="A83" s="123" t="s">
        <v>159</v>
      </c>
      <c r="B83" s="124" t="s">
        <v>161</v>
      </c>
      <c r="C83" s="124"/>
      <c r="D83" s="125">
        <f t="shared" ref="D83:J83" si="21">+D61+D75</f>
        <v>349538000</v>
      </c>
      <c r="E83" s="125">
        <f t="shared" si="21"/>
        <v>330123709</v>
      </c>
      <c r="F83" s="125">
        <f t="shared" si="21"/>
        <v>19414291</v>
      </c>
      <c r="G83" s="407">
        <f t="shared" si="21"/>
        <v>0</v>
      </c>
      <c r="H83" s="308">
        <f t="shared" si="21"/>
        <v>435467302</v>
      </c>
      <c r="I83" s="23">
        <f t="shared" si="21"/>
        <v>435467302</v>
      </c>
      <c r="J83" s="23">
        <f t="shared" si="21"/>
        <v>0</v>
      </c>
      <c r="K83" s="407"/>
      <c r="L83" s="308">
        <f>+L61+L75</f>
        <v>414341084</v>
      </c>
      <c r="M83" s="23">
        <f>+M61+M75</f>
        <v>414341084</v>
      </c>
      <c r="N83" s="23">
        <f>+N61+N75</f>
        <v>0</v>
      </c>
      <c r="O83" s="417"/>
    </row>
    <row r="84" spans="1:15" x14ac:dyDescent="0.2">
      <c r="B84" s="8"/>
      <c r="C84" s="8"/>
      <c r="D84" s="9"/>
      <c r="E84" s="9"/>
      <c r="F84" s="9"/>
      <c r="H84" s="4"/>
      <c r="I84" s="4"/>
      <c r="J84" s="4"/>
      <c r="K84" s="4"/>
      <c r="L84" s="4"/>
      <c r="M84" s="4"/>
      <c r="N84" s="4"/>
      <c r="O84" s="4"/>
    </row>
    <row r="85" spans="1:15" x14ac:dyDescent="0.2">
      <c r="B85" s="8"/>
      <c r="C85" s="8"/>
      <c r="D85" s="128">
        <f>+D83-D82</f>
        <v>0</v>
      </c>
      <c r="E85" s="128">
        <f>+E83-E82</f>
        <v>9218709</v>
      </c>
      <c r="F85" s="128">
        <f>+F83-F82</f>
        <v>-9218709</v>
      </c>
      <c r="G85" s="128">
        <f>+G83-G82</f>
        <v>0</v>
      </c>
      <c r="H85" s="117">
        <f>SUM(E85:G85)</f>
        <v>0</v>
      </c>
      <c r="I85" s="128">
        <f>+I83-I82</f>
        <v>60149941</v>
      </c>
      <c r="J85" s="128">
        <f>+J83-J82</f>
        <v>-60149941</v>
      </c>
      <c r="K85" s="4"/>
      <c r="L85" s="4"/>
      <c r="M85" s="128"/>
      <c r="N85" s="128"/>
      <c r="O85" s="4"/>
    </row>
    <row r="86" spans="1:15" x14ac:dyDescent="0.2">
      <c r="B86" s="8"/>
      <c r="C86" s="8"/>
      <c r="D86" s="128"/>
      <c r="E86" s="128"/>
      <c r="F86" s="128"/>
      <c r="G86" s="128">
        <f>+G84-G83</f>
        <v>0</v>
      </c>
    </row>
    <row r="87" spans="1:15" x14ac:dyDescent="0.2">
      <c r="B87" s="8"/>
      <c r="C87" s="8"/>
      <c r="D87" s="9"/>
      <c r="E87" s="9"/>
      <c r="F87" s="9"/>
    </row>
    <row r="88" spans="1:15" x14ac:dyDescent="0.2">
      <c r="B88" s="8"/>
      <c r="C88" s="8"/>
      <c r="D88" s="9"/>
      <c r="E88" s="9"/>
      <c r="F88" s="9"/>
    </row>
    <row r="89" spans="1:15" x14ac:dyDescent="0.2">
      <c r="B89" s="8"/>
      <c r="C89" s="8"/>
      <c r="D89" s="9"/>
      <c r="E89" s="9"/>
      <c r="F89" s="9"/>
    </row>
    <row r="90" spans="1:15" x14ac:dyDescent="0.2">
      <c r="B90" s="8"/>
      <c r="C90" s="8"/>
      <c r="D90" s="9"/>
      <c r="E90" s="9"/>
      <c r="F90" s="9"/>
    </row>
    <row r="91" spans="1:15" x14ac:dyDescent="0.2">
      <c r="B91" s="8"/>
      <c r="C91" s="8"/>
      <c r="D91" s="9"/>
      <c r="E91" s="9"/>
      <c r="F91" s="9"/>
    </row>
    <row r="92" spans="1:15" x14ac:dyDescent="0.2">
      <c r="B92" s="8"/>
      <c r="C92" s="8"/>
      <c r="D92" s="9"/>
      <c r="E92" s="9"/>
      <c r="F92" s="9"/>
    </row>
    <row r="93" spans="1:15" x14ac:dyDescent="0.2">
      <c r="B93" s="8"/>
      <c r="C93" s="8"/>
      <c r="D93" s="9"/>
      <c r="E93" s="9"/>
      <c r="F93" s="9"/>
    </row>
    <row r="94" spans="1:15" x14ac:dyDescent="0.2">
      <c r="B94" s="8"/>
      <c r="C94" s="8"/>
      <c r="D94" s="9"/>
      <c r="E94" s="9"/>
      <c r="F94" s="9"/>
    </row>
    <row r="95" spans="1:15" x14ac:dyDescent="0.2">
      <c r="B95" s="8"/>
      <c r="C95" s="8"/>
      <c r="D95" s="9"/>
      <c r="E95" s="9"/>
      <c r="F95" s="9"/>
    </row>
    <row r="96" spans="1:15" x14ac:dyDescent="0.2">
      <c r="B96" s="8"/>
      <c r="C96" s="8"/>
      <c r="D96" s="9"/>
      <c r="E96" s="9"/>
      <c r="F96" s="9"/>
    </row>
    <row r="97" spans="2:6" x14ac:dyDescent="0.2">
      <c r="B97" s="8"/>
      <c r="C97" s="8"/>
      <c r="D97" s="9"/>
      <c r="E97" s="9"/>
      <c r="F97" s="9"/>
    </row>
    <row r="98" spans="2:6" x14ac:dyDescent="0.2">
      <c r="B98" s="8"/>
      <c r="C98" s="8"/>
      <c r="D98" s="9"/>
      <c r="E98" s="9"/>
      <c r="F98" s="9"/>
    </row>
    <row r="99" spans="2:6" x14ac:dyDescent="0.2">
      <c r="B99" s="8"/>
      <c r="C99" s="8"/>
      <c r="D99" s="9"/>
      <c r="E99" s="9"/>
      <c r="F99" s="9"/>
    </row>
    <row r="100" spans="2:6" x14ac:dyDescent="0.2">
      <c r="B100" s="8"/>
      <c r="C100" s="8"/>
      <c r="D100" s="9"/>
      <c r="E100" s="9"/>
      <c r="F100" s="9"/>
    </row>
    <row r="101" spans="2:6" x14ac:dyDescent="0.2">
      <c r="B101" s="8"/>
      <c r="C101" s="8"/>
      <c r="D101" s="9"/>
      <c r="E101" s="9"/>
      <c r="F101" s="9"/>
    </row>
    <row r="102" spans="2:6" x14ac:dyDescent="0.2">
      <c r="B102" s="8"/>
      <c r="C102" s="8"/>
      <c r="D102" s="9"/>
      <c r="E102" s="9"/>
      <c r="F102" s="9"/>
    </row>
    <row r="103" spans="2:6" x14ac:dyDescent="0.2">
      <c r="B103" s="8"/>
      <c r="C103" s="8"/>
      <c r="D103" s="9"/>
      <c r="E103" s="9"/>
      <c r="F103" s="9"/>
    </row>
    <row r="104" spans="2:6" x14ac:dyDescent="0.2">
      <c r="B104" s="8"/>
      <c r="C104" s="8"/>
      <c r="D104" s="9"/>
      <c r="E104" s="9"/>
      <c r="F104" s="9"/>
    </row>
    <row r="105" spans="2:6" x14ac:dyDescent="0.2">
      <c r="B105" s="8"/>
      <c r="C105" s="8"/>
      <c r="D105" s="9"/>
      <c r="E105" s="9"/>
      <c r="F105" s="9"/>
    </row>
    <row r="106" spans="2:6" x14ac:dyDescent="0.2">
      <c r="B106" s="8"/>
      <c r="C106" s="8"/>
      <c r="D106" s="9"/>
      <c r="E106" s="9"/>
      <c r="F106" s="9"/>
    </row>
  </sheetData>
  <mergeCells count="70">
    <mergeCell ref="A6:A8"/>
    <mergeCell ref="B6:C8"/>
    <mergeCell ref="D6:D7"/>
    <mergeCell ref="E6:E7"/>
    <mergeCell ref="F6:F7"/>
    <mergeCell ref="A1:F1"/>
    <mergeCell ref="A2:F2"/>
    <mergeCell ref="A3:F3"/>
    <mergeCell ref="A4:F4"/>
    <mergeCell ref="A5:F5"/>
    <mergeCell ref="B11:C11"/>
    <mergeCell ref="B12:C12"/>
    <mergeCell ref="B13:C13"/>
    <mergeCell ref="B14:C14"/>
    <mergeCell ref="G6:G7"/>
    <mergeCell ref="B9:C9"/>
    <mergeCell ref="B10:C10"/>
    <mergeCell ref="B19:C19"/>
    <mergeCell ref="B20:C20"/>
    <mergeCell ref="B23:C23"/>
    <mergeCell ref="B21:C21"/>
    <mergeCell ref="B15:C15"/>
    <mergeCell ref="B16:C16"/>
    <mergeCell ref="B17:C17"/>
    <mergeCell ref="B18:C18"/>
    <mergeCell ref="B47:C47"/>
    <mergeCell ref="B32:C32"/>
    <mergeCell ref="B33:C33"/>
    <mergeCell ref="B34:C34"/>
    <mergeCell ref="B38:C38"/>
    <mergeCell ref="B42:C42"/>
    <mergeCell ref="B28:C28"/>
    <mergeCell ref="B29:C29"/>
    <mergeCell ref="B30:C30"/>
    <mergeCell ref="B31:C31"/>
    <mergeCell ref="B24:C24"/>
    <mergeCell ref="B25:C25"/>
    <mergeCell ref="B26:C26"/>
    <mergeCell ref="B27:C27"/>
    <mergeCell ref="B82:C82"/>
    <mergeCell ref="B68:C68"/>
    <mergeCell ref="B69:C69"/>
    <mergeCell ref="B74:C74"/>
    <mergeCell ref="B75:C75"/>
    <mergeCell ref="B77:C77"/>
    <mergeCell ref="B81:C81"/>
    <mergeCell ref="B80:C80"/>
    <mergeCell ref="B48:C48"/>
    <mergeCell ref="B51:C51"/>
    <mergeCell ref="B54:C54"/>
    <mergeCell ref="B76:C76"/>
    <mergeCell ref="B58:C58"/>
    <mergeCell ref="B59:C59"/>
    <mergeCell ref="B60:C60"/>
    <mergeCell ref="B61:C61"/>
    <mergeCell ref="B62:C62"/>
    <mergeCell ref="B64:C64"/>
    <mergeCell ref="B67:C67"/>
    <mergeCell ref="B63:C63"/>
    <mergeCell ref="M6:M7"/>
    <mergeCell ref="N6:N7"/>
    <mergeCell ref="O6:O7"/>
    <mergeCell ref="D8:G8"/>
    <mergeCell ref="H8:K8"/>
    <mergeCell ref="L8:O8"/>
    <mergeCell ref="H6:H7"/>
    <mergeCell ref="I6:I7"/>
    <mergeCell ref="J6:J7"/>
    <mergeCell ref="K6:K7"/>
    <mergeCell ref="L6:L7"/>
  </mergeCells>
  <phoneticPr fontId="16" type="noConversion"/>
  <pageMargins left="0.74803149606299213" right="0.15748031496062992" top="0.27559055118110237" bottom="0.39370078740157483" header="0.19685039370078741" footer="0.15748031496062992"/>
  <pageSetup paperSize="9"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view="pageBreakPreview" zoomScale="75" zoomScaleNormal="66" zoomScaleSheetLayoutView="75" workbookViewId="0">
      <selection sqref="A1:F1"/>
    </sheetView>
  </sheetViews>
  <sheetFormatPr defaultRowHeight="20.100000000000001" customHeight="1" x14ac:dyDescent="0.2"/>
  <cols>
    <col min="1" max="1" width="6" style="2" customWidth="1"/>
    <col min="2" max="2" width="5.140625" style="1" customWidth="1"/>
    <col min="3" max="3" width="70.85546875" style="1" customWidth="1"/>
    <col min="4" max="4" width="17.7109375" style="2" bestFit="1" customWidth="1"/>
    <col min="5" max="5" width="18.5703125" style="2" customWidth="1"/>
    <col min="6" max="6" width="16.42578125" style="2" customWidth="1"/>
    <col min="7" max="7" width="7.140625" style="4" customWidth="1"/>
    <col min="8" max="9" width="18.7109375" style="4" customWidth="1"/>
    <col min="10" max="10" width="16.7109375" style="4" customWidth="1"/>
    <col min="11" max="11" width="5.85546875" style="4" customWidth="1"/>
    <col min="12" max="13" width="18.7109375" style="4" customWidth="1"/>
    <col min="14" max="14" width="16.42578125" style="4" customWidth="1"/>
    <col min="15" max="15" width="5.5703125" style="4" customWidth="1"/>
    <col min="16" max="16384" width="9.140625" style="4"/>
  </cols>
  <sheetData>
    <row r="1" spans="1:15" ht="20.100000000000001" customHeight="1" x14ac:dyDescent="0.3">
      <c r="A1" s="461" t="s">
        <v>368</v>
      </c>
      <c r="B1" s="462"/>
      <c r="C1" s="462"/>
      <c r="D1" s="462"/>
      <c r="E1" s="462"/>
      <c r="F1" s="462"/>
    </row>
    <row r="2" spans="1:15" ht="20.100000000000001" customHeight="1" x14ac:dyDescent="0.2">
      <c r="A2" s="464"/>
      <c r="B2" s="464"/>
      <c r="C2" s="464"/>
      <c r="D2" s="464"/>
      <c r="E2" s="464"/>
      <c r="F2" s="464"/>
    </row>
    <row r="3" spans="1:15" ht="20.100000000000001" customHeight="1" x14ac:dyDescent="0.25">
      <c r="A3" s="465" t="s">
        <v>190</v>
      </c>
      <c r="B3" s="465"/>
      <c r="C3" s="465"/>
      <c r="D3" s="465"/>
      <c r="E3" s="465"/>
      <c r="F3" s="465"/>
    </row>
    <row r="4" spans="1:15" ht="20.100000000000001" customHeight="1" x14ac:dyDescent="0.2">
      <c r="A4" s="464" t="s">
        <v>153</v>
      </c>
      <c r="B4" s="464"/>
      <c r="C4" s="464"/>
      <c r="D4" s="464"/>
      <c r="E4" s="464"/>
      <c r="F4" s="464"/>
    </row>
    <row r="5" spans="1:15" ht="29.25" customHeight="1" thickBot="1" x14ac:dyDescent="0.3">
      <c r="A5" s="463" t="s">
        <v>220</v>
      </c>
      <c r="B5" s="463"/>
      <c r="C5" s="463"/>
      <c r="D5" s="463"/>
      <c r="E5" s="463"/>
      <c r="F5" s="463"/>
    </row>
    <row r="6" spans="1:15" ht="20.100000000000001" customHeight="1" x14ac:dyDescent="0.2">
      <c r="A6" s="448" t="s">
        <v>154</v>
      </c>
      <c r="B6" s="451" t="s">
        <v>142</v>
      </c>
      <c r="C6" s="451"/>
      <c r="D6" s="438" t="s">
        <v>358</v>
      </c>
      <c r="E6" s="444" t="s">
        <v>184</v>
      </c>
      <c r="F6" s="444" t="s">
        <v>185</v>
      </c>
      <c r="G6" s="429" t="s">
        <v>186</v>
      </c>
      <c r="H6" s="438" t="s">
        <v>359</v>
      </c>
      <c r="I6" s="444" t="s">
        <v>335</v>
      </c>
      <c r="J6" s="429" t="s">
        <v>336</v>
      </c>
      <c r="K6" s="429" t="s">
        <v>186</v>
      </c>
      <c r="L6" s="438" t="s">
        <v>360</v>
      </c>
      <c r="M6" s="440" t="s">
        <v>338</v>
      </c>
      <c r="N6" s="442" t="s">
        <v>339</v>
      </c>
      <c r="O6" s="429" t="s">
        <v>186</v>
      </c>
    </row>
    <row r="7" spans="1:15" ht="38.25" customHeight="1" thickBot="1" x14ac:dyDescent="0.25">
      <c r="A7" s="449"/>
      <c r="B7" s="452"/>
      <c r="C7" s="452"/>
      <c r="D7" s="439"/>
      <c r="E7" s="445"/>
      <c r="F7" s="445"/>
      <c r="G7" s="430"/>
      <c r="H7" s="439"/>
      <c r="I7" s="445"/>
      <c r="J7" s="430"/>
      <c r="K7" s="430"/>
      <c r="L7" s="439"/>
      <c r="M7" s="441"/>
      <c r="N7" s="443"/>
      <c r="O7" s="430"/>
    </row>
    <row r="8" spans="1:15" ht="22.5" customHeight="1" thickBot="1" x14ac:dyDescent="0.25">
      <c r="A8" s="450"/>
      <c r="B8" s="453"/>
      <c r="C8" s="454"/>
      <c r="D8" s="431" t="s">
        <v>352</v>
      </c>
      <c r="E8" s="432"/>
      <c r="F8" s="432"/>
      <c r="G8" s="434"/>
      <c r="H8" s="431" t="s">
        <v>352</v>
      </c>
      <c r="I8" s="432"/>
      <c r="J8" s="432"/>
      <c r="K8" s="433"/>
      <c r="L8" s="435" t="s">
        <v>466</v>
      </c>
      <c r="M8" s="436"/>
      <c r="N8" s="436"/>
      <c r="O8" s="437"/>
    </row>
    <row r="9" spans="1:15" ht="15.95" customHeight="1" x14ac:dyDescent="0.2">
      <c r="A9" s="156"/>
      <c r="B9" s="451" t="s">
        <v>155</v>
      </c>
      <c r="C9" s="451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spans="1:15" ht="15.95" customHeight="1" x14ac:dyDescent="0.25">
      <c r="A10" s="3">
        <v>1</v>
      </c>
      <c r="B10" s="455" t="s">
        <v>143</v>
      </c>
      <c r="C10" s="455"/>
      <c r="D10" s="418">
        <f>SUM(E10:G10)</f>
        <v>28589000</v>
      </c>
      <c r="E10" s="418">
        <v>28589000</v>
      </c>
      <c r="F10" s="419"/>
      <c r="G10" s="420"/>
      <c r="H10" s="299">
        <v>35842536</v>
      </c>
      <c r="I10" s="421">
        <v>35842536</v>
      </c>
      <c r="J10" s="419"/>
      <c r="K10" s="394"/>
      <c r="L10" s="299">
        <v>35842536</v>
      </c>
      <c r="M10" s="421">
        <v>35842536</v>
      </c>
      <c r="N10" s="419"/>
      <c r="O10" s="422"/>
    </row>
    <row r="11" spans="1:15" ht="15.95" customHeight="1" x14ac:dyDescent="0.25">
      <c r="A11" s="3">
        <v>2</v>
      </c>
      <c r="B11" s="455" t="s">
        <v>150</v>
      </c>
      <c r="C11" s="455"/>
      <c r="D11" s="161">
        <f>SUM(E11:G11)</f>
        <v>6682000</v>
      </c>
      <c r="E11" s="161">
        <v>6682000</v>
      </c>
      <c r="F11" s="129"/>
      <c r="G11" s="401"/>
      <c r="H11" s="293">
        <v>7939080</v>
      </c>
      <c r="I11" s="6">
        <v>7939080</v>
      </c>
      <c r="J11" s="129"/>
      <c r="K11" s="395"/>
      <c r="L11" s="293">
        <v>7932267</v>
      </c>
      <c r="M11" s="6">
        <v>7932267</v>
      </c>
      <c r="N11" s="129"/>
      <c r="O11" s="157"/>
    </row>
    <row r="12" spans="1:15" ht="15.95" customHeight="1" x14ac:dyDescent="0.25">
      <c r="A12" s="3">
        <v>3</v>
      </c>
      <c r="B12" s="455" t="s">
        <v>151</v>
      </c>
      <c r="C12" s="455"/>
      <c r="D12" s="161">
        <f>E12+F12+G12</f>
        <v>54751053</v>
      </c>
      <c r="E12" s="161">
        <v>54751053</v>
      </c>
      <c r="F12" s="129"/>
      <c r="G12" s="402"/>
      <c r="H12" s="293">
        <v>59580530</v>
      </c>
      <c r="I12" s="6">
        <v>59580530</v>
      </c>
      <c r="J12" s="129"/>
      <c r="K12" s="395"/>
      <c r="L12" s="293">
        <v>56024370</v>
      </c>
      <c r="M12" s="6">
        <v>56024370</v>
      </c>
      <c r="N12" s="129"/>
      <c r="O12" s="157"/>
    </row>
    <row r="13" spans="1:15" ht="15.95" customHeight="1" x14ac:dyDescent="0.25">
      <c r="A13" s="3" t="s">
        <v>19</v>
      </c>
      <c r="B13" s="455" t="s">
        <v>135</v>
      </c>
      <c r="C13" s="455"/>
      <c r="D13" s="161">
        <f t="shared" ref="D13:D19" si="0">SUM(E13:G13)</f>
        <v>0</v>
      </c>
      <c r="E13" s="170"/>
      <c r="F13" s="129"/>
      <c r="G13" s="169"/>
      <c r="H13" s="293"/>
      <c r="I13" s="6"/>
      <c r="J13" s="129"/>
      <c r="K13" s="395"/>
      <c r="L13" s="293">
        <f t="shared" ref="L13:L28" si="1">+M13+N13</f>
        <v>0</v>
      </c>
      <c r="M13" s="6"/>
      <c r="N13" s="129"/>
      <c r="O13" s="157"/>
    </row>
    <row r="14" spans="1:15" ht="15.95" customHeight="1" x14ac:dyDescent="0.2">
      <c r="A14" s="3" t="s">
        <v>21</v>
      </c>
      <c r="B14" s="456" t="s">
        <v>130</v>
      </c>
      <c r="C14" s="456"/>
      <c r="D14" s="161">
        <f t="shared" si="0"/>
        <v>16718000</v>
      </c>
      <c r="E14" s="171">
        <f>+E15+E16+E17+E18+E19</f>
        <v>14670000</v>
      </c>
      <c r="F14" s="6">
        <v>2048000</v>
      </c>
      <c r="G14" s="170"/>
      <c r="H14" s="292">
        <f>SUM(I14:J14)</f>
        <v>28888607</v>
      </c>
      <c r="I14" s="6">
        <f>+I15+I16+I17+I18+I19</f>
        <v>26707871</v>
      </c>
      <c r="J14" s="6">
        <v>2180736</v>
      </c>
      <c r="K14" s="171"/>
      <c r="L14" s="292">
        <f t="shared" ref="L14" si="2">SUM(M14:O14)</f>
        <v>27226185</v>
      </c>
      <c r="M14" s="6">
        <f>+M15+M16+M17+M18+M19</f>
        <v>25132402</v>
      </c>
      <c r="N14" s="6">
        <v>2093783</v>
      </c>
      <c r="O14" s="157"/>
    </row>
    <row r="15" spans="1:15" ht="15.95" customHeight="1" x14ac:dyDescent="0.25">
      <c r="A15" s="3" t="s">
        <v>122</v>
      </c>
      <c r="B15" s="459" t="s">
        <v>125</v>
      </c>
      <c r="C15" s="459"/>
      <c r="D15" s="161">
        <f t="shared" si="0"/>
        <v>0</v>
      </c>
      <c r="E15" s="170"/>
      <c r="F15" s="129"/>
      <c r="G15" s="169"/>
      <c r="H15" s="293"/>
      <c r="I15" s="6"/>
      <c r="J15" s="129"/>
      <c r="K15" s="395"/>
      <c r="L15" s="293">
        <f t="shared" si="1"/>
        <v>0</v>
      </c>
      <c r="M15" s="6"/>
      <c r="N15" s="129"/>
      <c r="O15" s="157"/>
    </row>
    <row r="16" spans="1:15" ht="15.95" customHeight="1" x14ac:dyDescent="0.25">
      <c r="A16" s="3" t="s">
        <v>123</v>
      </c>
      <c r="B16" s="459" t="s">
        <v>183</v>
      </c>
      <c r="C16" s="459"/>
      <c r="D16" s="161">
        <f t="shared" si="0"/>
        <v>5963000</v>
      </c>
      <c r="E16" s="170">
        <v>3915000</v>
      </c>
      <c r="F16" s="129">
        <v>2048000</v>
      </c>
      <c r="G16" s="169"/>
      <c r="H16" s="293">
        <f>SUM(I16:J16)</f>
        <v>16671836</v>
      </c>
      <c r="I16" s="6">
        <v>14491100</v>
      </c>
      <c r="J16" s="129">
        <v>2180736</v>
      </c>
      <c r="K16" s="395"/>
      <c r="L16" s="293">
        <f>SUM(M16:N16)</f>
        <v>16164994</v>
      </c>
      <c r="M16" s="6">
        <v>14071211</v>
      </c>
      <c r="N16" s="129">
        <v>2093783</v>
      </c>
      <c r="O16" s="157"/>
    </row>
    <row r="17" spans="1:15" ht="15.95" customHeight="1" x14ac:dyDescent="0.25">
      <c r="A17" s="3"/>
      <c r="B17" s="466"/>
      <c r="C17" s="467"/>
      <c r="D17" s="161">
        <f t="shared" si="0"/>
        <v>0</v>
      </c>
      <c r="E17" s="170"/>
      <c r="F17" s="129"/>
      <c r="G17" s="169"/>
      <c r="H17" s="293"/>
      <c r="I17" s="6"/>
      <c r="J17" s="129"/>
      <c r="K17" s="395"/>
      <c r="L17" s="293">
        <f t="shared" si="1"/>
        <v>0</v>
      </c>
      <c r="M17" s="6"/>
      <c r="N17" s="129"/>
      <c r="O17" s="157"/>
    </row>
    <row r="18" spans="1:15" ht="15.95" customHeight="1" x14ac:dyDescent="0.25">
      <c r="A18" s="3" t="s">
        <v>124</v>
      </c>
      <c r="B18" s="457" t="s">
        <v>126</v>
      </c>
      <c r="C18" s="457"/>
      <c r="D18" s="161">
        <v>10755000</v>
      </c>
      <c r="E18" s="170">
        <v>10755000</v>
      </c>
      <c r="F18" s="129"/>
      <c r="G18" s="169"/>
      <c r="H18" s="293">
        <v>12124060</v>
      </c>
      <c r="I18" s="6">
        <v>12124060</v>
      </c>
      <c r="J18" s="129"/>
      <c r="K18" s="395"/>
      <c r="L18" s="293">
        <f t="shared" si="1"/>
        <v>10968480</v>
      </c>
      <c r="M18" s="6">
        <v>10968480</v>
      </c>
      <c r="N18" s="129"/>
      <c r="O18" s="157"/>
    </row>
    <row r="19" spans="1:15" ht="15.95" customHeight="1" x14ac:dyDescent="0.25">
      <c r="A19" s="3" t="s">
        <v>47</v>
      </c>
      <c r="B19" s="457" t="s">
        <v>216</v>
      </c>
      <c r="C19" s="458"/>
      <c r="D19" s="161">
        <f t="shared" si="0"/>
        <v>0</v>
      </c>
      <c r="E19" s="170"/>
      <c r="F19" s="129"/>
      <c r="G19" s="169"/>
      <c r="H19" s="293">
        <v>92711</v>
      </c>
      <c r="I19" s="6">
        <v>92711</v>
      </c>
      <c r="J19" s="129"/>
      <c r="K19" s="395"/>
      <c r="L19" s="293">
        <f t="shared" si="1"/>
        <v>92711</v>
      </c>
      <c r="M19" s="6">
        <v>92711</v>
      </c>
      <c r="N19" s="129"/>
      <c r="O19" s="157"/>
    </row>
    <row r="20" spans="1:15" ht="15.95" customHeight="1" x14ac:dyDescent="0.25">
      <c r="A20" s="3"/>
      <c r="B20" s="455" t="s">
        <v>237</v>
      </c>
      <c r="C20" s="455"/>
      <c r="D20" s="6">
        <f>E20+F20+G20</f>
        <v>0</v>
      </c>
      <c r="E20" s="170"/>
      <c r="F20" s="129"/>
      <c r="G20" s="169"/>
      <c r="H20" s="293"/>
      <c r="I20" s="177"/>
      <c r="J20" s="129"/>
      <c r="K20" s="395"/>
      <c r="L20" s="293">
        <f t="shared" si="1"/>
        <v>0</v>
      </c>
      <c r="M20" s="177"/>
      <c r="N20" s="129"/>
      <c r="O20" s="157"/>
    </row>
    <row r="21" spans="1:15" ht="15.95" customHeight="1" x14ac:dyDescent="0.25">
      <c r="A21" s="3"/>
      <c r="B21" s="455" t="s">
        <v>236</v>
      </c>
      <c r="C21" s="455"/>
      <c r="D21" s="177">
        <f>E21+F21+G21</f>
        <v>35324999</v>
      </c>
      <c r="E21" s="172">
        <v>16176999</v>
      </c>
      <c r="F21" s="129">
        <v>19148000</v>
      </c>
      <c r="G21" s="169"/>
      <c r="H21" s="292">
        <f>SUM(I21:J21)</f>
        <v>79645223</v>
      </c>
      <c r="I21" s="6">
        <v>21676018</v>
      </c>
      <c r="J21" s="6">
        <v>57969205</v>
      </c>
      <c r="K21" s="171"/>
      <c r="L21" s="293"/>
      <c r="M21" s="6"/>
      <c r="N21" s="6"/>
      <c r="O21" s="157"/>
    </row>
    <row r="22" spans="1:15" ht="15.95" customHeight="1" x14ac:dyDescent="0.2">
      <c r="A22" s="3" t="s">
        <v>147</v>
      </c>
      <c r="B22" s="152" t="s">
        <v>121</v>
      </c>
      <c r="C22" s="113"/>
      <c r="D22" s="6">
        <f>+D10+D11+D12+D13+D14+D21+D20</f>
        <v>142065052</v>
      </c>
      <c r="E22" s="170">
        <f>+E10+E11+E12+E13+E14+E21+E20</f>
        <v>120869052</v>
      </c>
      <c r="F22" s="6">
        <f>+F10+F11+F12+F13+F14+F21</f>
        <v>21196000</v>
      </c>
      <c r="G22" s="170"/>
      <c r="H22" s="292">
        <f>+H10+H11+H12+H13+H14+H21+H20</f>
        <v>211895976</v>
      </c>
      <c r="I22" s="6">
        <f>+I10+I11+I12+I13+I14+I21+I20</f>
        <v>151746035</v>
      </c>
      <c r="J22" s="6">
        <f>+J10+J11+J12+J13+J14+J21</f>
        <v>60149941</v>
      </c>
      <c r="K22" s="171"/>
      <c r="L22" s="292">
        <f>+L10+L11+L12+L13+L14+L21+L20</f>
        <v>127025358</v>
      </c>
      <c r="M22" s="6">
        <f>+M10+M11+M12+M13+M14+M21+M20</f>
        <v>124931575</v>
      </c>
      <c r="N22" s="6">
        <f>+N10+N11+N12+N13+N14+N21</f>
        <v>2093783</v>
      </c>
      <c r="O22" s="157"/>
    </row>
    <row r="23" spans="1:15" ht="15.95" customHeight="1" x14ac:dyDescent="0.25">
      <c r="A23" s="3" t="s">
        <v>22</v>
      </c>
      <c r="B23" s="455" t="s">
        <v>145</v>
      </c>
      <c r="C23" s="455"/>
      <c r="D23" s="6">
        <v>5103000</v>
      </c>
      <c r="E23" s="162"/>
      <c r="F23" s="129">
        <v>5103000</v>
      </c>
      <c r="G23" s="401"/>
      <c r="H23" s="292">
        <f>SUM(I23:J23)</f>
        <v>11424791</v>
      </c>
      <c r="I23" s="177">
        <v>11424791</v>
      </c>
      <c r="J23" s="129"/>
      <c r="K23" s="395"/>
      <c r="L23" s="293">
        <f t="shared" si="1"/>
        <v>8608476</v>
      </c>
      <c r="M23" s="177">
        <v>8608476</v>
      </c>
      <c r="N23" s="129"/>
      <c r="O23" s="157"/>
    </row>
    <row r="24" spans="1:15" ht="15.95" customHeight="1" x14ac:dyDescent="0.25">
      <c r="A24" s="3" t="s">
        <v>23</v>
      </c>
      <c r="B24" s="455" t="s">
        <v>144</v>
      </c>
      <c r="C24" s="455"/>
      <c r="D24" s="6">
        <f>SUM(E24:G24)</f>
        <v>1000000</v>
      </c>
      <c r="E24" s="162"/>
      <c r="F24" s="129">
        <v>1000000</v>
      </c>
      <c r="G24" s="401"/>
      <c r="H24" s="292">
        <f>SUM(I24:J24)</f>
        <v>1787980</v>
      </c>
      <c r="I24" s="177">
        <v>1787980</v>
      </c>
      <c r="J24" s="129"/>
      <c r="K24" s="395"/>
      <c r="L24" s="293">
        <f t="shared" si="1"/>
        <v>1761458</v>
      </c>
      <c r="M24" s="177">
        <v>1761458</v>
      </c>
      <c r="N24" s="129"/>
      <c r="O24" s="157"/>
    </row>
    <row r="25" spans="1:15" ht="15.95" customHeight="1" x14ac:dyDescent="0.25">
      <c r="A25" s="3" t="s">
        <v>25</v>
      </c>
      <c r="B25" s="455" t="s">
        <v>217</v>
      </c>
      <c r="C25" s="455"/>
      <c r="D25" s="6">
        <f>SUM(E25:G25)</f>
        <v>1334000</v>
      </c>
      <c r="E25" s="162"/>
      <c r="F25" s="129">
        <v>1334000</v>
      </c>
      <c r="G25" s="401"/>
      <c r="H25" s="293">
        <f>+J25+I25</f>
        <v>1071374</v>
      </c>
      <c r="I25" s="177">
        <v>1071374</v>
      </c>
      <c r="J25" s="129"/>
      <c r="K25" s="395"/>
      <c r="L25" s="293">
        <f>SUM(M25:N25)</f>
        <v>1071374</v>
      </c>
      <c r="M25" s="177">
        <v>1071374</v>
      </c>
      <c r="N25" s="129"/>
      <c r="O25" s="157"/>
    </row>
    <row r="26" spans="1:15" ht="15.95" customHeight="1" x14ac:dyDescent="0.25">
      <c r="A26" s="3" t="s">
        <v>148</v>
      </c>
      <c r="B26" s="455" t="s">
        <v>180</v>
      </c>
      <c r="C26" s="455"/>
      <c r="D26" s="177">
        <f>+D23+D24+D25</f>
        <v>7437000</v>
      </c>
      <c r="E26" s="162"/>
      <c r="F26" s="129">
        <f>SUM(F23:F25)</f>
        <v>7437000</v>
      </c>
      <c r="G26" s="401"/>
      <c r="H26" s="293">
        <f>SUM(H23:H25)</f>
        <v>14284145</v>
      </c>
      <c r="I26" s="129">
        <f t="shared" ref="I26:J26" si="3">SUM(I23:I25)</f>
        <v>14284145</v>
      </c>
      <c r="J26" s="129">
        <f t="shared" si="3"/>
        <v>0</v>
      </c>
      <c r="K26" s="395"/>
      <c r="L26" s="293">
        <f>SUM(L23:L25)</f>
        <v>11441308</v>
      </c>
      <c r="M26" s="129">
        <f t="shared" ref="M26" si="4">SUM(M23:M25)</f>
        <v>11441308</v>
      </c>
      <c r="N26" s="129">
        <f t="shared" ref="N26" si="5">SUM(N23:N25)</f>
        <v>0</v>
      </c>
      <c r="O26" s="157"/>
    </row>
    <row r="27" spans="1:15" ht="15.95" customHeight="1" x14ac:dyDescent="0.25">
      <c r="A27" s="3" t="s">
        <v>149</v>
      </c>
      <c r="B27" s="455"/>
      <c r="C27" s="455"/>
      <c r="D27" s="177"/>
      <c r="E27" s="162"/>
      <c r="F27" s="129"/>
      <c r="G27" s="401"/>
      <c r="H27" s="293"/>
      <c r="I27" s="175"/>
      <c r="J27" s="129">
        <f>+G27+I27</f>
        <v>0</v>
      </c>
      <c r="K27" s="395"/>
      <c r="L27" s="293">
        <f t="shared" si="1"/>
        <v>0</v>
      </c>
      <c r="M27" s="175"/>
      <c r="N27" s="129">
        <f>+I27+M27</f>
        <v>0</v>
      </c>
      <c r="O27" s="157"/>
    </row>
    <row r="28" spans="1:15" ht="15.95" customHeight="1" x14ac:dyDescent="0.25">
      <c r="A28" s="3" t="s">
        <v>136</v>
      </c>
      <c r="B28" s="474"/>
      <c r="C28" s="474"/>
      <c r="D28" s="175"/>
      <c r="E28" s="163"/>
      <c r="F28" s="129">
        <f>+D28+E28</f>
        <v>0</v>
      </c>
      <c r="G28" s="401"/>
      <c r="H28" s="293"/>
      <c r="I28" s="301"/>
      <c r="J28" s="129">
        <f>+G28+I28</f>
        <v>0</v>
      </c>
      <c r="K28" s="395"/>
      <c r="L28" s="293">
        <f t="shared" si="1"/>
        <v>0</v>
      </c>
      <c r="M28" s="301"/>
      <c r="N28" s="129">
        <f>+I28+M28</f>
        <v>0</v>
      </c>
      <c r="O28" s="157"/>
    </row>
    <row r="29" spans="1:15" ht="15.95" customHeight="1" x14ac:dyDescent="0.3">
      <c r="A29" s="3" t="s">
        <v>137</v>
      </c>
      <c r="B29" s="474"/>
      <c r="C29" s="474"/>
      <c r="D29" s="175"/>
      <c r="E29" s="196"/>
      <c r="F29" s="129">
        <f>+D29+E29</f>
        <v>0</v>
      </c>
      <c r="G29" s="401"/>
      <c r="H29" s="302"/>
      <c r="I29" s="176"/>
      <c r="J29" s="176"/>
      <c r="K29" s="194"/>
      <c r="L29" s="413"/>
      <c r="M29" s="176"/>
      <c r="N29" s="176"/>
      <c r="O29" s="157"/>
    </row>
    <row r="30" spans="1:15" ht="15.95" customHeight="1" x14ac:dyDescent="0.3">
      <c r="A30" s="115" t="s">
        <v>128</v>
      </c>
      <c r="B30" s="473" t="s">
        <v>129</v>
      </c>
      <c r="C30" s="473"/>
      <c r="D30" s="194">
        <f t="shared" ref="D30:N30" si="6">+D22+D26+D27+D28+D29</f>
        <v>149502052</v>
      </c>
      <c r="E30" s="176">
        <f t="shared" si="6"/>
        <v>120869052</v>
      </c>
      <c r="F30" s="176">
        <f t="shared" si="6"/>
        <v>28633000</v>
      </c>
      <c r="G30" s="173">
        <f t="shared" si="6"/>
        <v>0</v>
      </c>
      <c r="H30" s="302">
        <f t="shared" si="6"/>
        <v>226180121</v>
      </c>
      <c r="I30" s="176">
        <f t="shared" si="6"/>
        <v>166030180</v>
      </c>
      <c r="J30" s="176">
        <f t="shared" si="6"/>
        <v>60149941</v>
      </c>
      <c r="K30" s="194"/>
      <c r="L30" s="302">
        <f t="shared" si="6"/>
        <v>138466666</v>
      </c>
      <c r="M30" s="176">
        <f t="shared" si="6"/>
        <v>136372883</v>
      </c>
      <c r="N30" s="176">
        <f t="shared" si="6"/>
        <v>2093783</v>
      </c>
      <c r="O30" s="199"/>
    </row>
    <row r="31" spans="1:15" ht="15.95" customHeight="1" x14ac:dyDescent="0.25">
      <c r="A31" s="11"/>
      <c r="B31" s="469"/>
      <c r="C31" s="469"/>
      <c r="D31" s="195"/>
      <c r="E31" s="12"/>
      <c r="F31" s="165"/>
      <c r="G31" s="195"/>
      <c r="H31" s="303"/>
      <c r="I31" s="12"/>
      <c r="J31" s="12"/>
      <c r="K31" s="195"/>
      <c r="L31" s="303"/>
      <c r="M31" s="12"/>
      <c r="N31" s="12"/>
      <c r="O31" s="414"/>
    </row>
    <row r="32" spans="1:15" ht="15.95" customHeight="1" x14ac:dyDescent="0.25">
      <c r="A32" s="3"/>
      <c r="B32" s="472" t="s">
        <v>156</v>
      </c>
      <c r="C32" s="472"/>
      <c r="D32" s="177"/>
      <c r="E32" s="197"/>
      <c r="F32" s="129"/>
      <c r="G32" s="401"/>
      <c r="H32" s="294"/>
      <c r="I32" s="177"/>
      <c r="J32" s="129"/>
      <c r="K32" s="395"/>
      <c r="L32" s="293"/>
      <c r="M32" s="177"/>
      <c r="N32" s="129"/>
      <c r="O32" s="157"/>
    </row>
    <row r="33" spans="1:15" ht="15.95" customHeight="1" x14ac:dyDescent="0.25">
      <c r="A33" s="3" t="s">
        <v>8</v>
      </c>
      <c r="B33" s="470" t="s">
        <v>178</v>
      </c>
      <c r="C33" s="470"/>
      <c r="D33" s="178">
        <f t="shared" ref="D33:D41" si="7">SUM(E33:G33)</f>
        <v>10236680</v>
      </c>
      <c r="E33" s="179">
        <f>10236680</f>
        <v>10236680</v>
      </c>
      <c r="F33" s="209"/>
      <c r="G33" s="403">
        <v>0</v>
      </c>
      <c r="H33" s="380">
        <f>SUM(I33:J33)</f>
        <v>15882423</v>
      </c>
      <c r="I33" s="177">
        <v>15882423</v>
      </c>
      <c r="J33" s="177">
        <f t="shared" ref="J33" si="8">SUM(J34:J36)</f>
        <v>0</v>
      </c>
      <c r="K33" s="396"/>
      <c r="L33" s="294">
        <f>SUM(M33:N33)</f>
        <v>13603441</v>
      </c>
      <c r="M33" s="177">
        <v>13603441</v>
      </c>
      <c r="N33" s="177">
        <f>SUM(N34:N36)</f>
        <v>0</v>
      </c>
      <c r="O33" s="157"/>
    </row>
    <row r="34" spans="1:15" ht="15.95" customHeight="1" x14ac:dyDescent="0.25">
      <c r="A34" s="3" t="s">
        <v>17</v>
      </c>
      <c r="B34" s="470" t="s">
        <v>152</v>
      </c>
      <c r="C34" s="470"/>
      <c r="D34" s="178">
        <f t="shared" si="7"/>
        <v>36669000</v>
      </c>
      <c r="E34" s="179">
        <f>SUM(E35:E37)</f>
        <v>36669000</v>
      </c>
      <c r="F34" s="208">
        <f>SUM(F35:F37)</f>
        <v>0</v>
      </c>
      <c r="G34" s="403"/>
      <c r="H34" s="408">
        <f>SUM(I34:J34)</f>
        <v>57117098</v>
      </c>
      <c r="I34" s="181">
        <f>SUM(I35:I37)</f>
        <v>57117098</v>
      </c>
      <c r="J34" s="129"/>
      <c r="K34" s="395"/>
      <c r="L34" s="408">
        <f t="shared" ref="L34" si="9">SUM(M34:O34)</f>
        <v>41691573</v>
      </c>
      <c r="M34" s="181">
        <f>SUM(M35:M37)</f>
        <v>41691573</v>
      </c>
      <c r="N34" s="129"/>
      <c r="O34" s="157"/>
    </row>
    <row r="35" spans="1:15" ht="15.95" customHeight="1" x14ac:dyDescent="0.25">
      <c r="A35" s="3"/>
      <c r="B35" s="133" t="s">
        <v>49</v>
      </c>
      <c r="C35" s="102" t="s">
        <v>132</v>
      </c>
      <c r="D35" s="178">
        <v>31600000</v>
      </c>
      <c r="E35" s="179">
        <v>31600000</v>
      </c>
      <c r="F35" s="209"/>
      <c r="G35" s="403"/>
      <c r="H35" s="294">
        <f>SUM(I35:J35)</f>
        <v>39292773</v>
      </c>
      <c r="I35" s="177">
        <v>39292773</v>
      </c>
      <c r="J35" s="129"/>
      <c r="K35" s="395"/>
      <c r="L35" s="294">
        <v>34508834</v>
      </c>
      <c r="M35" s="177">
        <v>34508834</v>
      </c>
      <c r="N35" s="129"/>
      <c r="O35" s="157"/>
    </row>
    <row r="36" spans="1:15" ht="15.95" customHeight="1" x14ac:dyDescent="0.25">
      <c r="A36" s="3"/>
      <c r="B36" s="133" t="s">
        <v>50</v>
      </c>
      <c r="C36" s="102" t="s">
        <v>133</v>
      </c>
      <c r="D36" s="178">
        <v>4500000</v>
      </c>
      <c r="E36" s="210">
        <v>4500000</v>
      </c>
      <c r="F36" s="209"/>
      <c r="G36" s="403"/>
      <c r="H36" s="294">
        <v>10575908</v>
      </c>
      <c r="I36" s="177">
        <v>10575908</v>
      </c>
      <c r="J36" s="129"/>
      <c r="K36" s="395"/>
      <c r="L36" s="294">
        <v>4800890</v>
      </c>
      <c r="M36" s="177">
        <v>4800890</v>
      </c>
      <c r="N36" s="129"/>
      <c r="O36" s="157"/>
    </row>
    <row r="37" spans="1:15" ht="15.95" customHeight="1" x14ac:dyDescent="0.25">
      <c r="A37" s="3"/>
      <c r="B37" s="133" t="s">
        <v>51</v>
      </c>
      <c r="C37" s="102" t="s">
        <v>134</v>
      </c>
      <c r="D37" s="178">
        <v>569000</v>
      </c>
      <c r="E37" s="179">
        <v>569000</v>
      </c>
      <c r="F37" s="209"/>
      <c r="G37" s="403"/>
      <c r="H37" s="294">
        <f>SUM(I37:J37)</f>
        <v>7248417</v>
      </c>
      <c r="I37" s="177">
        <v>7248417</v>
      </c>
      <c r="J37" s="129">
        <f>SUM(J38:J40)</f>
        <v>0</v>
      </c>
      <c r="K37" s="395"/>
      <c r="L37" s="294">
        <f>SUM(M37:N37)</f>
        <v>2381849</v>
      </c>
      <c r="M37" s="177">
        <v>2381849</v>
      </c>
      <c r="N37" s="129"/>
      <c r="O37" s="157"/>
    </row>
    <row r="38" spans="1:15" ht="15.95" customHeight="1" x14ac:dyDescent="0.25">
      <c r="A38" s="3" t="s">
        <v>18</v>
      </c>
      <c r="B38" s="470" t="s">
        <v>101</v>
      </c>
      <c r="C38" s="470"/>
      <c r="D38" s="181">
        <f t="shared" si="7"/>
        <v>130054591</v>
      </c>
      <c r="E38" s="179">
        <f>SUM(E39:E41)</f>
        <v>130054591</v>
      </c>
      <c r="F38" s="209">
        <f>SUM(F39:F41)</f>
        <v>0</v>
      </c>
      <c r="G38" s="403"/>
      <c r="H38" s="294">
        <f>SUM(H39:H41)</f>
        <v>149250172</v>
      </c>
      <c r="I38" s="177">
        <f>SUM(I39:I41)</f>
        <v>149250172</v>
      </c>
      <c r="J38" s="129"/>
      <c r="K38" s="395"/>
      <c r="L38" s="294">
        <f>SUM(L39:L41)</f>
        <v>149250172</v>
      </c>
      <c r="M38" s="177">
        <f>SUM(M39:M41)</f>
        <v>149250172</v>
      </c>
      <c r="N38" s="129"/>
      <c r="O38" s="157"/>
    </row>
    <row r="39" spans="1:15" ht="15.95" customHeight="1" x14ac:dyDescent="0.25">
      <c r="A39" s="3"/>
      <c r="B39" s="134" t="s">
        <v>52</v>
      </c>
      <c r="C39" s="132" t="s">
        <v>181</v>
      </c>
      <c r="D39" s="181">
        <f t="shared" si="7"/>
        <v>130054591</v>
      </c>
      <c r="E39" s="179">
        <v>130054591</v>
      </c>
      <c r="F39" s="209"/>
      <c r="G39" s="403"/>
      <c r="H39" s="409">
        <f>SUM(I39:J39)</f>
        <v>149250172</v>
      </c>
      <c r="I39" s="177">
        <v>149250172</v>
      </c>
      <c r="J39" s="129">
        <f>SUM(G39:G39)</f>
        <v>0</v>
      </c>
      <c r="K39" s="395"/>
      <c r="L39" s="293">
        <f t="shared" ref="L39:L79" si="10">+M39+N39</f>
        <v>149250172</v>
      </c>
      <c r="M39" s="177">
        <v>149250172</v>
      </c>
      <c r="N39" s="129"/>
      <c r="O39" s="157"/>
    </row>
    <row r="40" spans="1:15" ht="15.95" customHeight="1" x14ac:dyDescent="0.25">
      <c r="A40" s="3"/>
      <c r="B40" s="134" t="s">
        <v>53</v>
      </c>
      <c r="C40" s="132" t="s">
        <v>55</v>
      </c>
      <c r="D40" s="181">
        <f t="shared" si="7"/>
        <v>0</v>
      </c>
      <c r="E40" s="179"/>
      <c r="F40" s="209"/>
      <c r="G40" s="403"/>
      <c r="H40" s="294"/>
      <c r="I40" s="177"/>
      <c r="J40" s="129"/>
      <c r="K40" s="395"/>
      <c r="L40" s="293">
        <f t="shared" si="10"/>
        <v>0</v>
      </c>
      <c r="M40" s="177"/>
      <c r="N40" s="129"/>
      <c r="O40" s="157"/>
    </row>
    <row r="41" spans="1:15" ht="15.95" customHeight="1" x14ac:dyDescent="0.25">
      <c r="A41" s="3"/>
      <c r="B41" s="134" t="s">
        <v>54</v>
      </c>
      <c r="C41" s="132" t="s">
        <v>182</v>
      </c>
      <c r="D41" s="181">
        <f t="shared" si="7"/>
        <v>0</v>
      </c>
      <c r="E41" s="179"/>
      <c r="F41" s="209"/>
      <c r="G41" s="403"/>
      <c r="H41" s="294"/>
      <c r="I41" s="177"/>
      <c r="J41" s="177">
        <f>SUM(J42:J45)</f>
        <v>0</v>
      </c>
      <c r="K41" s="396"/>
      <c r="L41" s="293"/>
      <c r="M41" s="177"/>
      <c r="N41" s="177"/>
      <c r="O41" s="157"/>
    </row>
    <row r="42" spans="1:15" ht="15.95" customHeight="1" x14ac:dyDescent="0.25">
      <c r="A42" s="3" t="s">
        <v>19</v>
      </c>
      <c r="B42" s="470" t="s">
        <v>102</v>
      </c>
      <c r="C42" s="470"/>
      <c r="D42" s="181">
        <f>SUM(D43:D46)</f>
        <v>16826126</v>
      </c>
      <c r="E42" s="179">
        <f>SUM(E43:E46)</f>
        <v>16826126</v>
      </c>
      <c r="F42" s="179">
        <f>SUM(F43:F46)</f>
        <v>0</v>
      </c>
      <c r="G42" s="403"/>
      <c r="H42" s="409">
        <f>SUM(H43:H46)</f>
        <v>28840987</v>
      </c>
      <c r="I42" s="181">
        <f>SUM(I43:I46)</f>
        <v>28840987</v>
      </c>
      <c r="J42" s="129"/>
      <c r="K42" s="395"/>
      <c r="L42" s="409">
        <f>SUM(L43:L46)</f>
        <v>27237963</v>
      </c>
      <c r="M42" s="181">
        <f>SUM(M43:M46)</f>
        <v>27237963</v>
      </c>
      <c r="N42" s="129"/>
      <c r="O42" s="157"/>
    </row>
    <row r="43" spans="1:15" ht="15.95" customHeight="1" x14ac:dyDescent="0.25">
      <c r="A43" s="3"/>
      <c r="B43" s="134" t="s">
        <v>56</v>
      </c>
      <c r="C43" s="132" t="s">
        <v>60</v>
      </c>
      <c r="D43" s="181">
        <f>SUM(E43:G43)</f>
        <v>15605608</v>
      </c>
      <c r="E43" s="179">
        <v>15605608</v>
      </c>
      <c r="F43" s="209"/>
      <c r="G43" s="403"/>
      <c r="H43" s="294">
        <f>SUM(I43:J43)</f>
        <v>26935632</v>
      </c>
      <c r="I43" s="177">
        <v>26935632</v>
      </c>
      <c r="J43" s="129"/>
      <c r="K43" s="395"/>
      <c r="L43" s="293">
        <f t="shared" si="10"/>
        <v>26269034</v>
      </c>
      <c r="M43" s="177">
        <v>26269034</v>
      </c>
      <c r="N43" s="129"/>
      <c r="O43" s="157"/>
    </row>
    <row r="44" spans="1:15" ht="15.95" customHeight="1" x14ac:dyDescent="0.25">
      <c r="A44" s="3"/>
      <c r="B44" s="134" t="s">
        <v>57</v>
      </c>
      <c r="C44" s="132" t="s">
        <v>447</v>
      </c>
      <c r="D44" s="181"/>
      <c r="E44" s="208"/>
      <c r="F44" s="209"/>
      <c r="G44" s="403"/>
      <c r="H44" s="294">
        <v>684837</v>
      </c>
      <c r="I44" s="177">
        <v>684837</v>
      </c>
      <c r="J44" s="129"/>
      <c r="K44" s="395"/>
      <c r="L44" s="293">
        <f t="shared" si="10"/>
        <v>90000</v>
      </c>
      <c r="M44" s="177">
        <v>90000</v>
      </c>
      <c r="N44" s="129"/>
      <c r="O44" s="157"/>
    </row>
    <row r="45" spans="1:15" ht="15.95" customHeight="1" x14ac:dyDescent="0.25">
      <c r="A45" s="3"/>
      <c r="B45" s="134" t="s">
        <v>58</v>
      </c>
      <c r="C45" s="132" t="s">
        <v>206</v>
      </c>
      <c r="D45" s="181">
        <f>G45+F45+E45</f>
        <v>1220518</v>
      </c>
      <c r="E45" s="210">
        <v>1220518</v>
      </c>
      <c r="F45" s="209"/>
      <c r="G45" s="403"/>
      <c r="H45" s="380">
        <v>1220518</v>
      </c>
      <c r="I45" s="177">
        <v>1220518</v>
      </c>
      <c r="J45" s="129"/>
      <c r="K45" s="395"/>
      <c r="L45" s="380">
        <f t="shared" si="10"/>
        <v>878929</v>
      </c>
      <c r="M45" s="177">
        <v>878929</v>
      </c>
      <c r="N45" s="129"/>
      <c r="O45" s="157"/>
    </row>
    <row r="46" spans="1:15" ht="15.95" customHeight="1" x14ac:dyDescent="0.25">
      <c r="A46" s="3"/>
      <c r="B46" s="134" t="s">
        <v>59</v>
      </c>
      <c r="C46" s="132" t="s">
        <v>62</v>
      </c>
      <c r="D46" s="181"/>
      <c r="E46" s="179"/>
      <c r="F46" s="180">
        <f>SUM(D46:D46)</f>
        <v>0</v>
      </c>
      <c r="G46" s="403"/>
      <c r="H46" s="294"/>
      <c r="I46" s="177"/>
      <c r="J46" s="177">
        <f t="shared" ref="J46" si="11">+J32+J33+J37+J41</f>
        <v>0</v>
      </c>
      <c r="K46" s="396"/>
      <c r="L46" s="293"/>
      <c r="M46" s="177"/>
      <c r="N46" s="177"/>
      <c r="O46" s="157"/>
    </row>
    <row r="47" spans="1:15" s="136" customFormat="1" ht="15.95" customHeight="1" x14ac:dyDescent="0.25">
      <c r="A47" s="135" t="s">
        <v>147</v>
      </c>
      <c r="B47" s="460" t="s">
        <v>63</v>
      </c>
      <c r="C47" s="460"/>
      <c r="D47" s="181">
        <f t="shared" ref="D47:I47" si="12">+D33+D34+D38+D42</f>
        <v>193786397</v>
      </c>
      <c r="E47" s="181">
        <f t="shared" si="12"/>
        <v>193786397</v>
      </c>
      <c r="F47" s="181">
        <f t="shared" si="12"/>
        <v>0</v>
      </c>
      <c r="G47" s="185">
        <f t="shared" si="12"/>
        <v>0</v>
      </c>
      <c r="H47" s="409">
        <f t="shared" si="12"/>
        <v>251090680</v>
      </c>
      <c r="I47" s="181">
        <f t="shared" si="12"/>
        <v>251090680</v>
      </c>
      <c r="J47" s="177"/>
      <c r="K47" s="396"/>
      <c r="L47" s="409">
        <f>+L33+L34+L38+L42</f>
        <v>231783149</v>
      </c>
      <c r="M47" s="181">
        <f>+M33+M34+M38+M42</f>
        <v>231783149</v>
      </c>
      <c r="N47" s="177"/>
      <c r="O47" s="415"/>
    </row>
    <row r="48" spans="1:15" ht="15.95" customHeight="1" x14ac:dyDescent="0.25">
      <c r="A48" s="3" t="s">
        <v>21</v>
      </c>
      <c r="B48" s="470" t="s">
        <v>146</v>
      </c>
      <c r="C48" s="470"/>
      <c r="D48" s="179">
        <f>SUM(D49:D50)</f>
        <v>19414291</v>
      </c>
      <c r="E48" s="179">
        <f>SUM(E49:E50)</f>
        <v>0</v>
      </c>
      <c r="F48" s="179">
        <f>SUM(F49:F50)</f>
        <v>19414291</v>
      </c>
      <c r="G48" s="403"/>
      <c r="H48" s="409">
        <f>SUM(H49:H50)</f>
        <v>35042138</v>
      </c>
      <c r="I48" s="181">
        <f>SUM(I49:I50)</f>
        <v>35042138</v>
      </c>
      <c r="J48" s="129"/>
      <c r="K48" s="395"/>
      <c r="L48" s="293">
        <f t="shared" si="10"/>
        <v>33657525</v>
      </c>
      <c r="M48" s="177">
        <f>SUM(M49:M50)</f>
        <v>33657525</v>
      </c>
      <c r="N48" s="129"/>
      <c r="O48" s="157"/>
    </row>
    <row r="49" spans="1:15" ht="15.95" customHeight="1" x14ac:dyDescent="0.25">
      <c r="A49" s="3"/>
      <c r="B49" s="134" t="s">
        <v>64</v>
      </c>
      <c r="C49" s="132" t="s">
        <v>66</v>
      </c>
      <c r="D49" s="181">
        <v>10679000</v>
      </c>
      <c r="E49" s="179"/>
      <c r="F49" s="180">
        <v>10679000</v>
      </c>
      <c r="G49" s="403"/>
      <c r="H49" s="294">
        <v>20484686</v>
      </c>
      <c r="I49" s="177">
        <v>20484686</v>
      </c>
      <c r="J49" s="129"/>
      <c r="K49" s="395"/>
      <c r="L49" s="293">
        <f t="shared" si="10"/>
        <v>19100074</v>
      </c>
      <c r="M49" s="177">
        <v>19100074</v>
      </c>
      <c r="N49" s="129"/>
      <c r="O49" s="157"/>
    </row>
    <row r="50" spans="1:15" ht="15.95" customHeight="1" x14ac:dyDescent="0.25">
      <c r="A50" s="3"/>
      <c r="B50" s="134" t="s">
        <v>65</v>
      </c>
      <c r="C50" s="132" t="s">
        <v>1</v>
      </c>
      <c r="D50" s="181">
        <f>+E50+F50+G50</f>
        <v>8735291</v>
      </c>
      <c r="E50" s="179"/>
      <c r="F50" s="180">
        <v>8735291</v>
      </c>
      <c r="G50" s="403"/>
      <c r="H50" s="380">
        <v>14557452</v>
      </c>
      <c r="I50" s="177">
        <v>14557452</v>
      </c>
      <c r="J50" s="129"/>
      <c r="K50" s="395"/>
      <c r="L50" s="380">
        <f t="shared" si="10"/>
        <v>14557451</v>
      </c>
      <c r="M50" s="177">
        <v>14557451</v>
      </c>
      <c r="N50" s="129"/>
      <c r="O50" s="157"/>
    </row>
    <row r="51" spans="1:15" ht="15.95" customHeight="1" x14ac:dyDescent="0.25">
      <c r="A51" s="3" t="s">
        <v>22</v>
      </c>
      <c r="B51" s="470" t="s">
        <v>103</v>
      </c>
      <c r="C51" s="470"/>
      <c r="D51" s="181">
        <f>SUM(D52:D53)</f>
        <v>0</v>
      </c>
      <c r="E51" s="179">
        <f>SUM(E52:E53)</f>
        <v>0</v>
      </c>
      <c r="F51" s="180">
        <f t="shared" ref="F51:F57" si="13">SUM(D51:D51)</f>
        <v>0</v>
      </c>
      <c r="G51" s="403"/>
      <c r="H51" s="294"/>
      <c r="I51" s="177"/>
      <c r="J51" s="129">
        <f>SUM(G51:G51)</f>
        <v>0</v>
      </c>
      <c r="K51" s="395"/>
      <c r="L51" s="293">
        <f t="shared" si="10"/>
        <v>0</v>
      </c>
      <c r="M51" s="177"/>
      <c r="N51" s="129">
        <f>SUM(I51:I51)</f>
        <v>0</v>
      </c>
      <c r="O51" s="157"/>
    </row>
    <row r="52" spans="1:15" ht="15.95" customHeight="1" x14ac:dyDescent="0.25">
      <c r="A52" s="3"/>
      <c r="B52" s="134" t="s">
        <v>67</v>
      </c>
      <c r="C52" s="132" t="s">
        <v>69</v>
      </c>
      <c r="D52" s="181"/>
      <c r="E52" s="179"/>
      <c r="F52" s="180">
        <f t="shared" si="13"/>
        <v>0</v>
      </c>
      <c r="G52" s="403"/>
      <c r="H52" s="294">
        <v>0</v>
      </c>
      <c r="I52" s="177"/>
      <c r="J52" s="129">
        <f>SUM(G52:G52)</f>
        <v>0</v>
      </c>
      <c r="K52" s="395"/>
      <c r="L52" s="293">
        <f t="shared" si="10"/>
        <v>0</v>
      </c>
      <c r="M52" s="177"/>
      <c r="N52" s="129">
        <f>SUM(I52:I52)</f>
        <v>0</v>
      </c>
      <c r="O52" s="157"/>
    </row>
    <row r="53" spans="1:15" ht="15.95" customHeight="1" x14ac:dyDescent="0.25">
      <c r="A53" s="3"/>
      <c r="B53" s="134" t="s">
        <v>68</v>
      </c>
      <c r="C53" s="132" t="s">
        <v>70</v>
      </c>
      <c r="D53" s="181">
        <v>0</v>
      </c>
      <c r="E53" s="179"/>
      <c r="F53" s="180">
        <f t="shared" si="13"/>
        <v>0</v>
      </c>
      <c r="G53" s="403"/>
      <c r="H53" s="294"/>
      <c r="I53" s="177"/>
      <c r="J53" s="129">
        <f t="shared" ref="J53" si="14">SUM(J54:J56)</f>
        <v>0</v>
      </c>
      <c r="K53" s="395"/>
      <c r="L53" s="293">
        <f t="shared" si="10"/>
        <v>0</v>
      </c>
      <c r="M53" s="177"/>
      <c r="N53" s="129">
        <f>SUM(N54:N56)</f>
        <v>0</v>
      </c>
      <c r="O53" s="157"/>
    </row>
    <row r="54" spans="1:15" ht="15.95" customHeight="1" x14ac:dyDescent="0.25">
      <c r="A54" s="3" t="s">
        <v>23</v>
      </c>
      <c r="B54" s="470" t="s">
        <v>104</v>
      </c>
      <c r="C54" s="470"/>
      <c r="D54" s="181">
        <f>SUM(D55:D57)</f>
        <v>0</v>
      </c>
      <c r="E54" s="179">
        <f>SUM(E55:E57)</f>
        <v>0</v>
      </c>
      <c r="F54" s="180">
        <f>SUM(F55:F57)</f>
        <v>0</v>
      </c>
      <c r="G54" s="403"/>
      <c r="H54" s="294">
        <f>SUM(H55:H57)</f>
        <v>2895752</v>
      </c>
      <c r="I54" s="177">
        <f>SUM(I55:I57)</f>
        <v>2895752</v>
      </c>
      <c r="J54" s="129"/>
      <c r="K54" s="395"/>
      <c r="L54" s="293">
        <f t="shared" si="10"/>
        <v>2700002</v>
      </c>
      <c r="M54" s="177">
        <v>2700002</v>
      </c>
      <c r="N54" s="129"/>
      <c r="O54" s="157"/>
    </row>
    <row r="55" spans="1:15" ht="15.95" customHeight="1" x14ac:dyDescent="0.25">
      <c r="A55" s="3"/>
      <c r="B55" s="134" t="s">
        <v>71</v>
      </c>
      <c r="C55" s="132" t="s">
        <v>74</v>
      </c>
      <c r="D55" s="181">
        <f>+E55+F55+G55</f>
        <v>0</v>
      </c>
      <c r="E55" s="179"/>
      <c r="F55" s="180"/>
      <c r="G55" s="403"/>
      <c r="H55" s="294">
        <v>2700002</v>
      </c>
      <c r="I55" s="177">
        <v>2700002</v>
      </c>
      <c r="J55" s="129">
        <f>SUM(G55:G55)</f>
        <v>0</v>
      </c>
      <c r="K55" s="395"/>
      <c r="L55" s="293">
        <f t="shared" si="10"/>
        <v>2700002</v>
      </c>
      <c r="M55" s="177">
        <v>2700002</v>
      </c>
      <c r="N55" s="129"/>
      <c r="O55" s="157"/>
    </row>
    <row r="56" spans="1:15" ht="15.95" customHeight="1" x14ac:dyDescent="0.25">
      <c r="A56" s="3"/>
      <c r="B56" s="134" t="s">
        <v>72</v>
      </c>
      <c r="C56" s="132" t="s">
        <v>448</v>
      </c>
      <c r="D56" s="181"/>
      <c r="E56" s="179"/>
      <c r="F56" s="180">
        <f t="shared" si="13"/>
        <v>0</v>
      </c>
      <c r="G56" s="403"/>
      <c r="H56" s="294">
        <v>195750</v>
      </c>
      <c r="I56" s="177">
        <v>195750</v>
      </c>
      <c r="J56" s="129">
        <f>SUM(G56:G56)</f>
        <v>0</v>
      </c>
      <c r="K56" s="395"/>
      <c r="L56" s="293">
        <f t="shared" si="10"/>
        <v>0</v>
      </c>
      <c r="M56" s="177"/>
      <c r="N56" s="129"/>
      <c r="O56" s="157"/>
    </row>
    <row r="57" spans="1:15" ht="15.95" customHeight="1" x14ac:dyDescent="0.25">
      <c r="A57" s="3"/>
      <c r="B57" s="134" t="s">
        <v>73</v>
      </c>
      <c r="C57" s="132" t="s">
        <v>75</v>
      </c>
      <c r="D57" s="181"/>
      <c r="E57" s="179"/>
      <c r="F57" s="180">
        <f t="shared" si="13"/>
        <v>0</v>
      </c>
      <c r="G57" s="403"/>
      <c r="H57" s="300"/>
      <c r="I57" s="175"/>
      <c r="J57" s="175">
        <f t="shared" ref="J57" si="15">+J47+J50+J53</f>
        <v>0</v>
      </c>
      <c r="K57" s="204"/>
      <c r="L57" s="293"/>
      <c r="M57" s="175"/>
      <c r="N57" s="175"/>
      <c r="O57" s="157"/>
    </row>
    <row r="58" spans="1:15" s="136" customFormat="1" ht="15.95" customHeight="1" x14ac:dyDescent="0.25">
      <c r="A58" s="135" t="s">
        <v>148</v>
      </c>
      <c r="B58" s="460" t="s">
        <v>167</v>
      </c>
      <c r="C58" s="460"/>
      <c r="D58" s="181">
        <f t="shared" ref="D58:J58" si="16">+D48+D51+D54</f>
        <v>19414291</v>
      </c>
      <c r="E58" s="185">
        <f t="shared" si="16"/>
        <v>0</v>
      </c>
      <c r="F58" s="181">
        <f t="shared" si="16"/>
        <v>19414291</v>
      </c>
      <c r="G58" s="182">
        <f t="shared" si="16"/>
        <v>0</v>
      </c>
      <c r="H58" s="409">
        <f t="shared" si="16"/>
        <v>37937890</v>
      </c>
      <c r="I58" s="181">
        <f t="shared" si="16"/>
        <v>37937890</v>
      </c>
      <c r="J58" s="181">
        <f t="shared" si="16"/>
        <v>0</v>
      </c>
      <c r="K58" s="411"/>
      <c r="L58" s="409">
        <f>+L48+L51+L54</f>
        <v>36357527</v>
      </c>
      <c r="M58" s="181">
        <f>+M48+M51+M54</f>
        <v>36357527</v>
      </c>
      <c r="N58" s="181">
        <f>+N48+N51+N54</f>
        <v>0</v>
      </c>
      <c r="O58" s="415"/>
    </row>
    <row r="59" spans="1:15" s="136" customFormat="1" ht="15.95" customHeight="1" x14ac:dyDescent="0.25">
      <c r="A59" s="135" t="s">
        <v>149</v>
      </c>
      <c r="B59" s="460" t="s">
        <v>105</v>
      </c>
      <c r="C59" s="460"/>
      <c r="D59" s="187"/>
      <c r="E59" s="182"/>
      <c r="F59" s="183"/>
      <c r="G59" s="404"/>
      <c r="H59" s="300"/>
      <c r="I59" s="175"/>
      <c r="J59" s="200"/>
      <c r="K59" s="397"/>
      <c r="L59" s="293">
        <f t="shared" si="10"/>
        <v>0</v>
      </c>
      <c r="M59" s="175"/>
      <c r="N59" s="200"/>
      <c r="O59" s="415"/>
    </row>
    <row r="60" spans="1:15" s="136" customFormat="1" ht="15.95" customHeight="1" x14ac:dyDescent="0.3">
      <c r="A60" s="135" t="s">
        <v>136</v>
      </c>
      <c r="B60" s="460" t="s">
        <v>3</v>
      </c>
      <c r="C60" s="460"/>
      <c r="D60" s="187"/>
      <c r="E60" s="182"/>
      <c r="F60" s="183"/>
      <c r="G60" s="404"/>
      <c r="H60" s="302"/>
      <c r="I60" s="176"/>
      <c r="J60" s="176">
        <f t="shared" ref="J60" si="17">+J46+J57+J58+J59</f>
        <v>0</v>
      </c>
      <c r="K60" s="194"/>
      <c r="L60" s="413"/>
      <c r="M60" s="176"/>
      <c r="N60" s="176">
        <f>+N46+N57+N58+N59</f>
        <v>0</v>
      </c>
      <c r="O60" s="415"/>
    </row>
    <row r="61" spans="1:15" s="116" customFormat="1" ht="15.95" customHeight="1" x14ac:dyDescent="0.3">
      <c r="A61" s="115" t="s">
        <v>106</v>
      </c>
      <c r="B61" s="468" t="s">
        <v>107</v>
      </c>
      <c r="C61" s="468"/>
      <c r="D61" s="184">
        <f t="shared" ref="D61:J61" si="18">+D47+D58+D59+D60</f>
        <v>213200688</v>
      </c>
      <c r="E61" s="186">
        <f t="shared" si="18"/>
        <v>193786397</v>
      </c>
      <c r="F61" s="184">
        <f t="shared" si="18"/>
        <v>19414291</v>
      </c>
      <c r="G61" s="186">
        <f t="shared" si="18"/>
        <v>0</v>
      </c>
      <c r="H61" s="410">
        <f t="shared" si="18"/>
        <v>289028570</v>
      </c>
      <c r="I61" s="184">
        <f t="shared" si="18"/>
        <v>289028570</v>
      </c>
      <c r="J61" s="184">
        <f t="shared" si="18"/>
        <v>0</v>
      </c>
      <c r="K61" s="412"/>
      <c r="L61" s="410">
        <f>+L47+L58+L59+L60</f>
        <v>268140676</v>
      </c>
      <c r="M61" s="184">
        <f>+M47+M58+M59+M60</f>
        <v>268140676</v>
      </c>
      <c r="N61" s="176">
        <f>+N29-N60</f>
        <v>0</v>
      </c>
      <c r="O61" s="416"/>
    </row>
    <row r="62" spans="1:15" s="116" customFormat="1" ht="15.95" customHeight="1" x14ac:dyDescent="0.3">
      <c r="A62" s="115"/>
      <c r="B62" s="468" t="s">
        <v>108</v>
      </c>
      <c r="C62" s="468"/>
      <c r="D62" s="176">
        <f>+D30-D61</f>
        <v>-63698636</v>
      </c>
      <c r="E62" s="173">
        <f>+E30-E61</f>
        <v>-72917345</v>
      </c>
      <c r="F62" s="176">
        <f>+F30-F61</f>
        <v>9218709</v>
      </c>
      <c r="G62" s="173">
        <f>+G30-G61</f>
        <v>0</v>
      </c>
      <c r="H62" s="302">
        <f>+J62+I62</f>
        <v>36550871</v>
      </c>
      <c r="I62" s="176">
        <v>36550871</v>
      </c>
      <c r="J62" s="176"/>
      <c r="K62" s="194"/>
      <c r="L62" s="413">
        <f t="shared" si="10"/>
        <v>36318308</v>
      </c>
      <c r="M62" s="176">
        <v>36318308</v>
      </c>
      <c r="N62" s="176"/>
      <c r="O62" s="416"/>
    </row>
    <row r="63" spans="1:15" s="116" customFormat="1" ht="15.95" customHeight="1" x14ac:dyDescent="0.3">
      <c r="A63" s="115"/>
      <c r="B63" s="460" t="s">
        <v>208</v>
      </c>
      <c r="C63" s="460"/>
      <c r="D63" s="176"/>
      <c r="E63" s="176"/>
      <c r="F63" s="176"/>
      <c r="G63" s="173"/>
      <c r="H63" s="294">
        <f>SUM(I63:J63)</f>
        <v>0</v>
      </c>
      <c r="I63" s="177"/>
      <c r="J63" s="129"/>
      <c r="K63" s="395"/>
      <c r="L63" s="294">
        <f>SUM(M63:N63)</f>
        <v>0</v>
      </c>
      <c r="M63" s="177"/>
      <c r="N63" s="129"/>
      <c r="O63" s="416"/>
    </row>
    <row r="64" spans="1:15" ht="15.95" customHeight="1" x14ac:dyDescent="0.3">
      <c r="A64" s="135" t="s">
        <v>137</v>
      </c>
      <c r="B64" s="460" t="s">
        <v>109</v>
      </c>
      <c r="C64" s="460"/>
      <c r="D64" s="177">
        <f>+E64+F64</f>
        <v>38461312</v>
      </c>
      <c r="E64" s="177">
        <v>38461312</v>
      </c>
      <c r="F64" s="177">
        <f>SUM(F65:F66)</f>
        <v>0</v>
      </c>
      <c r="G64" s="169"/>
      <c r="H64" s="294">
        <f>+I64+J64</f>
        <v>38461312</v>
      </c>
      <c r="I64" s="177">
        <v>38461312</v>
      </c>
      <c r="J64" s="155"/>
      <c r="K64" s="398"/>
      <c r="L64" s="294">
        <f>+M64+N64</f>
        <v>38461312</v>
      </c>
      <c r="M64" s="177">
        <v>38461312</v>
      </c>
      <c r="N64" s="155"/>
      <c r="O64" s="157"/>
    </row>
    <row r="65" spans="1:15" s="116" customFormat="1" ht="15.95" customHeight="1" x14ac:dyDescent="0.3">
      <c r="A65" s="115"/>
      <c r="B65" s="154" t="s">
        <v>8</v>
      </c>
      <c r="C65" s="132" t="s">
        <v>76</v>
      </c>
      <c r="D65" s="177">
        <f>+E65+F65</f>
        <v>38461312</v>
      </c>
      <c r="E65" s="172">
        <v>38461312</v>
      </c>
      <c r="F65" s="155"/>
      <c r="G65" s="405"/>
      <c r="H65" s="294">
        <f>+I65+J65</f>
        <v>38461312</v>
      </c>
      <c r="I65" s="177">
        <v>38461312</v>
      </c>
      <c r="J65" s="129"/>
      <c r="K65" s="395"/>
      <c r="L65" s="294">
        <f>+M65+N65</f>
        <v>38461312</v>
      </c>
      <c r="M65" s="177">
        <v>38461312</v>
      </c>
      <c r="N65" s="129"/>
      <c r="O65" s="416"/>
    </row>
    <row r="66" spans="1:15" s="116" customFormat="1" ht="15.95" customHeight="1" x14ac:dyDescent="0.3">
      <c r="A66" s="115"/>
      <c r="B66" s="154" t="s">
        <v>17</v>
      </c>
      <c r="C66" s="132" t="s">
        <v>77</v>
      </c>
      <c r="D66" s="188"/>
      <c r="E66" s="173"/>
      <c r="F66" s="129"/>
      <c r="G66" s="405"/>
      <c r="H66" s="302">
        <f t="shared" ref="H66:J66" si="19">+H63</f>
        <v>0</v>
      </c>
      <c r="I66" s="176">
        <f t="shared" si="19"/>
        <v>0</v>
      </c>
      <c r="J66" s="176">
        <f t="shared" si="19"/>
        <v>0</v>
      </c>
      <c r="K66" s="194"/>
      <c r="L66" s="413">
        <f t="shared" si="10"/>
        <v>0</v>
      </c>
      <c r="M66" s="176">
        <f>+M63</f>
        <v>0</v>
      </c>
      <c r="N66" s="176">
        <f>+N63</f>
        <v>0</v>
      </c>
      <c r="O66" s="416"/>
    </row>
    <row r="67" spans="1:15" s="116" customFormat="1" ht="39.75" customHeight="1" x14ac:dyDescent="0.3">
      <c r="A67" s="115" t="s">
        <v>110</v>
      </c>
      <c r="B67" s="473" t="s">
        <v>114</v>
      </c>
      <c r="C67" s="473"/>
      <c r="D67" s="176">
        <f>+E67+F67</f>
        <v>38461312</v>
      </c>
      <c r="E67" s="173">
        <f>+E65</f>
        <v>38461312</v>
      </c>
      <c r="F67" s="176">
        <f>+F64</f>
        <v>0</v>
      </c>
      <c r="G67" s="405"/>
      <c r="H67" s="302">
        <f>+I67+J67</f>
        <v>38461312</v>
      </c>
      <c r="I67" s="176">
        <f>+I65</f>
        <v>38461312</v>
      </c>
      <c r="J67" s="176"/>
      <c r="K67" s="194"/>
      <c r="L67" s="302">
        <f>+M67+N67</f>
        <v>38461312</v>
      </c>
      <c r="M67" s="176">
        <f>+M65</f>
        <v>38461312</v>
      </c>
      <c r="N67" s="176">
        <f>+N64</f>
        <v>0</v>
      </c>
      <c r="O67" s="416"/>
    </row>
    <row r="68" spans="1:15" s="116" customFormat="1" ht="15.95" customHeight="1" x14ac:dyDescent="0.3">
      <c r="A68" s="3" t="s">
        <v>138</v>
      </c>
      <c r="B68" s="470" t="s">
        <v>449</v>
      </c>
      <c r="C68" s="470"/>
      <c r="D68" s="176"/>
      <c r="E68" s="164"/>
      <c r="F68" s="130">
        <f t="shared" ref="F68:F79" si="20">SUM(D68:E68)</f>
        <v>0</v>
      </c>
      <c r="G68" s="406"/>
      <c r="H68" s="305">
        <v>4903619</v>
      </c>
      <c r="I68" s="188">
        <v>4903619</v>
      </c>
      <c r="J68" s="130"/>
      <c r="K68" s="399"/>
      <c r="L68" s="305">
        <v>4903619</v>
      </c>
      <c r="M68" s="188">
        <v>4903619</v>
      </c>
      <c r="N68" s="130"/>
      <c r="O68" s="416"/>
    </row>
    <row r="69" spans="1:15" s="116" customFormat="1" ht="15.95" customHeight="1" x14ac:dyDescent="0.3">
      <c r="A69" s="3" t="s">
        <v>139</v>
      </c>
      <c r="B69" s="470" t="s">
        <v>112</v>
      </c>
      <c r="C69" s="470"/>
      <c r="D69" s="176">
        <f>SUM(D70:D73)</f>
        <v>0</v>
      </c>
      <c r="E69" s="164"/>
      <c r="F69" s="130">
        <f t="shared" si="20"/>
        <v>0</v>
      </c>
      <c r="G69" s="406"/>
      <c r="H69" s="305"/>
      <c r="I69" s="188"/>
      <c r="J69" s="155">
        <f>SUM(G69:I69)</f>
        <v>0</v>
      </c>
      <c r="K69" s="398"/>
      <c r="L69" s="293">
        <f t="shared" si="10"/>
        <v>0</v>
      </c>
      <c r="M69" s="188"/>
      <c r="N69" s="155"/>
      <c r="O69" s="416"/>
    </row>
    <row r="70" spans="1:15" s="116" customFormat="1" ht="15.95" customHeight="1" x14ac:dyDescent="0.3">
      <c r="A70" s="3"/>
      <c r="B70" s="134" t="s">
        <v>8</v>
      </c>
      <c r="C70" s="132" t="s">
        <v>78</v>
      </c>
      <c r="D70" s="188"/>
      <c r="E70" s="166"/>
      <c r="F70" s="155">
        <f t="shared" si="20"/>
        <v>0</v>
      </c>
      <c r="G70" s="406"/>
      <c r="H70" s="302"/>
      <c r="I70" s="176"/>
      <c r="J70" s="130">
        <f>SUM(G70:I70)</f>
        <v>0</v>
      </c>
      <c r="K70" s="399"/>
      <c r="L70" s="293">
        <f t="shared" si="10"/>
        <v>0</v>
      </c>
      <c r="M70" s="176"/>
      <c r="N70" s="130"/>
      <c r="O70" s="416"/>
    </row>
    <row r="71" spans="1:15" s="116" customFormat="1" ht="15.95" customHeight="1" x14ac:dyDescent="0.3">
      <c r="A71" s="3"/>
      <c r="B71" s="134" t="s">
        <v>17</v>
      </c>
      <c r="C71" s="132" t="s">
        <v>79</v>
      </c>
      <c r="D71" s="176"/>
      <c r="E71" s="164"/>
      <c r="F71" s="130">
        <f t="shared" si="20"/>
        <v>0</v>
      </c>
      <c r="G71" s="406"/>
      <c r="H71" s="305"/>
      <c r="I71" s="176"/>
      <c r="J71" s="130"/>
      <c r="K71" s="399"/>
      <c r="L71" s="293">
        <f t="shared" si="10"/>
        <v>0</v>
      </c>
      <c r="M71" s="176"/>
      <c r="N71" s="130"/>
      <c r="O71" s="416"/>
    </row>
    <row r="72" spans="1:15" s="116" customFormat="1" ht="15.95" customHeight="1" x14ac:dyDescent="0.3">
      <c r="A72" s="3"/>
      <c r="B72" s="134" t="s">
        <v>18</v>
      </c>
      <c r="C72" s="132" t="s">
        <v>176</v>
      </c>
      <c r="D72" s="188"/>
      <c r="E72" s="164"/>
      <c r="F72" s="130"/>
      <c r="G72" s="406"/>
      <c r="H72" s="305"/>
      <c r="I72" s="176"/>
      <c r="J72" s="130"/>
      <c r="K72" s="399"/>
      <c r="L72" s="293">
        <f t="shared" si="10"/>
        <v>0</v>
      </c>
      <c r="M72" s="176"/>
      <c r="N72" s="130"/>
      <c r="O72" s="416"/>
    </row>
    <row r="73" spans="1:15" s="116" customFormat="1" ht="15.95" customHeight="1" x14ac:dyDescent="0.3">
      <c r="A73" s="3"/>
      <c r="B73" s="134" t="s">
        <v>19</v>
      </c>
      <c r="C73" s="132" t="s">
        <v>177</v>
      </c>
      <c r="D73" s="188"/>
      <c r="E73" s="164"/>
      <c r="F73" s="130"/>
      <c r="G73" s="406"/>
      <c r="H73" s="302"/>
      <c r="I73" s="176"/>
      <c r="J73" s="130"/>
      <c r="K73" s="399"/>
      <c r="L73" s="293">
        <f t="shared" si="10"/>
        <v>0</v>
      </c>
      <c r="M73" s="176"/>
      <c r="N73" s="130"/>
      <c r="O73" s="416"/>
    </row>
    <row r="74" spans="1:15" s="116" customFormat="1" ht="33" customHeight="1" x14ac:dyDescent="0.3">
      <c r="A74" s="115" t="s">
        <v>113</v>
      </c>
      <c r="B74" s="471" t="s">
        <v>115</v>
      </c>
      <c r="C74" s="471"/>
      <c r="D74" s="176">
        <f>+D68+D69</f>
        <v>0</v>
      </c>
      <c r="E74" s="164"/>
      <c r="F74" s="130">
        <f t="shared" si="20"/>
        <v>0</v>
      </c>
      <c r="G74" s="406"/>
      <c r="H74" s="302"/>
      <c r="I74" s="176"/>
      <c r="J74" s="176">
        <f t="shared" ref="J74" si="21">+J66+J73+J62</f>
        <v>0</v>
      </c>
      <c r="K74" s="194"/>
      <c r="L74" s="413"/>
      <c r="M74" s="176"/>
      <c r="N74" s="176">
        <f>+N66+N73+N62</f>
        <v>0</v>
      </c>
      <c r="O74" s="416"/>
    </row>
    <row r="75" spans="1:15" s="116" customFormat="1" ht="15.95" customHeight="1" x14ac:dyDescent="0.3">
      <c r="A75" s="115" t="s">
        <v>116</v>
      </c>
      <c r="B75" s="468" t="s">
        <v>117</v>
      </c>
      <c r="C75" s="468"/>
      <c r="D75" s="176">
        <f>+D67+D74</f>
        <v>38461312</v>
      </c>
      <c r="E75" s="164">
        <f>+E67+E74</f>
        <v>38461312</v>
      </c>
      <c r="F75" s="164">
        <f>+F67+F74</f>
        <v>0</v>
      </c>
      <c r="G75" s="406"/>
      <c r="H75" s="302">
        <f>+H67+H74+H68</f>
        <v>43364931</v>
      </c>
      <c r="I75" s="176">
        <f>+I67+I74+I68</f>
        <v>43364931</v>
      </c>
      <c r="J75" s="130"/>
      <c r="K75" s="399"/>
      <c r="L75" s="302">
        <f>+L67+L74+L68</f>
        <v>43364931</v>
      </c>
      <c r="M75" s="176">
        <f>+M67+M74+M68</f>
        <v>43364931</v>
      </c>
      <c r="N75" s="130"/>
      <c r="O75" s="416"/>
    </row>
    <row r="76" spans="1:15" s="116" customFormat="1" ht="15.95" customHeight="1" x14ac:dyDescent="0.3">
      <c r="A76" s="3" t="s">
        <v>140</v>
      </c>
      <c r="B76" s="470" t="s">
        <v>196</v>
      </c>
      <c r="C76" s="470"/>
      <c r="D76" s="176">
        <v>97601000</v>
      </c>
      <c r="E76" s="164">
        <v>97601000</v>
      </c>
      <c r="F76" s="130"/>
      <c r="G76" s="406"/>
      <c r="H76" s="305">
        <v>101654432</v>
      </c>
      <c r="I76" s="188">
        <v>101654432</v>
      </c>
      <c r="J76" s="155"/>
      <c r="K76" s="398"/>
      <c r="L76" s="293">
        <v>101421869</v>
      </c>
      <c r="M76" s="188">
        <v>101421869</v>
      </c>
      <c r="N76" s="155"/>
      <c r="O76" s="416"/>
    </row>
    <row r="77" spans="1:15" s="116" customFormat="1" ht="15.95" customHeight="1" x14ac:dyDescent="0.3">
      <c r="A77" s="3" t="s">
        <v>141</v>
      </c>
      <c r="B77" s="470" t="s">
        <v>118</v>
      </c>
      <c r="C77" s="470"/>
      <c r="D77" s="188">
        <f>E77+F77</f>
        <v>0</v>
      </c>
      <c r="E77" s="166">
        <f>E78+E79</f>
        <v>0</v>
      </c>
      <c r="F77" s="166">
        <f>F78+F79</f>
        <v>0</v>
      </c>
      <c r="G77" s="406"/>
      <c r="H77" s="305"/>
      <c r="I77" s="188"/>
      <c r="J77" s="155">
        <f t="shared" ref="J77:J79" si="22">SUM(G77:I77)</f>
        <v>0</v>
      </c>
      <c r="K77" s="398"/>
      <c r="L77" s="293">
        <f t="shared" si="10"/>
        <v>0</v>
      </c>
      <c r="M77" s="188"/>
      <c r="N77" s="155"/>
      <c r="O77" s="416"/>
    </row>
    <row r="78" spans="1:15" s="116" customFormat="1" ht="15.95" customHeight="1" x14ac:dyDescent="0.3">
      <c r="A78" s="3"/>
      <c r="B78" s="134" t="s">
        <v>8</v>
      </c>
      <c r="C78" s="132" t="s">
        <v>173</v>
      </c>
      <c r="D78" s="188"/>
      <c r="E78" s="166"/>
      <c r="F78" s="155">
        <f t="shared" si="20"/>
        <v>0</v>
      </c>
      <c r="G78" s="406"/>
      <c r="H78" s="305"/>
      <c r="I78" s="188"/>
      <c r="J78" s="155">
        <f t="shared" si="22"/>
        <v>0</v>
      </c>
      <c r="K78" s="398"/>
      <c r="L78" s="293">
        <f t="shared" si="10"/>
        <v>0</v>
      </c>
      <c r="M78" s="188"/>
      <c r="N78" s="155"/>
      <c r="O78" s="416"/>
    </row>
    <row r="79" spans="1:15" s="116" customFormat="1" ht="15.95" customHeight="1" x14ac:dyDescent="0.3">
      <c r="A79" s="3"/>
      <c r="B79" s="134" t="s">
        <v>17</v>
      </c>
      <c r="C79" s="132" t="s">
        <v>172</v>
      </c>
      <c r="D79" s="188"/>
      <c r="E79" s="166"/>
      <c r="F79" s="155">
        <f t="shared" si="20"/>
        <v>0</v>
      </c>
      <c r="G79" s="406"/>
      <c r="H79" s="305"/>
      <c r="I79" s="188"/>
      <c r="J79" s="155">
        <f t="shared" si="22"/>
        <v>0</v>
      </c>
      <c r="K79" s="398"/>
      <c r="L79" s="293">
        <f t="shared" si="10"/>
        <v>0</v>
      </c>
      <c r="M79" s="188"/>
      <c r="N79" s="155"/>
      <c r="O79" s="416"/>
    </row>
    <row r="80" spans="1:15" s="116" customFormat="1" ht="15.95" customHeight="1" x14ac:dyDescent="0.3">
      <c r="A80" s="3" t="s">
        <v>227</v>
      </c>
      <c r="B80" s="446" t="s">
        <v>226</v>
      </c>
      <c r="C80" s="447"/>
      <c r="D80" s="188">
        <v>4558948</v>
      </c>
      <c r="E80" s="166">
        <v>4558948</v>
      </c>
      <c r="F80" s="155">
        <v>0</v>
      </c>
      <c r="G80" s="406"/>
      <c r="H80" s="305">
        <v>4558948</v>
      </c>
      <c r="I80" s="188">
        <v>4558948</v>
      </c>
      <c r="J80" s="130"/>
      <c r="K80" s="399"/>
      <c r="L80" s="305">
        <v>4558948</v>
      </c>
      <c r="M80" s="188">
        <v>4558948</v>
      </c>
      <c r="N80" s="130"/>
      <c r="O80" s="416"/>
    </row>
    <row r="81" spans="1:15" s="116" customFormat="1" ht="15.95" customHeight="1" x14ac:dyDescent="0.3">
      <c r="A81" s="115" t="s">
        <v>119</v>
      </c>
      <c r="B81" s="468" t="s">
        <v>120</v>
      </c>
      <c r="C81" s="468"/>
      <c r="D81" s="176">
        <f>+D76+D77+D80</f>
        <v>102159948</v>
      </c>
      <c r="E81" s="164">
        <f>+E76+E77+E80</f>
        <v>102159948</v>
      </c>
      <c r="F81" s="164">
        <f>+F76+F77+F80</f>
        <v>0</v>
      </c>
      <c r="G81" s="406"/>
      <c r="H81" s="302">
        <f>+H76+H77+H80</f>
        <v>106213380</v>
      </c>
      <c r="I81" s="176">
        <f>+I76+I77+I80</f>
        <v>106213380</v>
      </c>
      <c r="J81" s="176">
        <f>+J76+J77+J80</f>
        <v>0</v>
      </c>
      <c r="K81" s="194"/>
      <c r="L81" s="302">
        <f>+L76+L77+L80</f>
        <v>105980817</v>
      </c>
      <c r="M81" s="176">
        <f>+M76+M77+M80</f>
        <v>105980817</v>
      </c>
      <c r="N81" s="176">
        <f>+N76+N77+N80</f>
        <v>0</v>
      </c>
      <c r="O81" s="416"/>
    </row>
    <row r="82" spans="1:15" s="116" customFormat="1" ht="15.95" customHeight="1" x14ac:dyDescent="0.3">
      <c r="A82" s="115" t="s">
        <v>158</v>
      </c>
      <c r="B82" s="468" t="s">
        <v>160</v>
      </c>
      <c r="C82" s="468"/>
      <c r="D82" s="190">
        <f t="shared" ref="D82:J82" si="23">+D30+D81</f>
        <v>251662000</v>
      </c>
      <c r="E82" s="189">
        <f t="shared" si="23"/>
        <v>223029000</v>
      </c>
      <c r="F82" s="122">
        <f t="shared" si="23"/>
        <v>28633000</v>
      </c>
      <c r="G82" s="400">
        <f t="shared" si="23"/>
        <v>0</v>
      </c>
      <c r="H82" s="306">
        <f t="shared" si="23"/>
        <v>332393501</v>
      </c>
      <c r="I82" s="190">
        <f t="shared" si="23"/>
        <v>272243560</v>
      </c>
      <c r="J82" s="190">
        <f t="shared" si="23"/>
        <v>60149941</v>
      </c>
      <c r="K82" s="400"/>
      <c r="L82" s="306">
        <f>+L30+L81</f>
        <v>244447483</v>
      </c>
      <c r="M82" s="190">
        <f>+M30+M81</f>
        <v>242353700</v>
      </c>
      <c r="N82" s="190">
        <f>+N30+N81</f>
        <v>2093783</v>
      </c>
      <c r="O82" s="416"/>
    </row>
    <row r="83" spans="1:15" s="116" customFormat="1" ht="15.95" customHeight="1" thickBot="1" x14ac:dyDescent="0.35">
      <c r="A83" s="123" t="s">
        <v>159</v>
      </c>
      <c r="B83" s="124" t="s">
        <v>161</v>
      </c>
      <c r="C83" s="124"/>
      <c r="D83" s="125">
        <f t="shared" ref="D83:J83" si="24">+D61+D75</f>
        <v>251662000</v>
      </c>
      <c r="E83" s="125">
        <f t="shared" si="24"/>
        <v>232247709</v>
      </c>
      <c r="F83" s="125">
        <f t="shared" si="24"/>
        <v>19414291</v>
      </c>
      <c r="G83" s="407">
        <f t="shared" si="24"/>
        <v>0</v>
      </c>
      <c r="H83" s="308">
        <f t="shared" si="24"/>
        <v>332393501</v>
      </c>
      <c r="I83" s="23">
        <f t="shared" si="24"/>
        <v>332393501</v>
      </c>
      <c r="J83" s="23">
        <f t="shared" si="24"/>
        <v>0</v>
      </c>
      <c r="K83" s="407"/>
      <c r="L83" s="308">
        <f>+L61+L75</f>
        <v>311505607</v>
      </c>
      <c r="M83" s="23">
        <f>+M61+M75</f>
        <v>311505607</v>
      </c>
      <c r="N83" s="23">
        <f>+N61+N75</f>
        <v>0</v>
      </c>
      <c r="O83" s="417"/>
    </row>
    <row r="84" spans="1:15" ht="20.100000000000001" customHeight="1" x14ac:dyDescent="0.2">
      <c r="B84" s="8"/>
      <c r="C84" s="8"/>
      <c r="D84" s="9"/>
      <c r="E84" s="9"/>
      <c r="F84" s="9"/>
    </row>
    <row r="85" spans="1:15" ht="20.100000000000001" customHeight="1" x14ac:dyDescent="0.2">
      <c r="B85" s="8"/>
      <c r="C85" s="8"/>
      <c r="D85" s="128">
        <f>+D83-D82</f>
        <v>0</v>
      </c>
      <c r="E85" s="128">
        <f>+E83-E82</f>
        <v>9218709</v>
      </c>
      <c r="F85" s="128">
        <f>+F83-F82</f>
        <v>-9218709</v>
      </c>
      <c r="G85" s="128">
        <f>+G83-G82</f>
        <v>0</v>
      </c>
      <c r="H85" s="117">
        <f>SUM(E85:G85)</f>
        <v>0</v>
      </c>
    </row>
    <row r="86" spans="1:15" ht="20.100000000000001" customHeight="1" x14ac:dyDescent="0.2">
      <c r="B86" s="8"/>
      <c r="C86" s="8"/>
      <c r="D86" s="9"/>
      <c r="E86" s="9"/>
      <c r="F86" s="9"/>
    </row>
    <row r="87" spans="1:15" ht="20.100000000000001" customHeight="1" x14ac:dyDescent="0.2">
      <c r="B87" s="8"/>
      <c r="C87" s="8"/>
      <c r="D87" s="9"/>
      <c r="E87" s="9"/>
      <c r="F87" s="9"/>
    </row>
    <row r="88" spans="1:15" ht="20.100000000000001" customHeight="1" x14ac:dyDescent="0.2">
      <c r="B88" s="8"/>
      <c r="C88" s="8"/>
      <c r="D88" s="9"/>
      <c r="E88" s="9"/>
      <c r="F88" s="9"/>
    </row>
    <row r="89" spans="1:15" ht="20.100000000000001" customHeight="1" x14ac:dyDescent="0.2">
      <c r="B89" s="8"/>
      <c r="C89" s="8"/>
      <c r="D89" s="9"/>
      <c r="E89" s="9"/>
      <c r="F89" s="9"/>
    </row>
    <row r="90" spans="1:15" ht="20.100000000000001" customHeight="1" x14ac:dyDescent="0.2">
      <c r="B90" s="8"/>
      <c r="C90" s="8"/>
      <c r="D90" s="9"/>
      <c r="E90" s="9"/>
      <c r="F90" s="9"/>
    </row>
    <row r="91" spans="1:15" ht="20.100000000000001" customHeight="1" x14ac:dyDescent="0.2">
      <c r="B91" s="8"/>
      <c r="C91" s="8"/>
      <c r="D91" s="9"/>
      <c r="E91" s="9"/>
      <c r="F91" s="9"/>
    </row>
    <row r="92" spans="1:15" ht="20.100000000000001" customHeight="1" x14ac:dyDescent="0.2">
      <c r="B92" s="8"/>
      <c r="C92" s="8"/>
      <c r="D92" s="9"/>
      <c r="E92" s="9"/>
      <c r="F92" s="9"/>
    </row>
    <row r="93" spans="1:15" ht="20.100000000000001" customHeight="1" x14ac:dyDescent="0.2">
      <c r="B93" s="8"/>
      <c r="C93" s="8"/>
      <c r="D93" s="9"/>
      <c r="E93" s="9"/>
      <c r="F93" s="9"/>
    </row>
    <row r="94" spans="1:15" ht="20.100000000000001" customHeight="1" x14ac:dyDescent="0.2">
      <c r="B94" s="8"/>
      <c r="C94" s="8"/>
      <c r="D94" s="9"/>
      <c r="E94" s="9"/>
      <c r="F94" s="9"/>
    </row>
    <row r="95" spans="1:15" ht="20.100000000000001" customHeight="1" x14ac:dyDescent="0.2">
      <c r="B95" s="8"/>
      <c r="C95" s="8"/>
      <c r="D95" s="9"/>
      <c r="E95" s="9"/>
      <c r="F95" s="9"/>
    </row>
    <row r="96" spans="1:15" ht="20.100000000000001" customHeight="1" x14ac:dyDescent="0.2">
      <c r="B96" s="8"/>
      <c r="C96" s="8"/>
      <c r="D96" s="9"/>
      <c r="E96" s="9"/>
      <c r="F96" s="9"/>
    </row>
    <row r="97" spans="2:6" ht="20.100000000000001" customHeight="1" x14ac:dyDescent="0.2">
      <c r="B97" s="8"/>
      <c r="C97" s="8"/>
      <c r="D97" s="9"/>
      <c r="E97" s="9"/>
      <c r="F97" s="9"/>
    </row>
    <row r="98" spans="2:6" ht="20.100000000000001" customHeight="1" x14ac:dyDescent="0.2">
      <c r="B98" s="8"/>
      <c r="C98" s="8"/>
      <c r="D98" s="9"/>
      <c r="E98" s="9"/>
      <c r="F98" s="9"/>
    </row>
    <row r="99" spans="2:6" ht="20.100000000000001" customHeight="1" x14ac:dyDescent="0.2">
      <c r="B99" s="8"/>
      <c r="C99" s="8"/>
      <c r="D99" s="9"/>
      <c r="E99" s="9"/>
      <c r="F99" s="9"/>
    </row>
    <row r="100" spans="2:6" ht="20.100000000000001" customHeight="1" x14ac:dyDescent="0.2">
      <c r="B100" s="8"/>
      <c r="C100" s="8"/>
      <c r="D100" s="9"/>
      <c r="E100" s="9"/>
      <c r="F100" s="9"/>
    </row>
    <row r="101" spans="2:6" ht="20.100000000000001" customHeight="1" x14ac:dyDescent="0.2">
      <c r="B101" s="8"/>
      <c r="C101" s="8"/>
      <c r="D101" s="9"/>
      <c r="E101" s="9"/>
      <c r="F101" s="9"/>
    </row>
    <row r="102" spans="2:6" ht="20.100000000000001" customHeight="1" x14ac:dyDescent="0.2">
      <c r="B102" s="8"/>
      <c r="C102" s="8"/>
      <c r="D102" s="9"/>
      <c r="E102" s="9"/>
      <c r="F102" s="9"/>
    </row>
    <row r="103" spans="2:6" ht="20.100000000000001" customHeight="1" x14ac:dyDescent="0.2">
      <c r="B103" s="8"/>
      <c r="C103" s="8"/>
      <c r="D103" s="9"/>
      <c r="E103" s="9"/>
      <c r="F103" s="9"/>
    </row>
    <row r="104" spans="2:6" ht="20.100000000000001" customHeight="1" x14ac:dyDescent="0.2">
      <c r="B104" s="8"/>
      <c r="C104" s="8"/>
      <c r="D104" s="9"/>
      <c r="E104" s="9"/>
      <c r="F104" s="9"/>
    </row>
    <row r="105" spans="2:6" ht="20.100000000000001" customHeight="1" x14ac:dyDescent="0.2">
      <c r="B105" s="8"/>
      <c r="C105" s="8"/>
      <c r="D105" s="9"/>
      <c r="E105" s="9"/>
      <c r="F105" s="9"/>
    </row>
  </sheetData>
  <mergeCells count="70">
    <mergeCell ref="B25:C25"/>
    <mergeCell ref="B26:C26"/>
    <mergeCell ref="B29:C29"/>
    <mergeCell ref="B47:C47"/>
    <mergeCell ref="B54:C54"/>
    <mergeCell ref="B51:C51"/>
    <mergeCell ref="B38:C38"/>
    <mergeCell ref="B28:C28"/>
    <mergeCell ref="B34:C34"/>
    <mergeCell ref="B42:C42"/>
    <mergeCell ref="B68:C68"/>
    <mergeCell ref="B75:C75"/>
    <mergeCell ref="B76:C76"/>
    <mergeCell ref="B62:C62"/>
    <mergeCell ref="B30:C30"/>
    <mergeCell ref="B61:C61"/>
    <mergeCell ref="B60:C60"/>
    <mergeCell ref="B9:C9"/>
    <mergeCell ref="B10:C10"/>
    <mergeCell ref="B20:C20"/>
    <mergeCell ref="B82:C82"/>
    <mergeCell ref="B31:C31"/>
    <mergeCell ref="B33:C33"/>
    <mergeCell ref="B48:C48"/>
    <mergeCell ref="B69:C69"/>
    <mergeCell ref="B74:C74"/>
    <mergeCell ref="B32:C32"/>
    <mergeCell ref="B59:C59"/>
    <mergeCell ref="B58:C58"/>
    <mergeCell ref="B81:C81"/>
    <mergeCell ref="B64:C64"/>
    <mergeCell ref="B77:C77"/>
    <mergeCell ref="B67:C67"/>
    <mergeCell ref="B18:C18"/>
    <mergeCell ref="B17:C17"/>
    <mergeCell ref="B13:C13"/>
    <mergeCell ref="B11:C11"/>
    <mergeCell ref="B12:C12"/>
    <mergeCell ref="A1:F1"/>
    <mergeCell ref="A5:F5"/>
    <mergeCell ref="A4:F4"/>
    <mergeCell ref="A3:F3"/>
    <mergeCell ref="A2:F2"/>
    <mergeCell ref="B80:C80"/>
    <mergeCell ref="A6:A8"/>
    <mergeCell ref="B6:C8"/>
    <mergeCell ref="H6:H7"/>
    <mergeCell ref="F6:F7"/>
    <mergeCell ref="B23:C23"/>
    <mergeCell ref="D6:D7"/>
    <mergeCell ref="B14:C14"/>
    <mergeCell ref="B19:C19"/>
    <mergeCell ref="G6:G7"/>
    <mergeCell ref="B15:C15"/>
    <mergeCell ref="B16:C16"/>
    <mergeCell ref="B63:C63"/>
    <mergeCell ref="B24:C24"/>
    <mergeCell ref="B27:C27"/>
    <mergeCell ref="B21:C21"/>
    <mergeCell ref="O6:O7"/>
    <mergeCell ref="H8:K8"/>
    <mergeCell ref="D8:G8"/>
    <mergeCell ref="L8:O8"/>
    <mergeCell ref="J6:J7"/>
    <mergeCell ref="L6:L7"/>
    <mergeCell ref="M6:M7"/>
    <mergeCell ref="N6:N7"/>
    <mergeCell ref="I6:I7"/>
    <mergeCell ref="K6:K7"/>
    <mergeCell ref="E6:E7"/>
  </mergeCells>
  <phoneticPr fontId="3" type="noConversion"/>
  <printOptions horizontalCentered="1"/>
  <pageMargins left="0.19685039370078741" right="0.15748031496062992" top="0.23622047244094491" bottom="0.15748031496062992" header="0.15748031496062992" footer="0.15748031496062992"/>
  <pageSetup paperSize="9" scale="4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showGridLines="0" view="pageBreakPreview" zoomScaleNormal="100" zoomScaleSheetLayoutView="100" workbookViewId="0">
      <selection activeCell="A19" sqref="A19:S19"/>
    </sheetView>
  </sheetViews>
  <sheetFormatPr defaultRowHeight="12.75" x14ac:dyDescent="0.2"/>
  <cols>
    <col min="1" max="6" width="3.28515625" style="14" customWidth="1"/>
    <col min="7" max="7" width="5.140625" style="14" customWidth="1"/>
    <col min="8" max="11" width="3.28515625" style="14" customWidth="1"/>
    <col min="12" max="12" width="4.28515625" style="14" customWidth="1"/>
    <col min="13" max="14" width="3.28515625" style="14" customWidth="1"/>
    <col min="15" max="15" width="4.42578125" style="14" customWidth="1"/>
    <col min="16" max="19" width="3.28515625" style="14" customWidth="1"/>
    <col min="20" max="20" width="3.5703125" style="14" customWidth="1"/>
    <col min="21" max="21" width="12.140625" style="14" customWidth="1"/>
    <col min="22" max="23" width="13.5703125" style="386" customWidth="1"/>
    <col min="24" max="16384" width="9.140625" style="14"/>
  </cols>
  <sheetData>
    <row r="1" spans="1:23" s="21" customFormat="1" ht="22.5" customHeight="1" x14ac:dyDescent="0.25">
      <c r="A1" s="475" t="s">
        <v>368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</row>
    <row r="2" spans="1:23" s="21" customFormat="1" ht="15.75" x14ac:dyDescent="0.25">
      <c r="A2" s="475"/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</row>
    <row r="3" spans="1:23" s="21" customFormat="1" ht="15.75" x14ac:dyDescent="0.25">
      <c r="A3" s="22"/>
      <c r="B3" s="22"/>
      <c r="C3" s="22"/>
      <c r="D3" s="22"/>
      <c r="E3" s="22"/>
      <c r="F3" s="475" t="s">
        <v>190</v>
      </c>
      <c r="G3" s="487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22"/>
      <c r="V3" s="384"/>
      <c r="W3" s="384"/>
    </row>
    <row r="4" spans="1:23" ht="15.75" x14ac:dyDescent="0.2">
      <c r="A4" s="494" t="s">
        <v>162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4"/>
    </row>
    <row r="5" spans="1:23" ht="15.75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385"/>
      <c r="W5" s="385"/>
    </row>
    <row r="6" spans="1:23" ht="13.5" thickBot="1" x14ac:dyDescent="0.25">
      <c r="U6" s="17" t="s">
        <v>452</v>
      </c>
    </row>
    <row r="7" spans="1:23" ht="31.5" customHeight="1" x14ac:dyDescent="0.2">
      <c r="A7" s="484" t="s">
        <v>142</v>
      </c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485"/>
      <c r="R7" s="485"/>
      <c r="S7" s="486"/>
      <c r="T7" s="478" t="s">
        <v>347</v>
      </c>
      <c r="U7" s="476" t="s">
        <v>451</v>
      </c>
      <c r="V7" s="480" t="s">
        <v>450</v>
      </c>
      <c r="W7" s="482" t="s">
        <v>163</v>
      </c>
    </row>
    <row r="8" spans="1:23" x14ac:dyDescent="0.2">
      <c r="A8" s="38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9"/>
      <c r="T8" s="479"/>
      <c r="U8" s="477"/>
      <c r="V8" s="481"/>
      <c r="W8" s="483"/>
    </row>
    <row r="9" spans="1:23" ht="24.75" customHeight="1" x14ac:dyDescent="0.2">
      <c r="A9" s="488" t="s">
        <v>10</v>
      </c>
      <c r="B9" s="489"/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90"/>
      <c r="T9" s="335" t="s">
        <v>157</v>
      </c>
      <c r="U9" s="193"/>
      <c r="V9" s="336"/>
      <c r="W9" s="389"/>
    </row>
    <row r="10" spans="1:23" ht="22.5" customHeight="1" x14ac:dyDescent="0.2">
      <c r="A10" s="488" t="s">
        <v>204</v>
      </c>
      <c r="B10" s="489"/>
      <c r="C10" s="489"/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90"/>
      <c r="T10" s="335" t="s">
        <v>454</v>
      </c>
      <c r="U10" s="193"/>
      <c r="V10" s="336"/>
      <c r="W10" s="389"/>
    </row>
    <row r="11" spans="1:23" ht="19.5" customHeight="1" x14ac:dyDescent="0.2">
      <c r="A11" s="488" t="s">
        <v>221</v>
      </c>
      <c r="B11" s="489"/>
      <c r="C11" s="489"/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90"/>
      <c r="T11" s="335" t="s">
        <v>455</v>
      </c>
      <c r="U11" s="193"/>
      <c r="V11" s="336"/>
      <c r="W11" s="389"/>
    </row>
    <row r="12" spans="1:23" ht="19.5" customHeight="1" x14ac:dyDescent="0.2">
      <c r="A12" s="488" t="s">
        <v>222</v>
      </c>
      <c r="B12" s="489"/>
      <c r="C12" s="489"/>
      <c r="D12" s="489"/>
      <c r="E12" s="489"/>
      <c r="F12" s="489"/>
      <c r="G12" s="489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90"/>
      <c r="T12" s="335" t="s">
        <v>456</v>
      </c>
      <c r="U12" s="381">
        <v>4080000</v>
      </c>
      <c r="V12" s="336">
        <v>4080000</v>
      </c>
      <c r="W12" s="389">
        <v>3698630</v>
      </c>
    </row>
    <row r="13" spans="1:23" ht="19.5" customHeight="1" x14ac:dyDescent="0.2">
      <c r="A13" s="491" t="s">
        <v>223</v>
      </c>
      <c r="B13" s="492"/>
      <c r="C13" s="492"/>
      <c r="D13" s="492"/>
      <c r="E13" s="492"/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3"/>
      <c r="T13" s="335" t="s">
        <v>457</v>
      </c>
      <c r="U13" s="381">
        <v>3239000</v>
      </c>
      <c r="V13" s="336">
        <v>6448060</v>
      </c>
      <c r="W13" s="389">
        <v>5714450</v>
      </c>
    </row>
    <row r="14" spans="1:23" ht="19.5" customHeight="1" x14ac:dyDescent="0.2">
      <c r="A14" s="488" t="s">
        <v>225</v>
      </c>
      <c r="B14" s="489"/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90"/>
      <c r="T14" s="335" t="s">
        <v>458</v>
      </c>
      <c r="U14" s="381"/>
      <c r="V14" s="336"/>
      <c r="W14" s="389"/>
    </row>
    <row r="15" spans="1:23" ht="19.5" customHeight="1" x14ac:dyDescent="0.2">
      <c r="A15" s="488" t="s">
        <v>224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90"/>
      <c r="T15" s="335" t="s">
        <v>459</v>
      </c>
      <c r="U15" s="381"/>
      <c r="V15" s="336"/>
      <c r="W15" s="389"/>
    </row>
    <row r="16" spans="1:23" ht="19.5" customHeight="1" x14ac:dyDescent="0.2">
      <c r="A16" s="488" t="s">
        <v>453</v>
      </c>
      <c r="B16" s="489"/>
      <c r="C16" s="489"/>
      <c r="D16" s="489"/>
      <c r="E16" s="489"/>
      <c r="F16" s="489"/>
      <c r="G16" s="489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90"/>
      <c r="T16" s="335" t="s">
        <v>460</v>
      </c>
      <c r="U16" s="381">
        <f>2450000+986000</f>
        <v>3436000</v>
      </c>
      <c r="V16" s="336">
        <v>1596000</v>
      </c>
      <c r="W16" s="389">
        <v>1555400</v>
      </c>
    </row>
    <row r="17" spans="1:23" ht="19.5" customHeight="1" x14ac:dyDescent="0.2">
      <c r="A17" s="491"/>
      <c r="B17" s="492"/>
      <c r="C17" s="492"/>
      <c r="D17" s="492"/>
      <c r="E17" s="492"/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  <c r="S17" s="493"/>
      <c r="T17" s="335" t="s">
        <v>461</v>
      </c>
      <c r="U17" s="382"/>
      <c r="V17" s="336"/>
      <c r="W17" s="389"/>
    </row>
    <row r="18" spans="1:23" ht="27" customHeight="1" x14ac:dyDescent="0.2">
      <c r="A18" s="488" t="s">
        <v>174</v>
      </c>
      <c r="B18" s="489"/>
      <c r="C18" s="489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90"/>
      <c r="T18" s="335" t="s">
        <v>462</v>
      </c>
      <c r="U18" s="383"/>
      <c r="V18" s="387"/>
      <c r="W18" s="390"/>
    </row>
    <row r="19" spans="1:23" ht="20.25" customHeight="1" thickBot="1" x14ac:dyDescent="0.25">
      <c r="A19" s="495" t="s">
        <v>464</v>
      </c>
      <c r="B19" s="496"/>
      <c r="C19" s="496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96"/>
      <c r="P19" s="496"/>
      <c r="Q19" s="496"/>
      <c r="R19" s="496"/>
      <c r="S19" s="497"/>
      <c r="T19" s="391" t="s">
        <v>463</v>
      </c>
      <c r="U19" s="392">
        <f>SUM(U9:U18)</f>
        <v>10755000</v>
      </c>
      <c r="V19" s="392">
        <f t="shared" ref="V19:W19" si="0">SUM(V9:V18)</f>
        <v>12124060</v>
      </c>
      <c r="W19" s="393">
        <f t="shared" si="0"/>
        <v>10968480</v>
      </c>
    </row>
    <row r="20" spans="1:23" ht="21.95" customHeight="1" x14ac:dyDescent="0.2"/>
    <row r="21" spans="1:23" ht="21.95" customHeight="1" x14ac:dyDescent="0.2"/>
    <row r="22" spans="1:23" ht="21.95" customHeight="1" x14ac:dyDescent="0.2"/>
    <row r="23" spans="1:23" ht="21.95" customHeight="1" x14ac:dyDescent="0.2"/>
    <row r="24" spans="1:23" ht="21.95" customHeight="1" x14ac:dyDescent="0.2"/>
    <row r="25" spans="1:23" ht="21.95" customHeight="1" x14ac:dyDescent="0.2"/>
    <row r="26" spans="1:23" ht="21.95" customHeight="1" x14ac:dyDescent="0.2"/>
    <row r="27" spans="1:23" ht="21.95" customHeight="1" x14ac:dyDescent="0.2"/>
    <row r="28" spans="1:23" ht="21.95" customHeight="1" x14ac:dyDescent="0.2"/>
    <row r="29" spans="1:23" ht="21.95" customHeight="1" x14ac:dyDescent="0.2"/>
    <row r="30" spans="1:23" ht="21.95" customHeight="1" x14ac:dyDescent="0.2"/>
    <row r="31" spans="1:23" ht="21.95" customHeight="1" x14ac:dyDescent="0.2"/>
    <row r="32" spans="1:23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spans="1:4" ht="21.95" customHeight="1" x14ac:dyDescent="0.2"/>
    <row r="82" spans="1:4" ht="21.95" customHeight="1" x14ac:dyDescent="0.2"/>
    <row r="83" spans="1:4" ht="21.95" customHeight="1" x14ac:dyDescent="0.2"/>
    <row r="84" spans="1:4" ht="21.95" customHeight="1" x14ac:dyDescent="0.2"/>
    <row r="85" spans="1:4" ht="21.95" customHeight="1" x14ac:dyDescent="0.2"/>
    <row r="86" spans="1:4" ht="21.95" customHeight="1" x14ac:dyDescent="0.2">
      <c r="A86" s="20"/>
      <c r="B86" s="20"/>
      <c r="C86" s="20"/>
      <c r="D86" s="20"/>
    </row>
    <row r="87" spans="1:4" ht="21.95" customHeight="1" x14ac:dyDescent="0.2">
      <c r="A87" s="20"/>
      <c r="B87" s="20"/>
      <c r="C87" s="20"/>
      <c r="D87" s="20"/>
    </row>
    <row r="88" spans="1:4" ht="21.95" customHeight="1" x14ac:dyDescent="0.2">
      <c r="A88" s="20"/>
      <c r="B88" s="20"/>
      <c r="C88" s="20"/>
      <c r="D88" s="20"/>
    </row>
    <row r="89" spans="1:4" ht="21.95" customHeight="1" x14ac:dyDescent="0.2">
      <c r="A89" s="20"/>
      <c r="B89" s="20"/>
      <c r="C89" s="20"/>
      <c r="D89" s="20"/>
    </row>
    <row r="90" spans="1:4" ht="21.95" customHeight="1" x14ac:dyDescent="0.2">
      <c r="A90" s="20"/>
      <c r="B90" s="20"/>
      <c r="C90" s="20"/>
      <c r="D90" s="20"/>
    </row>
    <row r="91" spans="1:4" ht="21.95" customHeight="1" x14ac:dyDescent="0.2">
      <c r="A91" s="20"/>
      <c r="B91" s="20"/>
      <c r="C91" s="20"/>
      <c r="D91" s="20"/>
    </row>
    <row r="92" spans="1:4" ht="21.95" customHeight="1" x14ac:dyDescent="0.2">
      <c r="A92" s="20"/>
      <c r="B92" s="20"/>
      <c r="C92" s="20"/>
      <c r="D92" s="20"/>
    </row>
    <row r="93" spans="1:4" ht="21.95" customHeight="1" x14ac:dyDescent="0.2">
      <c r="A93" s="20"/>
      <c r="B93" s="20"/>
      <c r="C93" s="20"/>
      <c r="D93" s="20"/>
    </row>
    <row r="94" spans="1:4" ht="21.95" customHeight="1" x14ac:dyDescent="0.2">
      <c r="A94" s="20"/>
      <c r="B94" s="20"/>
      <c r="C94" s="20"/>
      <c r="D94" s="20"/>
    </row>
    <row r="95" spans="1:4" ht="21.95" customHeight="1" x14ac:dyDescent="0.2">
      <c r="A95" s="20"/>
      <c r="B95" s="20"/>
      <c r="C95" s="20"/>
      <c r="D95" s="20"/>
    </row>
    <row r="96" spans="1:4" ht="21.95" customHeight="1" x14ac:dyDescent="0.2">
      <c r="A96" s="20"/>
      <c r="B96" s="20"/>
      <c r="C96" s="20"/>
      <c r="D96" s="20"/>
    </row>
    <row r="97" spans="1:4" ht="21.95" customHeight="1" x14ac:dyDescent="0.2">
      <c r="A97" s="20"/>
      <c r="B97" s="20"/>
      <c r="C97" s="20"/>
      <c r="D97" s="20"/>
    </row>
    <row r="98" spans="1:4" ht="21.95" customHeight="1" x14ac:dyDescent="0.2">
      <c r="A98" s="20"/>
      <c r="B98" s="20"/>
      <c r="C98" s="20"/>
      <c r="D98" s="20"/>
    </row>
    <row r="99" spans="1:4" ht="21.95" customHeight="1" x14ac:dyDescent="0.2">
      <c r="A99" s="20"/>
      <c r="B99" s="20"/>
      <c r="C99" s="20"/>
      <c r="D99" s="20"/>
    </row>
    <row r="100" spans="1:4" ht="21.95" customHeight="1" x14ac:dyDescent="0.2">
      <c r="A100" s="20"/>
      <c r="B100" s="20"/>
      <c r="C100" s="20"/>
      <c r="D100" s="20"/>
    </row>
    <row r="101" spans="1:4" ht="21.95" customHeight="1" x14ac:dyDescent="0.2">
      <c r="A101" s="20"/>
      <c r="B101" s="20"/>
      <c r="C101" s="20"/>
      <c r="D101" s="20"/>
    </row>
    <row r="102" spans="1:4" ht="21.95" customHeight="1" x14ac:dyDescent="0.2">
      <c r="A102" s="20"/>
      <c r="B102" s="20"/>
      <c r="C102" s="20"/>
      <c r="D102" s="20"/>
    </row>
    <row r="103" spans="1:4" ht="21.95" customHeight="1" x14ac:dyDescent="0.2">
      <c r="A103" s="20"/>
      <c r="B103" s="20"/>
      <c r="C103" s="20"/>
      <c r="D103" s="20"/>
    </row>
    <row r="104" spans="1:4" ht="21.95" customHeight="1" x14ac:dyDescent="0.2">
      <c r="A104" s="20"/>
      <c r="B104" s="20"/>
      <c r="C104" s="20"/>
      <c r="D104" s="20"/>
    </row>
    <row r="105" spans="1:4" ht="21.95" customHeight="1" x14ac:dyDescent="0.2">
      <c r="A105" s="20"/>
      <c r="B105" s="20"/>
      <c r="C105" s="20"/>
      <c r="D105" s="20"/>
    </row>
    <row r="106" spans="1:4" ht="21.95" customHeight="1" x14ac:dyDescent="0.2">
      <c r="A106" s="20"/>
      <c r="B106" s="20"/>
      <c r="C106" s="20"/>
      <c r="D106" s="20"/>
    </row>
    <row r="107" spans="1:4" ht="21.95" customHeight="1" x14ac:dyDescent="0.2">
      <c r="A107" s="20"/>
      <c r="B107" s="20"/>
      <c r="C107" s="20"/>
      <c r="D107" s="20"/>
    </row>
    <row r="108" spans="1:4" ht="21.95" customHeight="1" x14ac:dyDescent="0.2">
      <c r="A108" s="20"/>
      <c r="B108" s="20"/>
      <c r="C108" s="20"/>
      <c r="D108" s="20"/>
    </row>
    <row r="109" spans="1:4" ht="21.95" customHeight="1" x14ac:dyDescent="0.2">
      <c r="A109" s="20"/>
      <c r="B109" s="20"/>
      <c r="C109" s="20"/>
      <c r="D109" s="20"/>
    </row>
    <row r="110" spans="1:4" ht="21.95" customHeight="1" x14ac:dyDescent="0.2">
      <c r="A110" s="20"/>
      <c r="B110" s="20"/>
      <c r="C110" s="20"/>
      <c r="D110" s="20"/>
    </row>
    <row r="111" spans="1:4" ht="21.95" customHeight="1" x14ac:dyDescent="0.2">
      <c r="A111" s="20"/>
      <c r="B111" s="20"/>
      <c r="C111" s="20"/>
      <c r="D111" s="20"/>
    </row>
    <row r="112" spans="1:4" ht="21.95" customHeight="1" x14ac:dyDescent="0.2">
      <c r="A112" s="20"/>
      <c r="B112" s="20"/>
      <c r="C112" s="20"/>
      <c r="D112" s="20"/>
    </row>
    <row r="113" spans="1:4" ht="21.95" customHeight="1" x14ac:dyDescent="0.2">
      <c r="A113" s="20"/>
      <c r="B113" s="20"/>
      <c r="C113" s="20"/>
      <c r="D113" s="20"/>
    </row>
    <row r="114" spans="1:4" ht="21.95" customHeight="1" x14ac:dyDescent="0.2">
      <c r="A114" s="20"/>
      <c r="B114" s="20"/>
      <c r="C114" s="20"/>
      <c r="D114" s="20"/>
    </row>
    <row r="115" spans="1:4" ht="21.95" customHeight="1" x14ac:dyDescent="0.2">
      <c r="A115" s="20"/>
      <c r="B115" s="20"/>
      <c r="C115" s="20"/>
      <c r="D115" s="20"/>
    </row>
    <row r="116" spans="1:4" ht="21.95" customHeight="1" x14ac:dyDescent="0.2">
      <c r="A116" s="20"/>
      <c r="B116" s="20"/>
      <c r="C116" s="20"/>
      <c r="D116" s="20"/>
    </row>
    <row r="117" spans="1:4" ht="21.95" customHeight="1" x14ac:dyDescent="0.2">
      <c r="A117" s="20"/>
      <c r="B117" s="20"/>
      <c r="C117" s="20"/>
      <c r="D117" s="20"/>
    </row>
    <row r="118" spans="1:4" ht="21.95" customHeight="1" x14ac:dyDescent="0.2">
      <c r="A118" s="20"/>
      <c r="B118" s="20"/>
      <c r="C118" s="20"/>
      <c r="D118" s="20"/>
    </row>
    <row r="119" spans="1:4" ht="21.95" customHeight="1" x14ac:dyDescent="0.2">
      <c r="A119" s="20"/>
      <c r="B119" s="20"/>
      <c r="C119" s="20"/>
      <c r="D119" s="20"/>
    </row>
    <row r="120" spans="1:4" ht="21.95" customHeight="1" x14ac:dyDescent="0.2">
      <c r="A120" s="20"/>
      <c r="B120" s="20"/>
      <c r="C120" s="20"/>
      <c r="D120" s="20"/>
    </row>
    <row r="121" spans="1:4" ht="21.95" customHeight="1" x14ac:dyDescent="0.2">
      <c r="A121" s="20"/>
      <c r="B121" s="20"/>
      <c r="C121" s="20"/>
      <c r="D121" s="20"/>
    </row>
    <row r="122" spans="1:4" ht="21.95" customHeight="1" x14ac:dyDescent="0.2">
      <c r="A122" s="20"/>
      <c r="B122" s="20"/>
      <c r="C122" s="20"/>
      <c r="D122" s="20"/>
    </row>
    <row r="123" spans="1:4" ht="21.95" customHeight="1" x14ac:dyDescent="0.2">
      <c r="A123" s="20"/>
      <c r="B123" s="20"/>
      <c r="C123" s="20"/>
      <c r="D123" s="20"/>
    </row>
    <row r="124" spans="1:4" ht="21.95" customHeight="1" x14ac:dyDescent="0.2">
      <c r="A124" s="20"/>
      <c r="B124" s="20"/>
      <c r="C124" s="20"/>
      <c r="D124" s="20"/>
    </row>
    <row r="125" spans="1:4" ht="21.95" customHeight="1" x14ac:dyDescent="0.2">
      <c r="A125" s="20"/>
      <c r="B125" s="20"/>
      <c r="C125" s="20"/>
      <c r="D125" s="20"/>
    </row>
    <row r="126" spans="1:4" ht="21.95" customHeight="1" x14ac:dyDescent="0.2">
      <c r="A126" s="20"/>
      <c r="B126" s="20"/>
      <c r="C126" s="20"/>
      <c r="D126" s="20"/>
    </row>
    <row r="127" spans="1:4" ht="21.95" customHeight="1" x14ac:dyDescent="0.2">
      <c r="A127" s="20"/>
      <c r="B127" s="20"/>
      <c r="C127" s="20"/>
      <c r="D127" s="20"/>
    </row>
    <row r="128" spans="1:4" ht="21.95" customHeight="1" x14ac:dyDescent="0.2">
      <c r="A128" s="20"/>
      <c r="B128" s="20"/>
      <c r="C128" s="20"/>
      <c r="D128" s="20"/>
    </row>
    <row r="129" spans="1:4" ht="21.95" customHeight="1" x14ac:dyDescent="0.2">
      <c r="A129" s="20"/>
      <c r="B129" s="20"/>
      <c r="C129" s="20"/>
      <c r="D129" s="20"/>
    </row>
    <row r="130" spans="1:4" ht="21.95" customHeight="1" x14ac:dyDescent="0.2">
      <c r="A130" s="20"/>
      <c r="B130" s="20"/>
      <c r="C130" s="20"/>
      <c r="D130" s="20"/>
    </row>
    <row r="131" spans="1:4" ht="21.95" customHeight="1" x14ac:dyDescent="0.2">
      <c r="A131" s="20"/>
      <c r="B131" s="20"/>
      <c r="C131" s="20"/>
      <c r="D131" s="20"/>
    </row>
    <row r="132" spans="1:4" ht="21.95" customHeight="1" x14ac:dyDescent="0.2">
      <c r="A132" s="20"/>
      <c r="B132" s="20"/>
      <c r="C132" s="20"/>
      <c r="D132" s="20"/>
    </row>
    <row r="133" spans="1:4" ht="21.95" customHeight="1" x14ac:dyDescent="0.2">
      <c r="A133" s="20"/>
      <c r="B133" s="20"/>
      <c r="C133" s="20"/>
      <c r="D133" s="20"/>
    </row>
    <row r="134" spans="1:4" ht="21.95" customHeight="1" x14ac:dyDescent="0.2">
      <c r="A134" s="20"/>
      <c r="B134" s="20"/>
      <c r="C134" s="20"/>
      <c r="D134" s="20"/>
    </row>
    <row r="135" spans="1:4" ht="21.95" customHeight="1" x14ac:dyDescent="0.2">
      <c r="A135" s="20"/>
      <c r="B135" s="20"/>
      <c r="C135" s="20"/>
      <c r="D135" s="20"/>
    </row>
    <row r="136" spans="1:4" ht="21.95" customHeight="1" x14ac:dyDescent="0.2">
      <c r="A136" s="20"/>
      <c r="B136" s="20"/>
      <c r="C136" s="20"/>
      <c r="D136" s="20"/>
    </row>
    <row r="137" spans="1:4" ht="21.95" customHeight="1" x14ac:dyDescent="0.2">
      <c r="A137" s="20"/>
      <c r="B137" s="20"/>
      <c r="C137" s="20"/>
      <c r="D137" s="20"/>
    </row>
    <row r="138" spans="1:4" ht="21.95" customHeight="1" x14ac:dyDescent="0.2">
      <c r="A138" s="20"/>
      <c r="B138" s="20"/>
      <c r="C138" s="20"/>
      <c r="D138" s="20"/>
    </row>
    <row r="139" spans="1:4" ht="21.95" customHeight="1" x14ac:dyDescent="0.2">
      <c r="A139" s="20"/>
      <c r="B139" s="20"/>
      <c r="C139" s="20"/>
      <c r="D139" s="20"/>
    </row>
    <row r="140" spans="1:4" ht="21.95" customHeight="1" x14ac:dyDescent="0.2">
      <c r="A140" s="20"/>
      <c r="B140" s="20"/>
      <c r="C140" s="20"/>
      <c r="D140" s="20"/>
    </row>
    <row r="141" spans="1:4" ht="21.95" customHeight="1" x14ac:dyDescent="0.2">
      <c r="A141" s="20"/>
      <c r="B141" s="20"/>
      <c r="C141" s="20"/>
      <c r="D141" s="20"/>
    </row>
    <row r="142" spans="1:4" ht="21.95" customHeight="1" x14ac:dyDescent="0.2">
      <c r="A142" s="20"/>
      <c r="B142" s="20"/>
      <c r="C142" s="20"/>
      <c r="D142" s="20"/>
    </row>
    <row r="143" spans="1:4" ht="21.95" customHeight="1" x14ac:dyDescent="0.2">
      <c r="A143" s="20"/>
      <c r="B143" s="20"/>
      <c r="C143" s="20"/>
      <c r="D143" s="20"/>
    </row>
    <row r="144" spans="1:4" ht="21.95" customHeight="1" x14ac:dyDescent="0.2">
      <c r="A144" s="20"/>
      <c r="B144" s="20"/>
      <c r="C144" s="20"/>
      <c r="D144" s="20"/>
    </row>
    <row r="145" spans="1:4" ht="21.95" customHeight="1" x14ac:dyDescent="0.2">
      <c r="A145" s="20"/>
      <c r="B145" s="20"/>
      <c r="C145" s="20"/>
      <c r="D145" s="20"/>
    </row>
    <row r="146" spans="1:4" ht="21.95" customHeight="1" x14ac:dyDescent="0.2">
      <c r="A146" s="20"/>
      <c r="B146" s="20"/>
      <c r="C146" s="20"/>
      <c r="D146" s="20"/>
    </row>
    <row r="147" spans="1:4" ht="21.95" customHeight="1" x14ac:dyDescent="0.2">
      <c r="A147" s="20"/>
      <c r="B147" s="20"/>
      <c r="C147" s="20"/>
      <c r="D147" s="20"/>
    </row>
    <row r="148" spans="1:4" ht="21.95" customHeight="1" x14ac:dyDescent="0.2">
      <c r="A148" s="20"/>
      <c r="B148" s="20"/>
      <c r="C148" s="20"/>
      <c r="D148" s="20"/>
    </row>
    <row r="149" spans="1:4" ht="21.95" customHeight="1" x14ac:dyDescent="0.2">
      <c r="A149" s="20"/>
      <c r="B149" s="20"/>
      <c r="C149" s="20"/>
      <c r="D149" s="20"/>
    </row>
    <row r="150" spans="1:4" ht="21.95" customHeight="1" x14ac:dyDescent="0.2">
      <c r="A150" s="20"/>
      <c r="B150" s="20"/>
      <c r="C150" s="20"/>
      <c r="D150" s="20"/>
    </row>
    <row r="151" spans="1:4" ht="21.95" customHeight="1" x14ac:dyDescent="0.2">
      <c r="A151" s="20"/>
      <c r="B151" s="20"/>
      <c r="C151" s="20"/>
      <c r="D151" s="20"/>
    </row>
    <row r="152" spans="1:4" ht="21.95" customHeight="1" x14ac:dyDescent="0.2">
      <c r="A152" s="20"/>
      <c r="B152" s="20"/>
      <c r="C152" s="20"/>
      <c r="D152" s="20"/>
    </row>
    <row r="153" spans="1:4" ht="21.95" customHeight="1" x14ac:dyDescent="0.2">
      <c r="A153" s="20"/>
      <c r="B153" s="20"/>
      <c r="C153" s="20"/>
      <c r="D153" s="20"/>
    </row>
    <row r="154" spans="1:4" ht="21.95" customHeight="1" x14ac:dyDescent="0.2">
      <c r="A154" s="20"/>
      <c r="B154" s="20"/>
      <c r="C154" s="20"/>
      <c r="D154" s="20"/>
    </row>
    <row r="155" spans="1:4" ht="21.95" customHeight="1" x14ac:dyDescent="0.2">
      <c r="A155" s="20"/>
      <c r="B155" s="20"/>
      <c r="C155" s="20"/>
      <c r="D155" s="20"/>
    </row>
    <row r="156" spans="1:4" ht="21.95" customHeight="1" x14ac:dyDescent="0.2">
      <c r="A156" s="20"/>
      <c r="B156" s="20"/>
      <c r="C156" s="20"/>
      <c r="D156" s="20"/>
    </row>
    <row r="157" spans="1:4" ht="21.95" customHeight="1" x14ac:dyDescent="0.2">
      <c r="A157" s="20"/>
      <c r="B157" s="20"/>
      <c r="C157" s="20"/>
      <c r="D157" s="20"/>
    </row>
    <row r="158" spans="1:4" ht="21.95" customHeight="1" x14ac:dyDescent="0.2">
      <c r="A158" s="20"/>
      <c r="B158" s="20"/>
      <c r="C158" s="20"/>
      <c r="D158" s="20"/>
    </row>
    <row r="159" spans="1:4" ht="21.95" customHeight="1" x14ac:dyDescent="0.2">
      <c r="A159" s="20"/>
      <c r="B159" s="20"/>
      <c r="C159" s="20"/>
      <c r="D159" s="20"/>
    </row>
    <row r="160" spans="1:4" ht="21.95" customHeight="1" x14ac:dyDescent="0.2">
      <c r="A160" s="20"/>
      <c r="B160" s="20"/>
      <c r="C160" s="20"/>
      <c r="D160" s="20"/>
    </row>
    <row r="161" spans="1:4" ht="21.95" customHeight="1" x14ac:dyDescent="0.2">
      <c r="A161" s="20"/>
      <c r="B161" s="20"/>
      <c r="C161" s="20"/>
      <c r="D161" s="20"/>
    </row>
    <row r="162" spans="1:4" x14ac:dyDescent="0.2">
      <c r="A162" s="20"/>
      <c r="B162" s="20"/>
      <c r="C162" s="20"/>
      <c r="D162" s="20"/>
    </row>
    <row r="163" spans="1:4" x14ac:dyDescent="0.2">
      <c r="A163" s="20"/>
      <c r="B163" s="20"/>
      <c r="C163" s="20"/>
      <c r="D163" s="20"/>
    </row>
    <row r="164" spans="1:4" x14ac:dyDescent="0.2">
      <c r="A164" s="20"/>
      <c r="B164" s="20"/>
      <c r="C164" s="20"/>
      <c r="D164" s="20"/>
    </row>
    <row r="165" spans="1:4" x14ac:dyDescent="0.2">
      <c r="A165" s="20"/>
      <c r="B165" s="20"/>
      <c r="C165" s="20"/>
      <c r="D165" s="20"/>
    </row>
    <row r="166" spans="1:4" x14ac:dyDescent="0.2">
      <c r="A166" s="20"/>
      <c r="B166" s="20"/>
      <c r="C166" s="20"/>
      <c r="D166" s="20"/>
    </row>
    <row r="167" spans="1:4" x14ac:dyDescent="0.2">
      <c r="A167" s="20"/>
      <c r="B167" s="20"/>
      <c r="C167" s="20"/>
      <c r="D167" s="20"/>
    </row>
    <row r="168" spans="1:4" x14ac:dyDescent="0.2">
      <c r="A168" s="20"/>
      <c r="B168" s="20"/>
      <c r="C168" s="20"/>
      <c r="D168" s="20"/>
    </row>
  </sheetData>
  <mergeCells count="20">
    <mergeCell ref="A14:S14"/>
    <mergeCell ref="A13:S13"/>
    <mergeCell ref="A4:W4"/>
    <mergeCell ref="A19:S19"/>
    <mergeCell ref="A9:S9"/>
    <mergeCell ref="A12:S12"/>
    <mergeCell ref="A11:S11"/>
    <mergeCell ref="A17:S17"/>
    <mergeCell ref="A18:S18"/>
    <mergeCell ref="A10:S10"/>
    <mergeCell ref="A16:S16"/>
    <mergeCell ref="A15:S15"/>
    <mergeCell ref="A2:W2"/>
    <mergeCell ref="A1:W1"/>
    <mergeCell ref="U7:U8"/>
    <mergeCell ref="T7:T8"/>
    <mergeCell ref="V7:V8"/>
    <mergeCell ref="W7:W8"/>
    <mergeCell ref="A7:S7"/>
    <mergeCell ref="F3:T3"/>
  </mergeCells>
  <phoneticPr fontId="0" type="noConversion"/>
  <printOptions horizontalCentered="1"/>
  <pageMargins left="0.16" right="0.19685039370078741" top="0.28000000000000003" bottom="0.35" header="0.18" footer="0.3"/>
  <pageSetup paperSize="9" scale="82" fitToHeight="0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84"/>
  <sheetViews>
    <sheetView showGridLines="0" view="pageBreakPreview" zoomScaleNormal="93" zoomScaleSheetLayoutView="100" workbookViewId="0">
      <selection activeCell="B24" sqref="B24:T24"/>
    </sheetView>
  </sheetViews>
  <sheetFormatPr defaultRowHeight="12.75" x14ac:dyDescent="0.2"/>
  <cols>
    <col min="1" max="1" width="5.28515625" style="14" customWidth="1"/>
    <col min="2" max="7" width="3.28515625" style="14" customWidth="1"/>
    <col min="8" max="8" width="5.140625" style="14" customWidth="1"/>
    <col min="9" max="12" width="3.28515625" style="14" customWidth="1"/>
    <col min="13" max="13" width="4.28515625" style="14" customWidth="1"/>
    <col min="14" max="15" width="3.28515625" style="14" customWidth="1"/>
    <col min="16" max="16" width="4.42578125" style="14" customWidth="1"/>
    <col min="17" max="24" width="3.28515625" style="14" customWidth="1"/>
    <col min="25" max="25" width="6.42578125" style="14" customWidth="1"/>
    <col min="26" max="26" width="3.42578125" style="14" customWidth="1"/>
    <col min="27" max="27" width="5.140625" style="14" customWidth="1"/>
    <col min="28" max="28" width="4.42578125" style="14" customWidth="1"/>
    <col min="29" max="29" width="4.7109375" style="14" customWidth="1"/>
    <col min="30" max="30" width="4" style="14" customWidth="1"/>
    <col min="31" max="31" width="5.140625" style="14" customWidth="1"/>
    <col min="32" max="32" width="2.42578125" style="14" customWidth="1"/>
    <col min="33" max="34" width="2.85546875" style="14" customWidth="1"/>
    <col min="35" max="35" width="4.140625" style="14" customWidth="1"/>
    <col min="36" max="36" width="12.7109375" style="14" bestFit="1" customWidth="1"/>
    <col min="37" max="16384" width="9.140625" style="14"/>
  </cols>
  <sheetData>
    <row r="1" spans="1:35" x14ac:dyDescent="0.2"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</row>
    <row r="2" spans="1:35" x14ac:dyDescent="0.2"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</row>
    <row r="3" spans="1:35" s="21" customFormat="1" ht="26.25" customHeight="1" x14ac:dyDescent="0.25">
      <c r="B3" s="475" t="s">
        <v>368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</row>
    <row r="4" spans="1:35" s="21" customFormat="1" ht="19.5" customHeight="1" x14ac:dyDescent="0.25"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</row>
    <row r="5" spans="1:35" s="21" customFormat="1" ht="15.75" x14ac:dyDescent="0.25">
      <c r="B5" s="22"/>
      <c r="C5" s="22"/>
      <c r="D5" s="22"/>
      <c r="E5" s="22"/>
      <c r="F5" s="22"/>
      <c r="G5" s="475" t="s">
        <v>190</v>
      </c>
      <c r="H5" s="487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3"/>
      <c r="AI5" s="22"/>
    </row>
    <row r="6" spans="1:35" ht="15.75" x14ac:dyDescent="0.2">
      <c r="B6" s="494" t="s">
        <v>165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4"/>
      <c r="AF6" s="494"/>
      <c r="AG6" s="494"/>
      <c r="AH6" s="494"/>
      <c r="AI6" s="494"/>
    </row>
    <row r="7" spans="1:35" ht="15.75" x14ac:dyDescent="0.2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227"/>
      <c r="AI7" s="16"/>
    </row>
    <row r="8" spans="1:35" x14ac:dyDescent="0.2">
      <c r="V8" s="14" t="s">
        <v>188</v>
      </c>
      <c r="AF8" s="17" t="s">
        <v>367</v>
      </c>
    </row>
    <row r="9" spans="1:35" ht="31.5" customHeight="1" x14ac:dyDescent="0.2">
      <c r="A9" s="504"/>
      <c r="B9" s="532" t="s">
        <v>142</v>
      </c>
      <c r="C9" s="533"/>
      <c r="D9" s="533"/>
      <c r="E9" s="533"/>
      <c r="F9" s="533"/>
      <c r="G9" s="533"/>
      <c r="H9" s="533"/>
      <c r="I9" s="533"/>
      <c r="J9" s="533"/>
      <c r="K9" s="533"/>
      <c r="L9" s="533"/>
      <c r="M9" s="533"/>
      <c r="N9" s="533"/>
      <c r="O9" s="533"/>
      <c r="P9" s="533"/>
      <c r="Q9" s="533"/>
      <c r="R9" s="533"/>
      <c r="S9" s="533"/>
      <c r="T9" s="534"/>
      <c r="U9" s="532" t="s">
        <v>164</v>
      </c>
      <c r="V9" s="533"/>
      <c r="W9" s="533"/>
      <c r="X9" s="533"/>
      <c r="Y9" s="534"/>
      <c r="Z9" s="532" t="s">
        <v>361</v>
      </c>
      <c r="AA9" s="533"/>
      <c r="AB9" s="533"/>
      <c r="AC9" s="533"/>
      <c r="AD9" s="534"/>
      <c r="AE9" s="532" t="s">
        <v>163</v>
      </c>
      <c r="AF9" s="544"/>
      <c r="AG9" s="544"/>
      <c r="AH9" s="544"/>
      <c r="AI9" s="545"/>
    </row>
    <row r="10" spans="1:35" x14ac:dyDescent="0.2">
      <c r="A10" s="505"/>
      <c r="B10" s="18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9"/>
      <c r="U10" s="535"/>
      <c r="V10" s="536"/>
      <c r="W10" s="536"/>
      <c r="X10" s="536"/>
      <c r="Y10" s="537"/>
      <c r="Z10" s="535"/>
      <c r="AA10" s="536"/>
      <c r="AB10" s="536"/>
      <c r="AC10" s="536"/>
      <c r="AD10" s="537"/>
      <c r="AE10" s="546"/>
      <c r="AF10" s="547"/>
      <c r="AG10" s="547"/>
      <c r="AH10" s="547"/>
      <c r="AI10" s="548"/>
    </row>
    <row r="11" spans="1:35" ht="19.5" customHeight="1" x14ac:dyDescent="0.2">
      <c r="A11" s="24"/>
      <c r="B11" s="541" t="s">
        <v>4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3"/>
      <c r="U11" s="506"/>
      <c r="V11" s="507"/>
      <c r="W11" s="507"/>
      <c r="X11" s="507"/>
      <c r="Y11" s="508"/>
      <c r="Z11" s="538"/>
      <c r="AA11" s="539"/>
      <c r="AB11" s="539"/>
      <c r="AC11" s="539"/>
      <c r="AD11" s="540"/>
      <c r="AE11" s="538"/>
      <c r="AF11" s="539"/>
      <c r="AG11" s="539"/>
      <c r="AH11" s="539"/>
      <c r="AI11" s="540"/>
    </row>
    <row r="12" spans="1:35" ht="19.5" customHeight="1" x14ac:dyDescent="0.2">
      <c r="A12" s="24"/>
      <c r="B12" s="509" t="s">
        <v>166</v>
      </c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3"/>
      <c r="U12" s="506">
        <v>400000</v>
      </c>
      <c r="V12" s="507"/>
      <c r="W12" s="507"/>
      <c r="X12" s="507"/>
      <c r="Y12" s="508"/>
      <c r="Z12" s="498">
        <v>400000</v>
      </c>
      <c r="AA12" s="499"/>
      <c r="AB12" s="499"/>
      <c r="AC12" s="499"/>
      <c r="AD12" s="500"/>
      <c r="AE12" s="498">
        <v>387500</v>
      </c>
      <c r="AF12" s="499"/>
      <c r="AG12" s="499"/>
      <c r="AH12" s="499"/>
      <c r="AI12" s="500"/>
    </row>
    <row r="13" spans="1:35" ht="19.5" customHeight="1" x14ac:dyDescent="0.2">
      <c r="A13" s="24"/>
      <c r="B13" s="513" t="s">
        <v>211</v>
      </c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  <c r="T13" s="490"/>
      <c r="U13" s="510">
        <v>1632000</v>
      </c>
      <c r="V13" s="511"/>
      <c r="W13" s="511"/>
      <c r="X13" s="511"/>
      <c r="Y13" s="512"/>
      <c r="Z13" s="498">
        <f>1632000-109</f>
        <v>1631891</v>
      </c>
      <c r="AA13" s="499"/>
      <c r="AB13" s="499"/>
      <c r="AC13" s="499"/>
      <c r="AD13" s="500"/>
      <c r="AE13" s="498">
        <f>1243261+347510</f>
        <v>1590771</v>
      </c>
      <c r="AF13" s="499"/>
      <c r="AG13" s="499"/>
      <c r="AH13" s="499"/>
      <c r="AI13" s="500"/>
    </row>
    <row r="14" spans="1:35" ht="19.5" customHeight="1" x14ac:dyDescent="0.2">
      <c r="A14" s="24"/>
      <c r="B14" s="513" t="s">
        <v>228</v>
      </c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90"/>
      <c r="U14" s="510">
        <f>160000+356000</f>
        <v>516000</v>
      </c>
      <c r="V14" s="511"/>
      <c r="W14" s="511"/>
      <c r="X14" s="511"/>
      <c r="Y14" s="512"/>
      <c r="Z14" s="498">
        <v>516000</v>
      </c>
      <c r="AA14" s="499"/>
      <c r="AB14" s="499"/>
      <c r="AC14" s="499"/>
      <c r="AD14" s="500"/>
      <c r="AE14" s="498">
        <v>150000</v>
      </c>
      <c r="AF14" s="499"/>
      <c r="AG14" s="499"/>
      <c r="AH14" s="499"/>
      <c r="AI14" s="500"/>
    </row>
    <row r="15" spans="1:35" ht="19.5" customHeight="1" x14ac:dyDescent="0.2">
      <c r="A15" s="24"/>
      <c r="B15" s="513" t="s">
        <v>362</v>
      </c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90"/>
      <c r="U15" s="224"/>
      <c r="V15" s="225"/>
      <c r="W15" s="225"/>
      <c r="X15" s="225"/>
      <c r="Y15" s="226"/>
      <c r="Z15" s="498">
        <v>30000</v>
      </c>
      <c r="AA15" s="499"/>
      <c r="AB15" s="499"/>
      <c r="AC15" s="499"/>
      <c r="AD15" s="500"/>
      <c r="AE15" s="498">
        <v>30000</v>
      </c>
      <c r="AF15" s="499"/>
      <c r="AG15" s="499"/>
      <c r="AH15" s="499"/>
      <c r="AI15" s="500"/>
    </row>
    <row r="16" spans="1:35" ht="19.5" customHeight="1" x14ac:dyDescent="0.2">
      <c r="A16" s="24"/>
      <c r="B16" s="523" t="s">
        <v>193</v>
      </c>
      <c r="C16" s="524"/>
      <c r="D16" s="524"/>
      <c r="E16" s="524"/>
      <c r="F16" s="524"/>
      <c r="G16" s="524"/>
      <c r="H16" s="524"/>
      <c r="I16" s="524"/>
      <c r="J16" s="524"/>
      <c r="K16" s="524"/>
      <c r="L16" s="524"/>
      <c r="M16" s="524"/>
      <c r="N16" s="524"/>
      <c r="O16" s="524"/>
      <c r="P16" s="524"/>
      <c r="Q16" s="524"/>
      <c r="R16" s="524"/>
      <c r="S16" s="524"/>
      <c r="T16" s="525"/>
      <c r="U16" s="506">
        <v>60000</v>
      </c>
      <c r="V16" s="507"/>
      <c r="W16" s="507"/>
      <c r="X16" s="507"/>
      <c r="Y16" s="508"/>
      <c r="Z16" s="498">
        <v>60000</v>
      </c>
      <c r="AA16" s="499"/>
      <c r="AB16" s="499"/>
      <c r="AC16" s="499"/>
      <c r="AD16" s="500"/>
      <c r="AE16" s="498">
        <v>60000</v>
      </c>
      <c r="AF16" s="499"/>
      <c r="AG16" s="499"/>
      <c r="AH16" s="499"/>
      <c r="AI16" s="500"/>
    </row>
    <row r="17" spans="1:38" ht="19.5" customHeight="1" x14ac:dyDescent="0.2">
      <c r="A17" s="24"/>
      <c r="B17" s="520" t="s">
        <v>195</v>
      </c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2"/>
      <c r="U17" s="506">
        <f>117000*11+112000</f>
        <v>1399000</v>
      </c>
      <c r="V17" s="507"/>
      <c r="W17" s="507"/>
      <c r="X17" s="507"/>
      <c r="Y17" s="508"/>
      <c r="Z17" s="498">
        <v>1399109</v>
      </c>
      <c r="AA17" s="499"/>
      <c r="AB17" s="499"/>
      <c r="AC17" s="499"/>
      <c r="AD17" s="500"/>
      <c r="AE17" s="498">
        <v>1399109</v>
      </c>
      <c r="AF17" s="499"/>
      <c r="AG17" s="499"/>
      <c r="AH17" s="499"/>
      <c r="AI17" s="500"/>
    </row>
    <row r="18" spans="1:38" ht="19.5" customHeight="1" x14ac:dyDescent="0.2">
      <c r="A18" s="24"/>
      <c r="B18" s="509" t="s">
        <v>191</v>
      </c>
      <c r="C18" s="492"/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3"/>
      <c r="U18" s="510">
        <v>368000</v>
      </c>
      <c r="V18" s="511"/>
      <c r="W18" s="511"/>
      <c r="X18" s="511"/>
      <c r="Y18" s="512"/>
      <c r="Z18" s="498">
        <v>368000</v>
      </c>
      <c r="AA18" s="499"/>
      <c r="AB18" s="499"/>
      <c r="AC18" s="499"/>
      <c r="AD18" s="500"/>
      <c r="AE18" s="498">
        <v>367731</v>
      </c>
      <c r="AF18" s="499"/>
      <c r="AG18" s="499"/>
      <c r="AH18" s="499"/>
      <c r="AI18" s="500"/>
    </row>
    <row r="19" spans="1:38" ht="19.5" customHeight="1" x14ac:dyDescent="0.2">
      <c r="A19" s="24"/>
      <c r="B19" s="517" t="s">
        <v>5</v>
      </c>
      <c r="C19" s="518"/>
      <c r="D19" s="518"/>
      <c r="E19" s="518"/>
      <c r="F19" s="518"/>
      <c r="G19" s="518"/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9"/>
      <c r="U19" s="526">
        <f>SUM(U12:Y18)</f>
        <v>4375000</v>
      </c>
      <c r="V19" s="527"/>
      <c r="W19" s="527"/>
      <c r="X19" s="527"/>
      <c r="Y19" s="528"/>
      <c r="Z19" s="501">
        <f t="shared" ref="Z19" si="0">SUM(Z12:AD18)</f>
        <v>4405000</v>
      </c>
      <c r="AA19" s="502"/>
      <c r="AB19" s="502"/>
      <c r="AC19" s="502"/>
      <c r="AD19" s="503"/>
      <c r="AE19" s="501">
        <f t="shared" ref="AE19" si="1">SUM(AE12:AI18)</f>
        <v>3985111</v>
      </c>
      <c r="AF19" s="502"/>
      <c r="AG19" s="502"/>
      <c r="AH19" s="502"/>
      <c r="AI19" s="503"/>
    </row>
    <row r="20" spans="1:38" ht="19.5" customHeight="1" x14ac:dyDescent="0.2">
      <c r="A20" s="24"/>
      <c r="B20" s="514"/>
      <c r="C20" s="515"/>
      <c r="D20" s="515"/>
      <c r="E20" s="515"/>
      <c r="F20" s="515"/>
      <c r="G20" s="515"/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6"/>
      <c r="U20" s="529"/>
      <c r="V20" s="530"/>
      <c r="W20" s="530"/>
      <c r="X20" s="530"/>
      <c r="Y20" s="531"/>
      <c r="Z20" s="529"/>
      <c r="AA20" s="530"/>
      <c r="AB20" s="530"/>
      <c r="AC20" s="530"/>
      <c r="AD20" s="531"/>
      <c r="AE20" s="529"/>
      <c r="AF20" s="530"/>
      <c r="AG20" s="530"/>
      <c r="AH20" s="530"/>
      <c r="AI20" s="531"/>
    </row>
    <row r="21" spans="1:38" ht="19.5" customHeight="1" x14ac:dyDescent="0.2">
      <c r="A21" s="24"/>
      <c r="B21" s="541" t="s">
        <v>6</v>
      </c>
      <c r="C21" s="542"/>
      <c r="D21" s="542"/>
      <c r="E21" s="542"/>
      <c r="F21" s="542"/>
      <c r="G21" s="542"/>
      <c r="H21" s="542"/>
      <c r="I21" s="542"/>
      <c r="J21" s="542"/>
      <c r="K21" s="542"/>
      <c r="L21" s="542"/>
      <c r="M21" s="542"/>
      <c r="N21" s="542"/>
      <c r="O21" s="542"/>
      <c r="P21" s="542"/>
      <c r="Q21" s="542"/>
      <c r="R21" s="542"/>
      <c r="S21" s="542"/>
      <c r="T21" s="543"/>
      <c r="U21" s="506"/>
      <c r="V21" s="507"/>
      <c r="W21" s="507"/>
      <c r="X21" s="507"/>
      <c r="Y21" s="508"/>
      <c r="Z21" s="538"/>
      <c r="AA21" s="539"/>
      <c r="AB21" s="539"/>
      <c r="AC21" s="539"/>
      <c r="AD21" s="540"/>
      <c r="AE21" s="538"/>
      <c r="AF21" s="539"/>
      <c r="AG21" s="539"/>
      <c r="AH21" s="539"/>
      <c r="AI21" s="540"/>
    </row>
    <row r="22" spans="1:38" ht="19.5" customHeight="1" x14ac:dyDescent="0.2">
      <c r="A22" s="24"/>
      <c r="B22" s="523" t="s">
        <v>201</v>
      </c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49"/>
      <c r="P22" s="549"/>
      <c r="Q22" s="549"/>
      <c r="R22" s="549"/>
      <c r="S22" s="549"/>
      <c r="T22" s="550"/>
      <c r="U22" s="510"/>
      <c r="V22" s="511"/>
      <c r="W22" s="511"/>
      <c r="X22" s="511"/>
      <c r="Y22" s="512"/>
      <c r="Z22" s="498">
        <v>50000</v>
      </c>
      <c r="AA22" s="499"/>
      <c r="AB22" s="499"/>
      <c r="AC22" s="499"/>
      <c r="AD22" s="500"/>
      <c r="AE22" s="538"/>
      <c r="AF22" s="539"/>
      <c r="AG22" s="539"/>
      <c r="AH22" s="539"/>
      <c r="AI22" s="540"/>
    </row>
    <row r="23" spans="1:38" ht="19.5" customHeight="1" x14ac:dyDescent="0.2">
      <c r="A23" s="24"/>
      <c r="B23" s="523" t="s">
        <v>192</v>
      </c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5"/>
      <c r="U23" s="506">
        <f>1440000-180000</f>
        <v>1260000</v>
      </c>
      <c r="V23" s="507"/>
      <c r="W23" s="507"/>
      <c r="X23" s="507"/>
      <c r="Y23" s="508"/>
      <c r="Z23" s="498">
        <f>262626+1260000+200000</f>
        <v>1722626</v>
      </c>
      <c r="AA23" s="499"/>
      <c r="AB23" s="499"/>
      <c r="AC23" s="499"/>
      <c r="AD23" s="500"/>
      <c r="AE23" s="498">
        <v>1729473</v>
      </c>
      <c r="AF23" s="499"/>
      <c r="AG23" s="499"/>
      <c r="AH23" s="499"/>
      <c r="AI23" s="500"/>
    </row>
    <row r="24" spans="1:38" ht="19.5" customHeight="1" x14ac:dyDescent="0.2">
      <c r="A24" s="24"/>
      <c r="B24" s="523" t="s">
        <v>215</v>
      </c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5"/>
      <c r="U24" s="506">
        <v>167000</v>
      </c>
      <c r="V24" s="507"/>
      <c r="W24" s="507"/>
      <c r="X24" s="507"/>
      <c r="Y24" s="508"/>
      <c r="Z24" s="498">
        <v>167110</v>
      </c>
      <c r="AA24" s="499"/>
      <c r="AB24" s="499"/>
      <c r="AC24" s="499"/>
      <c r="AD24" s="500"/>
      <c r="AE24" s="498">
        <v>167110</v>
      </c>
      <c r="AF24" s="499"/>
      <c r="AG24" s="499"/>
      <c r="AH24" s="499"/>
      <c r="AI24" s="500"/>
    </row>
    <row r="25" spans="1:38" ht="19.5" customHeight="1" x14ac:dyDescent="0.2">
      <c r="A25" s="24"/>
      <c r="B25" s="523" t="s">
        <v>229</v>
      </c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5"/>
      <c r="U25" s="506">
        <v>50000</v>
      </c>
      <c r="V25" s="507"/>
      <c r="W25" s="507"/>
      <c r="X25" s="507"/>
      <c r="Y25" s="508"/>
      <c r="Z25" s="498">
        <v>50000</v>
      </c>
      <c r="AA25" s="499"/>
      <c r="AB25" s="499"/>
      <c r="AC25" s="499"/>
      <c r="AD25" s="500"/>
      <c r="AE25" s="498">
        <v>20000</v>
      </c>
      <c r="AF25" s="499"/>
      <c r="AG25" s="499"/>
      <c r="AH25" s="499"/>
      <c r="AI25" s="500"/>
    </row>
    <row r="26" spans="1:38" ht="19.5" customHeight="1" x14ac:dyDescent="0.2">
      <c r="A26" s="24"/>
      <c r="B26" s="523" t="s">
        <v>363</v>
      </c>
      <c r="C26" s="524"/>
      <c r="D26" s="524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5"/>
      <c r="U26" s="506"/>
      <c r="V26" s="507"/>
      <c r="W26" s="507"/>
      <c r="X26" s="507"/>
      <c r="Y26" s="508"/>
      <c r="Z26" s="498">
        <v>30000</v>
      </c>
      <c r="AA26" s="499"/>
      <c r="AB26" s="499"/>
      <c r="AC26" s="499"/>
      <c r="AD26" s="500"/>
      <c r="AE26" s="498">
        <v>30000</v>
      </c>
      <c r="AF26" s="499"/>
      <c r="AG26" s="499"/>
      <c r="AH26" s="499"/>
      <c r="AI26" s="500"/>
    </row>
    <row r="27" spans="1:38" ht="19.5" customHeight="1" x14ac:dyDescent="0.2">
      <c r="A27" s="24"/>
      <c r="B27" s="523" t="s">
        <v>194</v>
      </c>
      <c r="C27" s="524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5"/>
      <c r="U27" s="506">
        <v>111000</v>
      </c>
      <c r="V27" s="507"/>
      <c r="W27" s="507"/>
      <c r="X27" s="507"/>
      <c r="Y27" s="508"/>
      <c r="Z27" s="498">
        <v>111000</v>
      </c>
      <c r="AA27" s="499"/>
      <c r="AB27" s="499"/>
      <c r="AC27" s="499"/>
      <c r="AD27" s="500"/>
      <c r="AE27" s="498">
        <v>97200</v>
      </c>
      <c r="AF27" s="499"/>
      <c r="AG27" s="499"/>
      <c r="AH27" s="499"/>
      <c r="AI27" s="500"/>
    </row>
    <row r="28" spans="1:38" ht="19.5" customHeight="1" x14ac:dyDescent="0.2">
      <c r="A28" s="24"/>
      <c r="B28" s="523" t="s">
        <v>365</v>
      </c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5"/>
      <c r="U28" s="228"/>
      <c r="V28" s="229"/>
      <c r="W28" s="229"/>
      <c r="X28" s="229"/>
      <c r="Y28" s="230"/>
      <c r="Z28" s="498">
        <v>20000</v>
      </c>
      <c r="AA28" s="499"/>
      <c r="AB28" s="499"/>
      <c r="AC28" s="499"/>
      <c r="AD28" s="500"/>
      <c r="AE28" s="498">
        <v>20000</v>
      </c>
      <c r="AF28" s="499"/>
      <c r="AG28" s="499"/>
      <c r="AH28" s="499"/>
      <c r="AI28" s="500"/>
    </row>
    <row r="29" spans="1:38" ht="19.5" customHeight="1" x14ac:dyDescent="0.2">
      <c r="A29" s="24"/>
      <c r="B29" s="523" t="s">
        <v>364</v>
      </c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5"/>
      <c r="U29" s="506"/>
      <c r="V29" s="507"/>
      <c r="W29" s="507"/>
      <c r="X29" s="507"/>
      <c r="Y29" s="508"/>
      <c r="Z29" s="498">
        <v>30000</v>
      </c>
      <c r="AA29" s="499"/>
      <c r="AB29" s="499"/>
      <c r="AC29" s="499"/>
      <c r="AD29" s="500"/>
      <c r="AE29" s="498">
        <v>30000</v>
      </c>
      <c r="AF29" s="499"/>
      <c r="AG29" s="499"/>
      <c r="AH29" s="499"/>
      <c r="AI29" s="500"/>
    </row>
    <row r="30" spans="1:38" ht="19.5" customHeight="1" x14ac:dyDescent="0.2">
      <c r="A30" s="24"/>
      <c r="B30" s="523" t="s">
        <v>366</v>
      </c>
      <c r="C30" s="524"/>
      <c r="D30" s="524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5"/>
      <c r="U30" s="228"/>
      <c r="V30" s="229"/>
      <c r="W30" s="229"/>
      <c r="X30" s="229"/>
      <c r="Y30" s="230"/>
      <c r="Z30" s="498">
        <v>10086100</v>
      </c>
      <c r="AA30" s="499"/>
      <c r="AB30" s="499"/>
      <c r="AC30" s="499"/>
      <c r="AD30" s="500"/>
      <c r="AE30" s="498">
        <v>10086100</v>
      </c>
      <c r="AF30" s="499"/>
      <c r="AG30" s="499"/>
      <c r="AH30" s="499"/>
      <c r="AI30" s="500"/>
    </row>
    <row r="31" spans="1:38" ht="19.5" customHeight="1" x14ac:dyDescent="0.2">
      <c r="A31" s="24"/>
      <c r="B31" s="517" t="s">
        <v>7</v>
      </c>
      <c r="C31" s="518"/>
      <c r="D31" s="518"/>
      <c r="E31" s="518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9"/>
      <c r="U31" s="526">
        <f>SUM(U22:Y29)</f>
        <v>1588000</v>
      </c>
      <c r="V31" s="527"/>
      <c r="W31" s="527"/>
      <c r="X31" s="527"/>
      <c r="Y31" s="528"/>
      <c r="Z31" s="501">
        <f>SUM(Z22:AD30)</f>
        <v>12266836</v>
      </c>
      <c r="AA31" s="502"/>
      <c r="AB31" s="502"/>
      <c r="AC31" s="502"/>
      <c r="AD31" s="503"/>
      <c r="AE31" s="501">
        <f>SUM(AE22:AI30)</f>
        <v>12179883</v>
      </c>
      <c r="AF31" s="502"/>
      <c r="AG31" s="502"/>
      <c r="AH31" s="502"/>
      <c r="AI31" s="503"/>
      <c r="AJ31" s="329"/>
      <c r="AL31" s="127"/>
    </row>
    <row r="32" spans="1:38" ht="19.5" customHeight="1" x14ac:dyDescent="0.2">
      <c r="A32" s="24"/>
      <c r="B32" s="517" t="s">
        <v>213</v>
      </c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9"/>
      <c r="U32" s="526">
        <f>+U31+U19</f>
        <v>5963000</v>
      </c>
      <c r="V32" s="527"/>
      <c r="W32" s="527"/>
      <c r="X32" s="527"/>
      <c r="Y32" s="528"/>
      <c r="Z32" s="501">
        <f>+Z31+Z19</f>
        <v>16671836</v>
      </c>
      <c r="AA32" s="502"/>
      <c r="AB32" s="502"/>
      <c r="AC32" s="502"/>
      <c r="AD32" s="503"/>
      <c r="AE32" s="501">
        <f>+AE31+AE19</f>
        <v>16164994</v>
      </c>
      <c r="AF32" s="502"/>
      <c r="AG32" s="502"/>
      <c r="AH32" s="502"/>
      <c r="AI32" s="503"/>
      <c r="AL32" s="127"/>
    </row>
    <row r="33" spans="1:38" ht="19.5" customHeight="1" x14ac:dyDescent="0.2">
      <c r="A33" s="24"/>
      <c r="B33" s="513" t="s">
        <v>212</v>
      </c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90"/>
      <c r="U33" s="506">
        <f>1448000-614000</f>
        <v>834000</v>
      </c>
      <c r="V33" s="507"/>
      <c r="W33" s="507"/>
      <c r="X33" s="507"/>
      <c r="Y33" s="508"/>
      <c r="Z33" s="498">
        <f>1448000-614000-262626</f>
        <v>571374</v>
      </c>
      <c r="AA33" s="499"/>
      <c r="AB33" s="499"/>
      <c r="AC33" s="499"/>
      <c r="AD33" s="500"/>
      <c r="AE33" s="498">
        <f>1448000-614000-262626</f>
        <v>571374</v>
      </c>
      <c r="AF33" s="499"/>
      <c r="AG33" s="499"/>
      <c r="AH33" s="499"/>
      <c r="AI33" s="500"/>
      <c r="AL33" s="127"/>
    </row>
    <row r="34" spans="1:38" ht="19.5" customHeight="1" x14ac:dyDescent="0.2">
      <c r="A34" s="24"/>
      <c r="B34" s="513" t="s">
        <v>205</v>
      </c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90"/>
      <c r="U34" s="506">
        <f>(730000+390000+370000)/2-245000</f>
        <v>500000</v>
      </c>
      <c r="V34" s="507"/>
      <c r="W34" s="507"/>
      <c r="X34" s="507"/>
      <c r="Y34" s="508"/>
      <c r="Z34" s="498">
        <v>500000</v>
      </c>
      <c r="AA34" s="499"/>
      <c r="AB34" s="499"/>
      <c r="AC34" s="499"/>
      <c r="AD34" s="500"/>
      <c r="AE34" s="498">
        <v>500000</v>
      </c>
      <c r="AF34" s="499"/>
      <c r="AG34" s="499"/>
      <c r="AH34" s="499"/>
      <c r="AI34" s="500"/>
      <c r="AL34" s="127"/>
    </row>
    <row r="35" spans="1:38" ht="19.5" customHeight="1" x14ac:dyDescent="0.2">
      <c r="A35" s="24"/>
      <c r="B35" s="517" t="s">
        <v>214</v>
      </c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9"/>
      <c r="U35" s="526">
        <f>+U33+U34</f>
        <v>1334000</v>
      </c>
      <c r="V35" s="527"/>
      <c r="W35" s="527"/>
      <c r="X35" s="527"/>
      <c r="Y35" s="528"/>
      <c r="Z35" s="501">
        <f t="shared" ref="Z35" si="2">+Z33+Z34</f>
        <v>1071374</v>
      </c>
      <c r="AA35" s="502"/>
      <c r="AB35" s="502"/>
      <c r="AC35" s="502"/>
      <c r="AD35" s="503"/>
      <c r="AE35" s="501">
        <f t="shared" ref="AE35" si="3">+AE33+AE34</f>
        <v>1071374</v>
      </c>
      <c r="AF35" s="502"/>
      <c r="AG35" s="502"/>
      <c r="AH35" s="502"/>
      <c r="AI35" s="503"/>
      <c r="AL35" s="127"/>
    </row>
    <row r="36" spans="1:38" ht="21.95" customHeight="1" x14ac:dyDescent="0.2">
      <c r="AL36" s="127"/>
    </row>
    <row r="37" spans="1:38" ht="21.95" customHeight="1" x14ac:dyDescent="0.2">
      <c r="W37" s="127"/>
    </row>
    <row r="38" spans="1:38" ht="21.95" customHeight="1" x14ac:dyDescent="0.2"/>
    <row r="39" spans="1:38" ht="21.95" customHeight="1" x14ac:dyDescent="0.2"/>
    <row r="40" spans="1:38" ht="21.95" customHeight="1" x14ac:dyDescent="0.2"/>
    <row r="41" spans="1:38" ht="21.95" customHeight="1" x14ac:dyDescent="0.2"/>
    <row r="42" spans="1:38" ht="21.95" customHeight="1" x14ac:dyDescent="0.2"/>
    <row r="43" spans="1:38" ht="21.95" customHeight="1" x14ac:dyDescent="0.2"/>
    <row r="44" spans="1:38" ht="21.95" customHeight="1" x14ac:dyDescent="0.2"/>
    <row r="45" spans="1:38" ht="21.95" customHeight="1" x14ac:dyDescent="0.2"/>
    <row r="46" spans="1:38" ht="21.95" customHeight="1" x14ac:dyDescent="0.2"/>
    <row r="47" spans="1:38" ht="21.95" customHeight="1" x14ac:dyDescent="0.2"/>
    <row r="48" spans="1:3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spans="2:5" ht="21.95" customHeight="1" x14ac:dyDescent="0.2"/>
    <row r="98" spans="2:5" ht="21.95" customHeight="1" x14ac:dyDescent="0.2"/>
    <row r="99" spans="2:5" ht="21.95" customHeight="1" x14ac:dyDescent="0.2"/>
    <row r="100" spans="2:5" ht="21.95" customHeight="1" x14ac:dyDescent="0.2"/>
    <row r="101" spans="2:5" ht="21.95" customHeight="1" x14ac:dyDescent="0.2"/>
    <row r="102" spans="2:5" ht="21.95" customHeight="1" x14ac:dyDescent="0.2">
      <c r="B102" s="20"/>
      <c r="C102" s="20"/>
      <c r="D102" s="20"/>
      <c r="E102" s="20"/>
    </row>
    <row r="103" spans="2:5" ht="21.95" customHeight="1" x14ac:dyDescent="0.2">
      <c r="B103" s="20"/>
      <c r="C103" s="20"/>
      <c r="D103" s="20"/>
      <c r="E103" s="20"/>
    </row>
    <row r="104" spans="2:5" ht="21.95" customHeight="1" x14ac:dyDescent="0.2">
      <c r="B104" s="20"/>
      <c r="C104" s="20"/>
      <c r="D104" s="20"/>
      <c r="E104" s="20"/>
    </row>
    <row r="105" spans="2:5" ht="21.95" customHeight="1" x14ac:dyDescent="0.2">
      <c r="B105" s="20"/>
      <c r="C105" s="20"/>
      <c r="D105" s="20"/>
      <c r="E105" s="20"/>
    </row>
    <row r="106" spans="2:5" ht="21.95" customHeight="1" x14ac:dyDescent="0.2">
      <c r="B106" s="20"/>
      <c r="C106" s="20"/>
      <c r="D106" s="20"/>
      <c r="E106" s="20"/>
    </row>
    <row r="107" spans="2:5" ht="21.95" customHeight="1" x14ac:dyDescent="0.2">
      <c r="B107" s="20"/>
      <c r="C107" s="20"/>
      <c r="D107" s="20"/>
      <c r="E107" s="20"/>
    </row>
    <row r="108" spans="2:5" ht="21.95" customHeight="1" x14ac:dyDescent="0.2">
      <c r="B108" s="20"/>
      <c r="C108" s="20"/>
      <c r="D108" s="20"/>
      <c r="E108" s="20"/>
    </row>
    <row r="109" spans="2:5" ht="21.95" customHeight="1" x14ac:dyDescent="0.2">
      <c r="B109" s="20"/>
      <c r="C109" s="20"/>
      <c r="D109" s="20"/>
      <c r="E109" s="20"/>
    </row>
    <row r="110" spans="2:5" ht="21.95" customHeight="1" x14ac:dyDescent="0.2">
      <c r="B110" s="20"/>
      <c r="C110" s="20"/>
      <c r="D110" s="20"/>
      <c r="E110" s="20"/>
    </row>
    <row r="111" spans="2:5" ht="21.95" customHeight="1" x14ac:dyDescent="0.2">
      <c r="B111" s="20"/>
      <c r="C111" s="20"/>
      <c r="D111" s="20"/>
      <c r="E111" s="20"/>
    </row>
    <row r="112" spans="2:5" ht="21.95" customHeight="1" x14ac:dyDescent="0.2">
      <c r="B112" s="20"/>
      <c r="C112" s="20"/>
      <c r="D112" s="20"/>
      <c r="E112" s="20"/>
    </row>
    <row r="113" spans="2:5" ht="21.95" customHeight="1" x14ac:dyDescent="0.2">
      <c r="B113" s="20"/>
      <c r="C113" s="20"/>
      <c r="D113" s="20"/>
      <c r="E113" s="20"/>
    </row>
    <row r="114" spans="2:5" ht="21.95" customHeight="1" x14ac:dyDescent="0.2">
      <c r="B114" s="20"/>
      <c r="C114" s="20"/>
      <c r="D114" s="20"/>
      <c r="E114" s="20"/>
    </row>
    <row r="115" spans="2:5" ht="21.95" customHeight="1" x14ac:dyDescent="0.2">
      <c r="B115" s="20"/>
      <c r="C115" s="20"/>
      <c r="D115" s="20"/>
      <c r="E115" s="20"/>
    </row>
    <row r="116" spans="2:5" ht="21.95" customHeight="1" x14ac:dyDescent="0.2">
      <c r="B116" s="20"/>
      <c r="C116" s="20"/>
      <c r="D116" s="20"/>
      <c r="E116" s="20"/>
    </row>
    <row r="117" spans="2:5" ht="21.95" customHeight="1" x14ac:dyDescent="0.2">
      <c r="B117" s="20"/>
      <c r="C117" s="20"/>
      <c r="D117" s="20"/>
      <c r="E117" s="20"/>
    </row>
    <row r="118" spans="2:5" ht="21.95" customHeight="1" x14ac:dyDescent="0.2">
      <c r="B118" s="20"/>
      <c r="C118" s="20"/>
      <c r="D118" s="20"/>
      <c r="E118" s="20"/>
    </row>
    <row r="119" spans="2:5" ht="21.95" customHeight="1" x14ac:dyDescent="0.2">
      <c r="B119" s="20"/>
      <c r="C119" s="20"/>
      <c r="D119" s="20"/>
      <c r="E119" s="20"/>
    </row>
    <row r="120" spans="2:5" ht="21.95" customHeight="1" x14ac:dyDescent="0.2">
      <c r="B120" s="20"/>
      <c r="C120" s="20"/>
      <c r="D120" s="20"/>
      <c r="E120" s="20"/>
    </row>
    <row r="121" spans="2:5" ht="21.95" customHeight="1" x14ac:dyDescent="0.2">
      <c r="B121" s="20"/>
      <c r="C121" s="20"/>
      <c r="D121" s="20"/>
      <c r="E121" s="20"/>
    </row>
    <row r="122" spans="2:5" ht="21.95" customHeight="1" x14ac:dyDescent="0.2">
      <c r="B122" s="20"/>
      <c r="C122" s="20"/>
      <c r="D122" s="20"/>
      <c r="E122" s="20"/>
    </row>
    <row r="123" spans="2:5" ht="21.95" customHeight="1" x14ac:dyDescent="0.2">
      <c r="B123" s="20"/>
      <c r="C123" s="20"/>
      <c r="D123" s="20"/>
      <c r="E123" s="20"/>
    </row>
    <row r="124" spans="2:5" ht="21.95" customHeight="1" x14ac:dyDescent="0.2">
      <c r="B124" s="20"/>
      <c r="C124" s="20"/>
      <c r="D124" s="20"/>
      <c r="E124" s="20"/>
    </row>
    <row r="125" spans="2:5" ht="21.95" customHeight="1" x14ac:dyDescent="0.2">
      <c r="B125" s="20"/>
      <c r="C125" s="20"/>
      <c r="D125" s="20"/>
      <c r="E125" s="20"/>
    </row>
    <row r="126" spans="2:5" ht="21.95" customHeight="1" x14ac:dyDescent="0.2">
      <c r="B126" s="20"/>
      <c r="C126" s="20"/>
      <c r="D126" s="20"/>
      <c r="E126" s="20"/>
    </row>
    <row r="127" spans="2:5" ht="21.95" customHeight="1" x14ac:dyDescent="0.2">
      <c r="B127" s="20"/>
      <c r="C127" s="20"/>
      <c r="D127" s="20"/>
      <c r="E127" s="20"/>
    </row>
    <row r="128" spans="2:5" ht="21.95" customHeight="1" x14ac:dyDescent="0.2">
      <c r="B128" s="20"/>
      <c r="C128" s="20"/>
      <c r="D128" s="20"/>
      <c r="E128" s="20"/>
    </row>
    <row r="129" spans="2:5" ht="21.95" customHeight="1" x14ac:dyDescent="0.2">
      <c r="B129" s="20"/>
      <c r="C129" s="20"/>
      <c r="D129" s="20"/>
      <c r="E129" s="20"/>
    </row>
    <row r="130" spans="2:5" ht="21.95" customHeight="1" x14ac:dyDescent="0.2">
      <c r="B130" s="20"/>
      <c r="C130" s="20"/>
      <c r="D130" s="20"/>
      <c r="E130" s="20"/>
    </row>
    <row r="131" spans="2:5" ht="21.95" customHeight="1" x14ac:dyDescent="0.2">
      <c r="B131" s="20"/>
      <c r="C131" s="20"/>
      <c r="D131" s="20"/>
      <c r="E131" s="20"/>
    </row>
    <row r="132" spans="2:5" ht="21.95" customHeight="1" x14ac:dyDescent="0.2">
      <c r="B132" s="20"/>
      <c r="C132" s="20"/>
      <c r="D132" s="20"/>
      <c r="E132" s="20"/>
    </row>
    <row r="133" spans="2:5" ht="21.95" customHeight="1" x14ac:dyDescent="0.2">
      <c r="B133" s="20"/>
      <c r="C133" s="20"/>
      <c r="D133" s="20"/>
      <c r="E133" s="20"/>
    </row>
    <row r="134" spans="2:5" ht="21.95" customHeight="1" x14ac:dyDescent="0.2">
      <c r="B134" s="20"/>
      <c r="C134" s="20"/>
      <c r="D134" s="20"/>
      <c r="E134" s="20"/>
    </row>
    <row r="135" spans="2:5" ht="21.95" customHeight="1" x14ac:dyDescent="0.2">
      <c r="B135" s="20"/>
      <c r="C135" s="20"/>
      <c r="D135" s="20"/>
      <c r="E135" s="20"/>
    </row>
    <row r="136" spans="2:5" ht="21.95" customHeight="1" x14ac:dyDescent="0.2">
      <c r="B136" s="20"/>
      <c r="C136" s="20"/>
      <c r="D136" s="20"/>
      <c r="E136" s="20"/>
    </row>
    <row r="137" spans="2:5" ht="21.95" customHeight="1" x14ac:dyDescent="0.2">
      <c r="B137" s="20"/>
      <c r="C137" s="20"/>
      <c r="D137" s="20"/>
      <c r="E137" s="20"/>
    </row>
    <row r="138" spans="2:5" ht="21.95" customHeight="1" x14ac:dyDescent="0.2">
      <c r="B138" s="20"/>
      <c r="C138" s="20"/>
      <c r="D138" s="20"/>
      <c r="E138" s="20"/>
    </row>
    <row r="139" spans="2:5" ht="21.95" customHeight="1" x14ac:dyDescent="0.2">
      <c r="B139" s="20"/>
      <c r="C139" s="20"/>
      <c r="D139" s="20"/>
      <c r="E139" s="20"/>
    </row>
    <row r="140" spans="2:5" ht="21.95" customHeight="1" x14ac:dyDescent="0.2">
      <c r="B140" s="20"/>
      <c r="C140" s="20"/>
      <c r="D140" s="20"/>
      <c r="E140" s="20"/>
    </row>
    <row r="141" spans="2:5" ht="21.95" customHeight="1" x14ac:dyDescent="0.2">
      <c r="B141" s="20"/>
      <c r="C141" s="20"/>
      <c r="D141" s="20"/>
      <c r="E141" s="20"/>
    </row>
    <row r="142" spans="2:5" ht="21.95" customHeight="1" x14ac:dyDescent="0.2">
      <c r="B142" s="20"/>
      <c r="C142" s="20"/>
      <c r="D142" s="20"/>
      <c r="E142" s="20"/>
    </row>
    <row r="143" spans="2:5" ht="21.95" customHeight="1" x14ac:dyDescent="0.2">
      <c r="B143" s="20"/>
      <c r="C143" s="20"/>
      <c r="D143" s="20"/>
      <c r="E143" s="20"/>
    </row>
    <row r="144" spans="2:5" ht="21.95" customHeight="1" x14ac:dyDescent="0.2">
      <c r="B144" s="20"/>
      <c r="C144" s="20"/>
      <c r="D144" s="20"/>
      <c r="E144" s="20"/>
    </row>
    <row r="145" spans="2:5" ht="21.95" customHeight="1" x14ac:dyDescent="0.2">
      <c r="B145" s="20"/>
      <c r="C145" s="20"/>
      <c r="D145" s="20"/>
      <c r="E145" s="20"/>
    </row>
    <row r="146" spans="2:5" ht="21.95" customHeight="1" x14ac:dyDescent="0.2">
      <c r="B146" s="20"/>
      <c r="C146" s="20"/>
      <c r="D146" s="20"/>
      <c r="E146" s="20"/>
    </row>
    <row r="147" spans="2:5" ht="21.95" customHeight="1" x14ac:dyDescent="0.2">
      <c r="B147" s="20"/>
      <c r="C147" s="20"/>
      <c r="D147" s="20"/>
      <c r="E147" s="20"/>
    </row>
    <row r="148" spans="2:5" ht="21.95" customHeight="1" x14ac:dyDescent="0.2">
      <c r="B148" s="20"/>
      <c r="C148" s="20"/>
      <c r="D148" s="20"/>
      <c r="E148" s="20"/>
    </row>
    <row r="149" spans="2:5" ht="21.95" customHeight="1" x14ac:dyDescent="0.2">
      <c r="B149" s="20"/>
      <c r="C149" s="20"/>
      <c r="D149" s="20"/>
      <c r="E149" s="20"/>
    </row>
    <row r="150" spans="2:5" ht="21.95" customHeight="1" x14ac:dyDescent="0.2">
      <c r="B150" s="20"/>
      <c r="C150" s="20"/>
      <c r="D150" s="20"/>
      <c r="E150" s="20"/>
    </row>
    <row r="151" spans="2:5" ht="21.95" customHeight="1" x14ac:dyDescent="0.2">
      <c r="B151" s="20"/>
      <c r="C151" s="20"/>
      <c r="D151" s="20"/>
      <c r="E151" s="20"/>
    </row>
    <row r="152" spans="2:5" ht="21.95" customHeight="1" x14ac:dyDescent="0.2">
      <c r="B152" s="20"/>
      <c r="C152" s="20"/>
      <c r="D152" s="20"/>
      <c r="E152" s="20"/>
    </row>
    <row r="153" spans="2:5" ht="21.95" customHeight="1" x14ac:dyDescent="0.2">
      <c r="B153" s="20"/>
      <c r="C153" s="20"/>
      <c r="D153" s="20"/>
      <c r="E153" s="20"/>
    </row>
    <row r="154" spans="2:5" ht="21.95" customHeight="1" x14ac:dyDescent="0.2">
      <c r="B154" s="20"/>
      <c r="C154" s="20"/>
      <c r="D154" s="20"/>
      <c r="E154" s="20"/>
    </row>
    <row r="155" spans="2:5" ht="21.95" customHeight="1" x14ac:dyDescent="0.2">
      <c r="B155" s="20"/>
      <c r="C155" s="20"/>
      <c r="D155" s="20"/>
      <c r="E155" s="20"/>
    </row>
    <row r="156" spans="2:5" ht="21.95" customHeight="1" x14ac:dyDescent="0.2">
      <c r="B156" s="20"/>
      <c r="C156" s="20"/>
      <c r="D156" s="20"/>
      <c r="E156" s="20"/>
    </row>
    <row r="157" spans="2:5" ht="21.95" customHeight="1" x14ac:dyDescent="0.2">
      <c r="B157" s="20"/>
      <c r="C157" s="20"/>
      <c r="D157" s="20"/>
      <c r="E157" s="20"/>
    </row>
    <row r="158" spans="2:5" ht="21.95" customHeight="1" x14ac:dyDescent="0.2">
      <c r="B158" s="20"/>
      <c r="C158" s="20"/>
      <c r="D158" s="20"/>
      <c r="E158" s="20"/>
    </row>
    <row r="159" spans="2:5" ht="21.95" customHeight="1" x14ac:dyDescent="0.2">
      <c r="B159" s="20"/>
      <c r="C159" s="20"/>
      <c r="D159" s="20"/>
      <c r="E159" s="20"/>
    </row>
    <row r="160" spans="2:5" ht="21.95" customHeight="1" x14ac:dyDescent="0.2">
      <c r="B160" s="20"/>
      <c r="C160" s="20"/>
      <c r="D160" s="20"/>
      <c r="E160" s="20"/>
    </row>
    <row r="161" spans="2:5" ht="21.95" customHeight="1" x14ac:dyDescent="0.2">
      <c r="B161" s="20"/>
      <c r="C161" s="20"/>
      <c r="D161" s="20"/>
      <c r="E161" s="20"/>
    </row>
    <row r="162" spans="2:5" ht="21.95" customHeight="1" x14ac:dyDescent="0.2">
      <c r="B162" s="20"/>
      <c r="C162" s="20"/>
      <c r="D162" s="20"/>
      <c r="E162" s="20"/>
    </row>
    <row r="163" spans="2:5" ht="21.95" customHeight="1" x14ac:dyDescent="0.2">
      <c r="B163" s="20"/>
      <c r="C163" s="20"/>
      <c r="D163" s="20"/>
      <c r="E163" s="20"/>
    </row>
    <row r="164" spans="2:5" ht="21.95" customHeight="1" x14ac:dyDescent="0.2">
      <c r="B164" s="20"/>
      <c r="C164" s="20"/>
      <c r="D164" s="20"/>
      <c r="E164" s="20"/>
    </row>
    <row r="165" spans="2:5" ht="21.95" customHeight="1" x14ac:dyDescent="0.2">
      <c r="B165" s="20"/>
      <c r="C165" s="20"/>
      <c r="D165" s="20"/>
      <c r="E165" s="20"/>
    </row>
    <row r="166" spans="2:5" ht="21.95" customHeight="1" x14ac:dyDescent="0.2">
      <c r="B166" s="20"/>
      <c r="C166" s="20"/>
      <c r="D166" s="20"/>
      <c r="E166" s="20"/>
    </row>
    <row r="167" spans="2:5" ht="21.95" customHeight="1" x14ac:dyDescent="0.2">
      <c r="B167" s="20"/>
      <c r="C167" s="20"/>
      <c r="D167" s="20"/>
      <c r="E167" s="20"/>
    </row>
    <row r="168" spans="2:5" ht="21.95" customHeight="1" x14ac:dyDescent="0.2">
      <c r="B168" s="20"/>
      <c r="C168" s="20"/>
      <c r="D168" s="20"/>
      <c r="E168" s="20"/>
    </row>
    <row r="169" spans="2:5" ht="21.95" customHeight="1" x14ac:dyDescent="0.2">
      <c r="B169" s="20"/>
      <c r="C169" s="20"/>
      <c r="D169" s="20"/>
      <c r="E169" s="20"/>
    </row>
    <row r="170" spans="2:5" ht="21.95" customHeight="1" x14ac:dyDescent="0.2">
      <c r="B170" s="20"/>
      <c r="C170" s="20"/>
      <c r="D170" s="20"/>
      <c r="E170" s="20"/>
    </row>
    <row r="171" spans="2:5" ht="21.95" customHeight="1" x14ac:dyDescent="0.2">
      <c r="B171" s="20"/>
      <c r="C171" s="20"/>
      <c r="D171" s="20"/>
      <c r="E171" s="20"/>
    </row>
    <row r="172" spans="2:5" ht="21.95" customHeight="1" x14ac:dyDescent="0.2">
      <c r="B172" s="20"/>
      <c r="C172" s="20"/>
      <c r="D172" s="20"/>
      <c r="E172" s="20"/>
    </row>
    <row r="173" spans="2:5" ht="21.95" customHeight="1" x14ac:dyDescent="0.2">
      <c r="B173" s="20"/>
      <c r="C173" s="20"/>
      <c r="D173" s="20"/>
      <c r="E173" s="20"/>
    </row>
    <row r="174" spans="2:5" ht="21.95" customHeight="1" x14ac:dyDescent="0.2">
      <c r="B174" s="20"/>
      <c r="C174" s="20"/>
      <c r="D174" s="20"/>
      <c r="E174" s="20"/>
    </row>
    <row r="175" spans="2:5" ht="21.95" customHeight="1" x14ac:dyDescent="0.2">
      <c r="B175" s="20"/>
      <c r="C175" s="20"/>
      <c r="D175" s="20"/>
      <c r="E175" s="20"/>
    </row>
    <row r="176" spans="2:5" ht="21.95" customHeight="1" x14ac:dyDescent="0.2">
      <c r="B176" s="20"/>
      <c r="C176" s="20"/>
      <c r="D176" s="20"/>
      <c r="E176" s="20"/>
    </row>
    <row r="177" spans="2:5" ht="21.95" customHeight="1" x14ac:dyDescent="0.2">
      <c r="B177" s="20"/>
      <c r="C177" s="20"/>
      <c r="D177" s="20"/>
      <c r="E177" s="20"/>
    </row>
    <row r="178" spans="2:5" x14ac:dyDescent="0.2">
      <c r="B178" s="20"/>
      <c r="C178" s="20"/>
      <c r="D178" s="20"/>
      <c r="E178" s="20"/>
    </row>
    <row r="179" spans="2:5" x14ac:dyDescent="0.2">
      <c r="B179" s="20"/>
      <c r="C179" s="20"/>
      <c r="D179" s="20"/>
      <c r="E179" s="20"/>
    </row>
    <row r="180" spans="2:5" x14ac:dyDescent="0.2">
      <c r="B180" s="20"/>
      <c r="C180" s="20"/>
      <c r="D180" s="20"/>
      <c r="E180" s="20"/>
    </row>
    <row r="181" spans="2:5" x14ac:dyDescent="0.2">
      <c r="B181" s="20"/>
      <c r="C181" s="20"/>
      <c r="D181" s="20"/>
      <c r="E181" s="20"/>
    </row>
    <row r="182" spans="2:5" x14ac:dyDescent="0.2">
      <c r="B182" s="20"/>
      <c r="C182" s="20"/>
      <c r="D182" s="20"/>
      <c r="E182" s="20"/>
    </row>
    <row r="183" spans="2:5" x14ac:dyDescent="0.2">
      <c r="B183" s="20"/>
      <c r="C183" s="20"/>
      <c r="D183" s="20"/>
      <c r="E183" s="20"/>
    </row>
    <row r="184" spans="2:5" x14ac:dyDescent="0.2">
      <c r="B184" s="20"/>
      <c r="C184" s="20"/>
      <c r="D184" s="20"/>
      <c r="E184" s="20"/>
    </row>
  </sheetData>
  <mergeCells count="107">
    <mergeCell ref="B35:T35"/>
    <mergeCell ref="B29:T29"/>
    <mergeCell ref="B31:T31"/>
    <mergeCell ref="B23:T23"/>
    <mergeCell ref="B25:T25"/>
    <mergeCell ref="B26:T26"/>
    <mergeCell ref="U35:Y35"/>
    <mergeCell ref="B33:T33"/>
    <mergeCell ref="AE24:AI24"/>
    <mergeCell ref="AE23:AI23"/>
    <mergeCell ref="AE26:AI26"/>
    <mergeCell ref="U33:Y33"/>
    <mergeCell ref="B32:T32"/>
    <mergeCell ref="U32:Y32"/>
    <mergeCell ref="B34:T34"/>
    <mergeCell ref="U25:Y25"/>
    <mergeCell ref="U26:Y26"/>
    <mergeCell ref="B27:T27"/>
    <mergeCell ref="U34:Y34"/>
    <mergeCell ref="AE32:AI32"/>
    <mergeCell ref="AE34:AI34"/>
    <mergeCell ref="AE33:AI33"/>
    <mergeCell ref="AE28:AI28"/>
    <mergeCell ref="B28:T28"/>
    <mergeCell ref="U31:Y31"/>
    <mergeCell ref="Z23:AD23"/>
    <mergeCell ref="AE31:AI31"/>
    <mergeCell ref="B24:T24"/>
    <mergeCell ref="U24:Y24"/>
    <mergeCell ref="U29:Y29"/>
    <mergeCell ref="B22:T22"/>
    <mergeCell ref="U22:Y22"/>
    <mergeCell ref="U27:Y27"/>
    <mergeCell ref="Z29:AD29"/>
    <mergeCell ref="Z22:AD22"/>
    <mergeCell ref="AE25:AI25"/>
    <mergeCell ref="AE27:AI27"/>
    <mergeCell ref="AE29:AI29"/>
    <mergeCell ref="AE22:AI22"/>
    <mergeCell ref="B30:T30"/>
    <mergeCell ref="Z30:AD30"/>
    <mergeCell ref="AE30:AI30"/>
    <mergeCell ref="AE12:AI12"/>
    <mergeCell ref="AE13:AI13"/>
    <mergeCell ref="Z12:AD12"/>
    <mergeCell ref="Z13:AD13"/>
    <mergeCell ref="AE17:AI17"/>
    <mergeCell ref="AE18:AI18"/>
    <mergeCell ref="AE15:AI15"/>
    <mergeCell ref="Z35:AD35"/>
    <mergeCell ref="AE35:AI35"/>
    <mergeCell ref="AE21:AI21"/>
    <mergeCell ref="Z21:AD21"/>
    <mergeCell ref="B1:AI2"/>
    <mergeCell ref="U9:Y10"/>
    <mergeCell ref="B6:AI6"/>
    <mergeCell ref="AE11:AI11"/>
    <mergeCell ref="B3:AI3"/>
    <mergeCell ref="B4:AI4"/>
    <mergeCell ref="U11:Y11"/>
    <mergeCell ref="B9:T9"/>
    <mergeCell ref="B11:T11"/>
    <mergeCell ref="G5:U5"/>
    <mergeCell ref="AE9:AI10"/>
    <mergeCell ref="Z9:AD10"/>
    <mergeCell ref="Z11:AD11"/>
    <mergeCell ref="A9:A10"/>
    <mergeCell ref="U12:Y12"/>
    <mergeCell ref="B18:T18"/>
    <mergeCell ref="U18:Y18"/>
    <mergeCell ref="U17:Y17"/>
    <mergeCell ref="B12:T12"/>
    <mergeCell ref="U23:Y23"/>
    <mergeCell ref="B14:T14"/>
    <mergeCell ref="U14:Y14"/>
    <mergeCell ref="B20:T20"/>
    <mergeCell ref="B19:T19"/>
    <mergeCell ref="B17:T17"/>
    <mergeCell ref="B13:T13"/>
    <mergeCell ref="U13:Y13"/>
    <mergeCell ref="B15:T15"/>
    <mergeCell ref="B16:T16"/>
    <mergeCell ref="U16:Y16"/>
    <mergeCell ref="U19:Y19"/>
    <mergeCell ref="U20:Y20"/>
    <mergeCell ref="U21:Y21"/>
    <mergeCell ref="B21:T21"/>
    <mergeCell ref="AE16:AI16"/>
    <mergeCell ref="AE14:AI14"/>
    <mergeCell ref="Z19:AD19"/>
    <mergeCell ref="Z32:AD32"/>
    <mergeCell ref="Z33:AD33"/>
    <mergeCell ref="Z34:AD34"/>
    <mergeCell ref="Z24:AD24"/>
    <mergeCell ref="Z25:AD25"/>
    <mergeCell ref="Z26:AD26"/>
    <mergeCell ref="Z27:AD27"/>
    <mergeCell ref="Z31:AD31"/>
    <mergeCell ref="Z14:AD14"/>
    <mergeCell ref="Z15:AD15"/>
    <mergeCell ref="Z16:AD16"/>
    <mergeCell ref="Z28:AD28"/>
    <mergeCell ref="Z18:AD18"/>
    <mergeCell ref="Z17:AD17"/>
    <mergeCell ref="AE19:AI19"/>
    <mergeCell ref="Z20:AD20"/>
    <mergeCell ref="AE20:AI20"/>
  </mergeCells>
  <phoneticPr fontId="0" type="noConversion"/>
  <printOptions horizontalCentered="1"/>
  <pageMargins left="0.17" right="0.19685039370078741" top="0.59055118110236227" bottom="0.59055118110236227" header="0.5" footer="0.5"/>
  <pageSetup paperSize="9" scale="82" fitToHeight="0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view="pageBreakPreview" zoomScale="60" zoomScaleNormal="100" workbookViewId="0">
      <selection activeCell="I20" sqref="I20"/>
    </sheetView>
  </sheetViews>
  <sheetFormatPr defaultRowHeight="12.75" x14ac:dyDescent="0.2"/>
  <cols>
    <col min="1" max="1" width="52" style="25" customWidth="1"/>
    <col min="2" max="2" width="13.42578125" style="26" customWidth="1"/>
    <col min="3" max="3" width="14" style="26" customWidth="1"/>
    <col min="4" max="4" width="15.42578125" style="26" customWidth="1"/>
    <col min="5" max="5" width="14.28515625" style="339" customWidth="1"/>
    <col min="6" max="6" width="15.28515625" style="339" customWidth="1"/>
    <col min="7" max="7" width="17.140625" style="347" customWidth="1"/>
    <col min="8" max="11" width="15.42578125" style="347" customWidth="1"/>
    <col min="12" max="13" width="12.42578125" style="347" customWidth="1"/>
    <col min="14" max="14" width="12.5703125" bestFit="1" customWidth="1"/>
    <col min="15" max="16" width="13.7109375" style="254" bestFit="1" customWidth="1"/>
    <col min="17" max="17" width="12.5703125" bestFit="1" customWidth="1"/>
    <col min="18" max="19" width="11" bestFit="1" customWidth="1"/>
  </cols>
  <sheetData>
    <row r="1" spans="1:14" ht="18.75" x14ac:dyDescent="0.2">
      <c r="A1" s="551" t="s">
        <v>465</v>
      </c>
      <c r="B1" s="551"/>
      <c r="C1" s="551"/>
      <c r="D1" s="551"/>
      <c r="E1" s="551"/>
    </row>
    <row r="2" spans="1:14" ht="18.75" x14ac:dyDescent="0.2">
      <c r="A2" s="551" t="s">
        <v>190</v>
      </c>
      <c r="B2" s="552"/>
      <c r="C2" s="552"/>
      <c r="D2" s="552"/>
      <c r="E2" s="552"/>
      <c r="F2" s="339" t="s">
        <v>267</v>
      </c>
    </row>
    <row r="4" spans="1:14" ht="18.75" x14ac:dyDescent="0.2">
      <c r="A4" s="551" t="s">
        <v>168</v>
      </c>
      <c r="B4" s="552"/>
      <c r="C4" s="552"/>
      <c r="D4" s="552"/>
      <c r="E4" s="552"/>
      <c r="F4" s="348" t="s">
        <v>187</v>
      </c>
    </row>
    <row r="5" spans="1:14" ht="19.5" thickBot="1" x14ac:dyDescent="0.25">
      <c r="A5" s="137"/>
      <c r="B5" s="138"/>
      <c r="C5" s="138"/>
      <c r="D5" s="138"/>
      <c r="E5" s="340"/>
      <c r="F5" s="349"/>
    </row>
    <row r="6" spans="1:14" ht="36.75" thickBot="1" x14ac:dyDescent="0.25">
      <c r="A6" s="103" t="s">
        <v>95</v>
      </c>
      <c r="B6" s="104" t="s">
        <v>96</v>
      </c>
      <c r="C6" s="104" t="s">
        <v>97</v>
      </c>
      <c r="D6" s="104" t="s">
        <v>231</v>
      </c>
      <c r="E6" s="341" t="s">
        <v>377</v>
      </c>
      <c r="F6" s="341" t="s">
        <v>378</v>
      </c>
      <c r="G6" s="358" t="s">
        <v>379</v>
      </c>
      <c r="H6" s="351"/>
      <c r="I6" s="351"/>
      <c r="J6" s="351"/>
      <c r="K6" s="351"/>
      <c r="L6" s="351"/>
      <c r="M6" s="351"/>
    </row>
    <row r="7" spans="1:14" ht="13.5" thickBot="1" x14ac:dyDescent="0.25">
      <c r="A7" s="369">
        <v>1</v>
      </c>
      <c r="B7" s="370">
        <v>2</v>
      </c>
      <c r="C7" s="370">
        <v>3</v>
      </c>
      <c r="D7" s="370">
        <v>4</v>
      </c>
      <c r="E7" s="371">
        <v>5</v>
      </c>
      <c r="F7" s="372">
        <v>6</v>
      </c>
      <c r="G7" s="373"/>
      <c r="H7" s="375"/>
      <c r="I7" s="375"/>
      <c r="J7" s="375"/>
      <c r="K7" s="375"/>
    </row>
    <row r="8" spans="1:14" ht="20.25" customHeight="1" x14ac:dyDescent="0.2">
      <c r="A8" s="364" t="s">
        <v>98</v>
      </c>
      <c r="B8" s="365"/>
      <c r="C8" s="366"/>
      <c r="D8" s="365"/>
      <c r="E8" s="367">
        <f>SUM(E9:E15)</f>
        <v>1000000</v>
      </c>
      <c r="F8" s="367">
        <f>SUM(F9:F15)</f>
        <v>1787980</v>
      </c>
      <c r="G8" s="368">
        <f>SUM(G9:G11)</f>
        <v>1761458</v>
      </c>
      <c r="H8" s="376"/>
      <c r="I8" s="376"/>
      <c r="J8" s="376"/>
      <c r="K8" s="376"/>
    </row>
    <row r="9" spans="1:14" ht="20.25" customHeight="1" x14ac:dyDescent="0.2">
      <c r="A9" s="108" t="s">
        <v>230</v>
      </c>
      <c r="B9" s="106"/>
      <c r="C9" s="107"/>
      <c r="D9" s="106"/>
      <c r="E9" s="343">
        <v>1000000</v>
      </c>
      <c r="F9" s="343">
        <f>521066+26522</f>
        <v>547588</v>
      </c>
      <c r="G9" s="359">
        <f>451214+69852</f>
        <v>521066</v>
      </c>
      <c r="H9" s="375"/>
      <c r="I9" s="375"/>
      <c r="J9" s="375"/>
      <c r="K9" s="375"/>
      <c r="L9" s="347">
        <v>451214</v>
      </c>
      <c r="M9" s="347">
        <v>69852</v>
      </c>
      <c r="N9" s="338">
        <f>L9+M9</f>
        <v>521066</v>
      </c>
    </row>
    <row r="10" spans="1:14" ht="20.25" customHeight="1" x14ac:dyDescent="0.2">
      <c r="A10" s="108" t="s">
        <v>446</v>
      </c>
      <c r="B10" s="106"/>
      <c r="C10" s="107"/>
      <c r="D10" s="106"/>
      <c r="E10" s="343"/>
      <c r="F10" s="343">
        <f>11000+810+810+21001+77781+128000</f>
        <v>239402</v>
      </c>
      <c r="G10" s="359">
        <f>11000+77781+128000+22621</f>
        <v>239402</v>
      </c>
      <c r="H10" s="375"/>
      <c r="I10" s="375"/>
      <c r="J10" s="375"/>
      <c r="K10" s="375"/>
      <c r="L10" s="347">
        <f>11000+77781+128000</f>
        <v>216781</v>
      </c>
      <c r="M10" s="347">
        <f>810+21001+810</f>
        <v>22621</v>
      </c>
      <c r="N10" s="338">
        <f t="shared" ref="N10:N11" si="0">L10+M10</f>
        <v>239402</v>
      </c>
    </row>
    <row r="11" spans="1:14" ht="20.25" customHeight="1" x14ac:dyDescent="0.2">
      <c r="A11" s="108" t="s">
        <v>445</v>
      </c>
      <c r="B11" s="106"/>
      <c r="C11" s="107"/>
      <c r="D11" s="106"/>
      <c r="E11" s="343"/>
      <c r="F11" s="343">
        <f>257000+483000+191600+69390</f>
        <v>1000990</v>
      </c>
      <c r="G11" s="374">
        <f>257000+483000+191600+69390</f>
        <v>1000990</v>
      </c>
      <c r="H11" s="377"/>
      <c r="I11" s="377"/>
      <c r="J11" s="377"/>
      <c r="K11" s="377"/>
      <c r="L11" s="347">
        <f>257000+483000+191600</f>
        <v>931600</v>
      </c>
      <c r="M11" s="347">
        <v>69390</v>
      </c>
      <c r="N11" s="338">
        <f t="shared" si="0"/>
        <v>1000990</v>
      </c>
    </row>
    <row r="12" spans="1:14" ht="20.25" customHeight="1" x14ac:dyDescent="0.2">
      <c r="A12" s="108"/>
      <c r="B12" s="106"/>
      <c r="C12" s="107"/>
      <c r="D12" s="106"/>
      <c r="E12" s="343"/>
      <c r="F12" s="343"/>
      <c r="G12" s="359"/>
      <c r="H12" s="375"/>
      <c r="I12" s="375"/>
      <c r="J12" s="375"/>
      <c r="K12" s="375"/>
      <c r="L12" s="347">
        <f>SUM(L9:L11)</f>
        <v>1599595</v>
      </c>
      <c r="M12" s="347">
        <f>SUM(M9:M11)</f>
        <v>161863</v>
      </c>
      <c r="N12" s="347">
        <f>SUM(N9:N11)</f>
        <v>1761458</v>
      </c>
    </row>
    <row r="13" spans="1:14" ht="20.25" customHeight="1" x14ac:dyDescent="0.2">
      <c r="A13" s="108"/>
      <c r="B13" s="106"/>
      <c r="C13" s="107"/>
      <c r="D13" s="106"/>
      <c r="E13" s="343"/>
      <c r="F13" s="343"/>
      <c r="G13" s="359"/>
      <c r="H13" s="375"/>
      <c r="I13" s="375"/>
      <c r="J13" s="375"/>
      <c r="K13" s="375"/>
    </row>
    <row r="14" spans="1:14" ht="20.25" customHeight="1" x14ac:dyDescent="0.2">
      <c r="A14" s="108"/>
      <c r="B14" s="106"/>
      <c r="C14" s="107"/>
      <c r="D14" s="106"/>
      <c r="E14" s="343"/>
      <c r="F14" s="343"/>
      <c r="G14" s="359"/>
      <c r="H14" s="375"/>
      <c r="I14" s="375"/>
      <c r="J14" s="375"/>
      <c r="K14" s="375"/>
    </row>
    <row r="15" spans="1:14" ht="20.25" customHeight="1" x14ac:dyDescent="0.2">
      <c r="A15" s="108"/>
      <c r="B15" s="106"/>
      <c r="C15" s="107"/>
      <c r="D15" s="106"/>
      <c r="E15" s="343"/>
      <c r="F15" s="357">
        <f>B15-D15-E15</f>
        <v>0</v>
      </c>
      <c r="G15" s="359"/>
      <c r="H15" s="375"/>
      <c r="I15" s="375"/>
      <c r="J15" s="375"/>
      <c r="K15" s="375"/>
    </row>
    <row r="16" spans="1:14" ht="20.25" customHeight="1" x14ac:dyDescent="0.2">
      <c r="A16" s="105" t="s">
        <v>99</v>
      </c>
      <c r="B16" s="106"/>
      <c r="C16" s="107"/>
      <c r="D16" s="106"/>
      <c r="E16" s="342">
        <f>SUM(E17:E22)</f>
        <v>5103000</v>
      </c>
      <c r="F16" s="342">
        <f>SUM(F17:F101)</f>
        <v>11424790.85</v>
      </c>
      <c r="G16" s="360">
        <f>SUM(G17:G101)</f>
        <v>8608476</v>
      </c>
      <c r="H16" s="378"/>
      <c r="I16" s="378"/>
      <c r="J16" s="378"/>
      <c r="K16" s="378"/>
    </row>
    <row r="17" spans="1:19" ht="20.25" customHeight="1" x14ac:dyDescent="0.2">
      <c r="A17" s="108" t="s">
        <v>232</v>
      </c>
      <c r="B17" s="106"/>
      <c r="C17" s="114"/>
      <c r="D17" s="106"/>
      <c r="E17" s="343">
        <v>1000000</v>
      </c>
      <c r="F17" s="343">
        <v>978279</v>
      </c>
      <c r="G17" s="359"/>
      <c r="H17" s="375"/>
      <c r="I17" s="375"/>
      <c r="J17" s="375"/>
      <c r="K17" s="375"/>
      <c r="O17" s="254">
        <v>787400</v>
      </c>
      <c r="P17" s="254">
        <f>O17*0.27</f>
        <v>212598</v>
      </c>
      <c r="Q17" s="338">
        <f>SUM(O17:P17)</f>
        <v>999998</v>
      </c>
    </row>
    <row r="18" spans="1:19" ht="20.25" customHeight="1" x14ac:dyDescent="0.2">
      <c r="A18" s="108" t="s">
        <v>235</v>
      </c>
      <c r="B18" s="106"/>
      <c r="C18" s="107"/>
      <c r="D18" s="106"/>
      <c r="E18" s="343">
        <v>500000</v>
      </c>
      <c r="F18" s="343"/>
      <c r="G18" s="359"/>
      <c r="H18" s="375"/>
      <c r="I18" s="375"/>
      <c r="J18" s="375"/>
      <c r="K18" s="375"/>
      <c r="Q18" s="338"/>
    </row>
    <row r="19" spans="1:19" ht="20.25" customHeight="1" x14ac:dyDescent="0.2">
      <c r="A19" s="109" t="s">
        <v>233</v>
      </c>
      <c r="B19" s="106"/>
      <c r="C19" s="107"/>
      <c r="D19" s="106"/>
      <c r="E19" s="343">
        <v>673000</v>
      </c>
      <c r="F19" s="343"/>
      <c r="G19" s="359"/>
      <c r="H19" s="375"/>
      <c r="I19" s="375"/>
      <c r="J19" s="375"/>
      <c r="K19" s="375"/>
      <c r="Q19" s="338"/>
    </row>
    <row r="20" spans="1:19" ht="20.25" customHeight="1" x14ac:dyDescent="0.2">
      <c r="A20" s="109" t="s">
        <v>234</v>
      </c>
      <c r="B20" s="106"/>
      <c r="C20" s="107"/>
      <c r="D20" s="106"/>
      <c r="E20" s="343">
        <v>600000</v>
      </c>
      <c r="F20" s="343"/>
      <c r="G20" s="359"/>
      <c r="H20" s="375"/>
      <c r="I20" s="375"/>
      <c r="J20" s="375"/>
      <c r="K20" s="375"/>
      <c r="Q20" s="338"/>
    </row>
    <row r="21" spans="1:19" ht="20.25" customHeight="1" x14ac:dyDescent="0.2">
      <c r="A21" s="109" t="s">
        <v>238</v>
      </c>
      <c r="B21" s="106"/>
      <c r="C21" s="107"/>
      <c r="D21" s="106"/>
      <c r="E21" s="343">
        <v>1800000</v>
      </c>
      <c r="F21" s="343"/>
      <c r="G21" s="359"/>
      <c r="H21" s="375"/>
      <c r="I21" s="375"/>
      <c r="J21" s="375"/>
      <c r="K21" s="375"/>
      <c r="Q21" s="338"/>
    </row>
    <row r="22" spans="1:19" ht="20.25" customHeight="1" x14ac:dyDescent="0.2">
      <c r="A22" s="109" t="s">
        <v>239</v>
      </c>
      <c r="B22" s="106"/>
      <c r="C22" s="107"/>
      <c r="D22" s="106"/>
      <c r="E22" s="343">
        <v>530000</v>
      </c>
      <c r="F22" s="343"/>
      <c r="G22" s="359"/>
      <c r="H22" s="375"/>
      <c r="I22" s="375"/>
      <c r="J22" s="375"/>
      <c r="K22" s="375"/>
      <c r="Q22" s="338"/>
    </row>
    <row r="23" spans="1:19" ht="20.25" customHeight="1" x14ac:dyDescent="0.2">
      <c r="A23" s="356" t="s">
        <v>381</v>
      </c>
      <c r="B23" s="106"/>
      <c r="C23" s="107"/>
      <c r="D23" s="106"/>
      <c r="E23" s="343"/>
      <c r="F23" s="357"/>
      <c r="G23" s="359"/>
      <c r="H23" s="375"/>
      <c r="I23" s="375"/>
      <c r="J23" s="375"/>
      <c r="K23" s="375"/>
      <c r="P23" s="254">
        <f>SUM(P18:P22)</f>
        <v>0</v>
      </c>
    </row>
    <row r="24" spans="1:19" ht="20.25" customHeight="1" x14ac:dyDescent="0.2">
      <c r="A24" s="109" t="s">
        <v>369</v>
      </c>
      <c r="B24" s="106"/>
      <c r="C24" s="107"/>
      <c r="D24" s="106"/>
      <c r="E24" s="343"/>
      <c r="F24" s="343">
        <f>75000*1.27</f>
        <v>95250</v>
      </c>
      <c r="G24" s="361">
        <v>95250</v>
      </c>
      <c r="H24" s="379"/>
      <c r="I24" s="379"/>
      <c r="J24" s="379"/>
      <c r="K24" s="379"/>
      <c r="L24" s="350">
        <f>G24/1.27</f>
        <v>75000</v>
      </c>
      <c r="M24" s="350">
        <f>G24-L24</f>
        <v>20250</v>
      </c>
      <c r="O24" s="254">
        <v>75000</v>
      </c>
      <c r="P24" s="254">
        <f>O24*0.27</f>
        <v>20250</v>
      </c>
      <c r="Q24" s="338">
        <f>SUM(O24:P24)</f>
        <v>95250</v>
      </c>
    </row>
    <row r="25" spans="1:19" ht="20.25" customHeight="1" x14ac:dyDescent="0.2">
      <c r="A25" s="109" t="s">
        <v>370</v>
      </c>
      <c r="B25" s="106"/>
      <c r="C25" s="107"/>
      <c r="D25" s="106"/>
      <c r="E25" s="343"/>
      <c r="F25" s="343">
        <f>250000*1.27</f>
        <v>317500</v>
      </c>
      <c r="G25" s="359">
        <v>317500</v>
      </c>
      <c r="H25" s="375"/>
      <c r="I25" s="375"/>
      <c r="J25" s="375"/>
      <c r="K25" s="375"/>
      <c r="L25" s="350">
        <f t="shared" ref="L25:L32" si="1">G25/1.27</f>
        <v>250000</v>
      </c>
      <c r="M25" s="350">
        <f t="shared" ref="M25:M32" si="2">G25-L25</f>
        <v>67500</v>
      </c>
      <c r="O25" s="254">
        <v>250000</v>
      </c>
      <c r="P25" s="254">
        <f t="shared" ref="P25:P39" si="3">O25*0.27</f>
        <v>67500</v>
      </c>
      <c r="Q25" s="338">
        <f t="shared" ref="Q25:Q39" si="4">SUM(O25:P25)</f>
        <v>317500</v>
      </c>
    </row>
    <row r="26" spans="1:19" ht="20.25" customHeight="1" x14ac:dyDescent="0.2">
      <c r="A26" s="109" t="s">
        <v>371</v>
      </c>
      <c r="B26" s="106"/>
      <c r="C26" s="107"/>
      <c r="D26" s="106"/>
      <c r="E26" s="343"/>
      <c r="F26" s="343">
        <f>189077*1.27</f>
        <v>240127.79</v>
      </c>
      <c r="G26" s="359">
        <v>240128</v>
      </c>
      <c r="H26" s="375"/>
      <c r="I26" s="375"/>
      <c r="J26" s="375"/>
      <c r="K26" s="375"/>
      <c r="L26" s="350">
        <f t="shared" si="1"/>
        <v>189077.1653543307</v>
      </c>
      <c r="M26" s="350">
        <f t="shared" si="2"/>
        <v>51050.834645669296</v>
      </c>
      <c r="O26" s="254">
        <v>189077</v>
      </c>
      <c r="P26" s="254">
        <f t="shared" si="3"/>
        <v>51050.79</v>
      </c>
      <c r="Q26" s="338">
        <f t="shared" si="4"/>
        <v>240127.79</v>
      </c>
    </row>
    <row r="27" spans="1:19" ht="20.25" customHeight="1" x14ac:dyDescent="0.2">
      <c r="A27" s="109" t="s">
        <v>372</v>
      </c>
      <c r="B27" s="106"/>
      <c r="C27" s="107"/>
      <c r="D27" s="106"/>
      <c r="E27" s="343"/>
      <c r="F27" s="343">
        <f>82110*1.27</f>
        <v>104279.7</v>
      </c>
      <c r="G27" s="359">
        <v>104280</v>
      </c>
      <c r="H27" s="375"/>
      <c r="I27" s="375"/>
      <c r="J27" s="375"/>
      <c r="K27" s="375"/>
      <c r="L27" s="350">
        <f t="shared" si="1"/>
        <v>82110.236220472434</v>
      </c>
      <c r="M27" s="350">
        <f t="shared" si="2"/>
        <v>22169.763779527566</v>
      </c>
      <c r="O27" s="254">
        <v>82110</v>
      </c>
      <c r="P27" s="254">
        <f t="shared" si="3"/>
        <v>22169.7</v>
      </c>
      <c r="Q27" s="338">
        <f t="shared" si="4"/>
        <v>104279.7</v>
      </c>
      <c r="R27" s="338">
        <f>SUM(Q24:Q26)</f>
        <v>652877.79</v>
      </c>
      <c r="S27" s="338"/>
    </row>
    <row r="28" spans="1:19" ht="20.25" customHeight="1" x14ac:dyDescent="0.2">
      <c r="A28" s="109" t="s">
        <v>373</v>
      </c>
      <c r="B28" s="106"/>
      <c r="C28" s="107"/>
      <c r="D28" s="106"/>
      <c r="E28" s="343"/>
      <c r="F28" s="343">
        <f>1234964*1.27</f>
        <v>1568404.28</v>
      </c>
      <c r="G28" s="359">
        <v>1224318</v>
      </c>
      <c r="H28" s="375"/>
      <c r="I28" s="375"/>
      <c r="J28" s="375"/>
      <c r="K28" s="375"/>
      <c r="L28" s="350">
        <f t="shared" si="1"/>
        <v>964029.92125984246</v>
      </c>
      <c r="M28" s="350">
        <f t="shared" si="2"/>
        <v>260288.07874015754</v>
      </c>
      <c r="O28" s="254">
        <v>1234964</v>
      </c>
      <c r="P28" s="254">
        <f t="shared" si="3"/>
        <v>333440.28000000003</v>
      </c>
      <c r="Q28" s="338">
        <f t="shared" si="4"/>
        <v>1568404.28</v>
      </c>
    </row>
    <row r="29" spans="1:19" ht="20.25" customHeight="1" x14ac:dyDescent="0.2">
      <c r="A29" s="109" t="s">
        <v>374</v>
      </c>
      <c r="B29" s="106"/>
      <c r="C29" s="107"/>
      <c r="D29" s="106"/>
      <c r="E29" s="343"/>
      <c r="F29" s="343">
        <f>300000*1.27</f>
        <v>381000</v>
      </c>
      <c r="G29" s="359">
        <v>381000</v>
      </c>
      <c r="H29" s="375"/>
      <c r="I29" s="375"/>
      <c r="J29" s="375"/>
      <c r="K29" s="375"/>
      <c r="L29" s="350">
        <f t="shared" si="1"/>
        <v>300000</v>
      </c>
      <c r="M29" s="350">
        <f t="shared" si="2"/>
        <v>81000</v>
      </c>
      <c r="O29" s="254">
        <v>300000</v>
      </c>
      <c r="P29" s="254">
        <f t="shared" si="3"/>
        <v>81000</v>
      </c>
      <c r="Q29" s="338">
        <f t="shared" si="4"/>
        <v>381000</v>
      </c>
    </row>
    <row r="30" spans="1:19" ht="20.25" customHeight="1" x14ac:dyDescent="0.2">
      <c r="A30" s="109" t="s">
        <v>375</v>
      </c>
      <c r="B30" s="106"/>
      <c r="C30" s="107"/>
      <c r="D30" s="106"/>
      <c r="E30" s="343"/>
      <c r="F30" s="343">
        <f>425000+114750</f>
        <v>539750</v>
      </c>
      <c r="G30" s="359">
        <v>381000</v>
      </c>
      <c r="H30" s="375"/>
      <c r="I30" s="375"/>
      <c r="J30" s="375"/>
      <c r="K30" s="375"/>
      <c r="L30" s="350">
        <f t="shared" si="1"/>
        <v>300000</v>
      </c>
      <c r="M30" s="350">
        <f t="shared" si="2"/>
        <v>81000</v>
      </c>
      <c r="O30" s="254">
        <v>425000</v>
      </c>
      <c r="P30" s="254">
        <f t="shared" si="3"/>
        <v>114750.00000000001</v>
      </c>
      <c r="Q30" s="338">
        <f t="shared" si="4"/>
        <v>539750</v>
      </c>
    </row>
    <row r="31" spans="1:19" ht="20.25" customHeight="1" x14ac:dyDescent="0.2">
      <c r="A31" s="109" t="s">
        <v>376</v>
      </c>
      <c r="B31" s="106"/>
      <c r="C31" s="107"/>
      <c r="D31" s="106"/>
      <c r="E31" s="343"/>
      <c r="F31" s="343">
        <f>250000*1.27</f>
        <v>317500</v>
      </c>
      <c r="G31" s="359">
        <v>317500</v>
      </c>
      <c r="H31" s="375"/>
      <c r="I31" s="375"/>
      <c r="J31" s="375"/>
      <c r="K31" s="375"/>
      <c r="L31" s="350">
        <f t="shared" si="1"/>
        <v>250000</v>
      </c>
      <c r="M31" s="350">
        <f t="shared" si="2"/>
        <v>67500</v>
      </c>
      <c r="O31" s="254">
        <v>250000</v>
      </c>
      <c r="P31" s="254">
        <f t="shared" si="3"/>
        <v>67500</v>
      </c>
      <c r="Q31" s="338">
        <f t="shared" si="4"/>
        <v>317500</v>
      </c>
    </row>
    <row r="32" spans="1:19" ht="20.25" customHeight="1" x14ac:dyDescent="0.2">
      <c r="A32" s="109" t="s">
        <v>380</v>
      </c>
      <c r="B32" s="106"/>
      <c r="C32" s="107"/>
      <c r="D32" s="106"/>
      <c r="E32" s="343"/>
      <c r="F32" s="357">
        <v>63500</v>
      </c>
      <c r="G32" s="359">
        <v>63500</v>
      </c>
      <c r="H32" s="375"/>
      <c r="I32" s="375"/>
      <c r="J32" s="375"/>
      <c r="K32" s="375"/>
      <c r="L32" s="350">
        <f t="shared" si="1"/>
        <v>50000</v>
      </c>
      <c r="M32" s="350">
        <f t="shared" si="2"/>
        <v>13500</v>
      </c>
      <c r="O32" s="254">
        <v>50000</v>
      </c>
      <c r="P32" s="254">
        <f t="shared" si="3"/>
        <v>13500</v>
      </c>
      <c r="Q32" s="338">
        <f t="shared" si="4"/>
        <v>63500</v>
      </c>
    </row>
    <row r="33" spans="1:17" ht="20.25" customHeight="1" x14ac:dyDescent="0.2">
      <c r="A33" s="356" t="s">
        <v>382</v>
      </c>
      <c r="B33" s="106"/>
      <c r="C33" s="107"/>
      <c r="D33" s="106"/>
      <c r="E33" s="343"/>
      <c r="F33" s="357"/>
      <c r="G33" s="359"/>
      <c r="H33" s="375"/>
      <c r="I33" s="375"/>
      <c r="J33" s="375"/>
      <c r="K33" s="375"/>
      <c r="L33" s="352">
        <f>SUM(L24:L32)</f>
        <v>2460217.3228346454</v>
      </c>
      <c r="O33" s="354">
        <f>SUM(O24:O32)</f>
        <v>2856151</v>
      </c>
      <c r="P33" s="254">
        <f t="shared" si="3"/>
        <v>771160.77</v>
      </c>
      <c r="Q33" s="338">
        <f t="shared" si="4"/>
        <v>3627311.77</v>
      </c>
    </row>
    <row r="34" spans="1:17" ht="20.25" customHeight="1" x14ac:dyDescent="0.2">
      <c r="A34" s="109" t="s">
        <v>383</v>
      </c>
      <c r="B34" s="106"/>
      <c r="C34" s="107"/>
      <c r="D34" s="106"/>
      <c r="E34" s="343"/>
      <c r="F34" s="357">
        <f>245669*1.27</f>
        <v>311999.63</v>
      </c>
      <c r="G34" s="359"/>
      <c r="H34" s="375"/>
      <c r="I34" s="375"/>
      <c r="J34" s="375"/>
      <c r="K34" s="375"/>
      <c r="O34" s="254">
        <v>245669</v>
      </c>
      <c r="P34" s="254">
        <f t="shared" si="3"/>
        <v>66330.63</v>
      </c>
      <c r="Q34" s="338">
        <f t="shared" si="4"/>
        <v>311999.63</v>
      </c>
    </row>
    <row r="35" spans="1:17" ht="20.25" customHeight="1" x14ac:dyDescent="0.2">
      <c r="A35" s="109" t="s">
        <v>383</v>
      </c>
      <c r="B35" s="106"/>
      <c r="C35" s="107"/>
      <c r="D35" s="106"/>
      <c r="E35" s="343"/>
      <c r="F35" s="357">
        <f>245669*1.27</f>
        <v>311999.63</v>
      </c>
      <c r="G35" s="359"/>
      <c r="H35" s="375"/>
      <c r="I35" s="375"/>
      <c r="J35" s="375"/>
      <c r="K35" s="375"/>
      <c r="O35" s="254">
        <v>245669</v>
      </c>
      <c r="P35" s="254">
        <f t="shared" si="3"/>
        <v>66330.63</v>
      </c>
      <c r="Q35" s="338">
        <f t="shared" si="4"/>
        <v>311999.63</v>
      </c>
    </row>
    <row r="36" spans="1:17" ht="20.25" customHeight="1" x14ac:dyDescent="0.2">
      <c r="A36" s="109" t="s">
        <v>384</v>
      </c>
      <c r="B36" s="106"/>
      <c r="C36" s="107"/>
      <c r="D36" s="106"/>
      <c r="E36" s="343"/>
      <c r="F36" s="357">
        <v>265600</v>
      </c>
      <c r="G36" s="359">
        <v>265600</v>
      </c>
      <c r="H36" s="375"/>
      <c r="I36" s="375"/>
      <c r="J36" s="375"/>
      <c r="K36" s="375"/>
      <c r="L36" s="350">
        <v>265600</v>
      </c>
      <c r="M36" s="350">
        <f t="shared" ref="M36:M39" si="5">G36-L36</f>
        <v>0</v>
      </c>
      <c r="O36" s="254">
        <v>265600</v>
      </c>
      <c r="Q36" s="338">
        <f t="shared" si="4"/>
        <v>265600</v>
      </c>
    </row>
    <row r="37" spans="1:17" ht="20.25" customHeight="1" x14ac:dyDescent="0.2">
      <c r="A37" s="109" t="s">
        <v>385</v>
      </c>
      <c r="B37" s="106"/>
      <c r="C37" s="107"/>
      <c r="D37" s="106"/>
      <c r="E37" s="343"/>
      <c r="F37" s="357">
        <f>280000*1.27</f>
        <v>355600</v>
      </c>
      <c r="G37" s="359"/>
      <c r="H37" s="375"/>
      <c r="I37" s="375"/>
      <c r="J37" s="375"/>
      <c r="K37" s="375"/>
      <c r="L37" s="350">
        <f t="shared" ref="L37:L39" si="6">G37/1.27</f>
        <v>0</v>
      </c>
      <c r="M37" s="350">
        <f t="shared" si="5"/>
        <v>0</v>
      </c>
      <c r="O37" s="254">
        <v>280000</v>
      </c>
      <c r="P37" s="254">
        <f t="shared" si="3"/>
        <v>75600</v>
      </c>
      <c r="Q37" s="338">
        <f t="shared" si="4"/>
        <v>355600</v>
      </c>
    </row>
    <row r="38" spans="1:17" ht="20.25" customHeight="1" x14ac:dyDescent="0.2">
      <c r="A38" s="109" t="s">
        <v>385</v>
      </c>
      <c r="B38" s="106"/>
      <c r="C38" s="107"/>
      <c r="D38" s="106"/>
      <c r="E38" s="343"/>
      <c r="F38" s="357">
        <v>355600</v>
      </c>
      <c r="G38" s="359"/>
      <c r="H38" s="375"/>
      <c r="I38" s="375"/>
      <c r="J38" s="375"/>
      <c r="K38" s="375"/>
      <c r="L38" s="350">
        <f t="shared" si="6"/>
        <v>0</v>
      </c>
      <c r="M38" s="350">
        <f t="shared" si="5"/>
        <v>0</v>
      </c>
      <c r="O38" s="254">
        <v>280000</v>
      </c>
      <c r="P38" s="254">
        <f t="shared" si="3"/>
        <v>75600</v>
      </c>
      <c r="Q38" s="338">
        <f t="shared" si="4"/>
        <v>355600</v>
      </c>
    </row>
    <row r="39" spans="1:17" ht="20.25" customHeight="1" x14ac:dyDescent="0.2">
      <c r="A39" s="109" t="s">
        <v>386</v>
      </c>
      <c r="B39" s="106"/>
      <c r="C39" s="107"/>
      <c r="D39" s="106"/>
      <c r="E39" s="343"/>
      <c r="F39" s="357">
        <f>77598*1.27</f>
        <v>98549.46</v>
      </c>
      <c r="G39" s="359">
        <v>98549</v>
      </c>
      <c r="H39" s="375"/>
      <c r="I39" s="375"/>
      <c r="J39" s="375"/>
      <c r="K39" s="375"/>
      <c r="L39" s="350">
        <f t="shared" si="6"/>
        <v>77597.637795275587</v>
      </c>
      <c r="M39" s="350">
        <f t="shared" si="5"/>
        <v>20951.362204724413</v>
      </c>
      <c r="O39" s="254">
        <v>77598</v>
      </c>
      <c r="P39" s="254">
        <f t="shared" si="3"/>
        <v>20951.460000000003</v>
      </c>
      <c r="Q39" s="338">
        <f t="shared" si="4"/>
        <v>98549.46</v>
      </c>
    </row>
    <row r="40" spans="1:17" ht="20.25" customHeight="1" x14ac:dyDescent="0.2">
      <c r="A40" s="109"/>
      <c r="B40" s="106"/>
      <c r="C40" s="107"/>
      <c r="D40" s="106"/>
      <c r="E40" s="343"/>
      <c r="F40" s="357"/>
      <c r="G40" s="359"/>
      <c r="H40" s="375"/>
      <c r="I40" s="375"/>
      <c r="J40" s="375"/>
      <c r="K40" s="375"/>
      <c r="L40" s="352">
        <f>SUM(L34:L39)</f>
        <v>343197.6377952756</v>
      </c>
      <c r="O40" s="354">
        <f>SUM(O34:O39)</f>
        <v>1394536</v>
      </c>
      <c r="Q40" s="338"/>
    </row>
    <row r="41" spans="1:17" ht="20.25" customHeight="1" x14ac:dyDescent="0.2">
      <c r="A41" s="356" t="s">
        <v>387</v>
      </c>
      <c r="B41" s="106"/>
      <c r="C41" s="107"/>
      <c r="D41" s="106"/>
      <c r="E41" s="343"/>
      <c r="F41" s="357"/>
      <c r="G41" s="359"/>
      <c r="H41" s="375"/>
      <c r="I41" s="375"/>
      <c r="J41" s="375"/>
      <c r="K41" s="375"/>
      <c r="L41" s="347">
        <f>L40+L33</f>
        <v>2803414.9606299209</v>
      </c>
      <c r="Q41" s="338"/>
    </row>
    <row r="42" spans="1:17" ht="20.25" customHeight="1" x14ac:dyDescent="0.2">
      <c r="A42" s="109" t="s">
        <v>388</v>
      </c>
      <c r="B42" s="106"/>
      <c r="C42" s="107"/>
      <c r="D42" s="106"/>
      <c r="E42" s="343"/>
      <c r="F42" s="357">
        <f>18268*1.27</f>
        <v>23200.36</v>
      </c>
      <c r="G42" s="359">
        <v>23200</v>
      </c>
      <c r="H42" s="375"/>
      <c r="I42" s="375"/>
      <c r="J42" s="375"/>
      <c r="K42" s="375"/>
      <c r="L42" s="350">
        <f t="shared" ref="L42:L101" si="7">G42/1.27</f>
        <v>18267.716535433072</v>
      </c>
      <c r="M42" s="350">
        <f t="shared" ref="M42:M48" si="8">G42-L42</f>
        <v>4932.2834645669282</v>
      </c>
      <c r="O42" s="254">
        <v>18268</v>
      </c>
      <c r="P42" s="254">
        <f t="shared" ref="P42" si="9">O42*0.27</f>
        <v>4932.3600000000006</v>
      </c>
      <c r="Q42" s="338">
        <f t="shared" ref="Q42" si="10">SUM(O42:P42)</f>
        <v>23200.36</v>
      </c>
    </row>
    <row r="43" spans="1:17" ht="20.25" customHeight="1" x14ac:dyDescent="0.2">
      <c r="A43" s="109" t="s">
        <v>389</v>
      </c>
      <c r="B43" s="106"/>
      <c r="C43" s="107"/>
      <c r="D43" s="106"/>
      <c r="E43" s="343"/>
      <c r="F43" s="357">
        <f>1575560+425401</f>
        <v>2000961</v>
      </c>
      <c r="G43" s="359">
        <v>2000961</v>
      </c>
      <c r="H43" s="375"/>
      <c r="I43" s="375"/>
      <c r="J43" s="375"/>
      <c r="K43" s="375"/>
      <c r="L43" s="350">
        <f t="shared" si="7"/>
        <v>1575559.8425196849</v>
      </c>
      <c r="M43" s="350">
        <f t="shared" si="8"/>
        <v>425401.15748031507</v>
      </c>
      <c r="O43" s="254">
        <v>1575560</v>
      </c>
      <c r="P43" s="254">
        <f t="shared" ref="P43" si="11">O43*0.27</f>
        <v>425401.2</v>
      </c>
      <c r="Q43" s="338">
        <f t="shared" ref="Q43" si="12">SUM(O43:P43)</f>
        <v>2000961.2</v>
      </c>
    </row>
    <row r="44" spans="1:17" ht="20.25" customHeight="1" x14ac:dyDescent="0.2">
      <c r="A44" s="109"/>
      <c r="B44" s="106"/>
      <c r="C44" s="107"/>
      <c r="D44" s="106"/>
      <c r="E44" s="343"/>
      <c r="F44" s="357"/>
      <c r="G44" s="359"/>
      <c r="H44" s="375"/>
      <c r="I44" s="375"/>
      <c r="J44" s="375"/>
      <c r="K44" s="375"/>
      <c r="L44" s="353">
        <f t="shared" si="7"/>
        <v>0</v>
      </c>
      <c r="M44" s="350">
        <f t="shared" si="8"/>
        <v>0</v>
      </c>
      <c r="O44" s="354">
        <f>SUM(O42:O43)</f>
        <v>1593828</v>
      </c>
      <c r="Q44" s="338"/>
    </row>
    <row r="45" spans="1:17" ht="20.25" customHeight="1" x14ac:dyDescent="0.2">
      <c r="A45" s="356" t="s">
        <v>390</v>
      </c>
      <c r="B45" s="106"/>
      <c r="C45" s="107"/>
      <c r="D45" s="106"/>
      <c r="E45" s="343"/>
      <c r="F45" s="357"/>
      <c r="G45" s="359"/>
      <c r="H45" s="375"/>
      <c r="I45" s="375"/>
      <c r="J45" s="375"/>
      <c r="K45" s="375"/>
      <c r="L45" s="350">
        <f t="shared" si="7"/>
        <v>0</v>
      </c>
      <c r="M45" s="350">
        <f t="shared" si="8"/>
        <v>0</v>
      </c>
      <c r="Q45" s="338"/>
    </row>
    <row r="46" spans="1:17" ht="20.25" customHeight="1" x14ac:dyDescent="0.2">
      <c r="A46" s="109" t="s">
        <v>391</v>
      </c>
      <c r="B46" s="106"/>
      <c r="C46" s="107"/>
      <c r="D46" s="106"/>
      <c r="E46" s="343"/>
      <c r="F46" s="357">
        <f>70709+19091</f>
        <v>89800</v>
      </c>
      <c r="G46" s="359">
        <v>89800</v>
      </c>
      <c r="H46" s="375"/>
      <c r="I46" s="375"/>
      <c r="J46" s="375"/>
      <c r="K46" s="375"/>
      <c r="L46" s="350">
        <f t="shared" si="7"/>
        <v>70708.66141732283</v>
      </c>
      <c r="M46" s="350">
        <f t="shared" si="8"/>
        <v>19091.33858267717</v>
      </c>
      <c r="Q46" s="338"/>
    </row>
    <row r="47" spans="1:17" ht="20.25" customHeight="1" x14ac:dyDescent="0.2">
      <c r="A47" s="109" t="s">
        <v>392</v>
      </c>
      <c r="B47" s="106"/>
      <c r="C47" s="107"/>
      <c r="D47" s="106"/>
      <c r="E47" s="343"/>
      <c r="F47" s="357">
        <f>5000+1350</f>
        <v>6350</v>
      </c>
      <c r="G47" s="359">
        <v>6350</v>
      </c>
      <c r="H47" s="375"/>
      <c r="I47" s="375"/>
      <c r="J47" s="375"/>
      <c r="K47" s="375"/>
      <c r="L47" s="350">
        <f t="shared" si="7"/>
        <v>5000</v>
      </c>
      <c r="M47" s="350">
        <f t="shared" si="8"/>
        <v>1350</v>
      </c>
      <c r="Q47" s="338"/>
    </row>
    <row r="48" spans="1:17" ht="20.25" customHeight="1" x14ac:dyDescent="0.2">
      <c r="A48" s="109" t="s">
        <v>393</v>
      </c>
      <c r="B48" s="106"/>
      <c r="C48" s="107"/>
      <c r="D48" s="106"/>
      <c r="E48" s="343"/>
      <c r="F48" s="357">
        <v>13500</v>
      </c>
      <c r="G48" s="359">
        <v>13500</v>
      </c>
      <c r="H48" s="375"/>
      <c r="I48" s="375"/>
      <c r="J48" s="375"/>
      <c r="K48" s="375"/>
      <c r="L48" s="347">
        <v>13500</v>
      </c>
      <c r="M48" s="347">
        <f t="shared" si="8"/>
        <v>0</v>
      </c>
      <c r="Q48" s="338"/>
    </row>
    <row r="49" spans="1:17" ht="20.25" customHeight="1" x14ac:dyDescent="0.2">
      <c r="A49" s="109" t="s">
        <v>394</v>
      </c>
      <c r="B49" s="106"/>
      <c r="C49" s="107"/>
      <c r="D49" s="106"/>
      <c r="E49" s="343"/>
      <c r="F49" s="357">
        <f>25299+6831</f>
        <v>32130</v>
      </c>
      <c r="G49" s="359">
        <v>32130</v>
      </c>
      <c r="H49" s="375"/>
      <c r="I49" s="375"/>
      <c r="J49" s="375"/>
      <c r="K49" s="375"/>
      <c r="L49" s="350">
        <f t="shared" si="7"/>
        <v>25299.212598425198</v>
      </c>
      <c r="M49" s="350">
        <f t="shared" ref="M49:M55" si="13">G49-L49</f>
        <v>6830.7874015748021</v>
      </c>
      <c r="Q49" s="338"/>
    </row>
    <row r="50" spans="1:17" ht="20.25" customHeight="1" x14ac:dyDescent="0.2">
      <c r="A50" s="109" t="s">
        <v>395</v>
      </c>
      <c r="B50" s="106"/>
      <c r="C50" s="107"/>
      <c r="D50" s="106"/>
      <c r="E50" s="343"/>
      <c r="F50" s="357">
        <f>4843+1307</f>
        <v>6150</v>
      </c>
      <c r="G50" s="344">
        <f>4843+1307</f>
        <v>6150</v>
      </c>
      <c r="H50" s="355"/>
      <c r="I50" s="355"/>
      <c r="J50" s="355"/>
      <c r="K50" s="355"/>
      <c r="L50" s="350">
        <f t="shared" si="7"/>
        <v>4842.5196850393704</v>
      </c>
      <c r="M50" s="350">
        <f t="shared" si="13"/>
        <v>1307.4803149606296</v>
      </c>
      <c r="Q50" s="338"/>
    </row>
    <row r="51" spans="1:17" ht="20.25" customHeight="1" x14ac:dyDescent="0.2">
      <c r="A51" s="109" t="s">
        <v>396</v>
      </c>
      <c r="B51" s="106"/>
      <c r="C51" s="107"/>
      <c r="D51" s="106"/>
      <c r="E51" s="343"/>
      <c r="F51" s="357">
        <f>1402+378</f>
        <v>1780</v>
      </c>
      <c r="G51" s="344">
        <f>1402+378</f>
        <v>1780</v>
      </c>
      <c r="H51" s="355"/>
      <c r="I51" s="355"/>
      <c r="J51" s="355"/>
      <c r="K51" s="355"/>
      <c r="L51" s="350">
        <f t="shared" si="7"/>
        <v>1401.5748031496062</v>
      </c>
      <c r="M51" s="350">
        <f t="shared" si="13"/>
        <v>378.42519685039383</v>
      </c>
      <c r="Q51" s="338"/>
    </row>
    <row r="52" spans="1:17" ht="20.25" customHeight="1" x14ac:dyDescent="0.2">
      <c r="A52" s="109" t="s">
        <v>397</v>
      </c>
      <c r="B52" s="106"/>
      <c r="C52" s="107"/>
      <c r="D52" s="106"/>
      <c r="E52" s="343"/>
      <c r="F52" s="357">
        <f>1646+444</f>
        <v>2090</v>
      </c>
      <c r="G52" s="344">
        <f>1646+444</f>
        <v>2090</v>
      </c>
      <c r="H52" s="355"/>
      <c r="I52" s="355"/>
      <c r="J52" s="355"/>
      <c r="K52" s="355"/>
      <c r="L52" s="350">
        <f t="shared" si="7"/>
        <v>1645.6692913385828</v>
      </c>
      <c r="M52" s="350">
        <f t="shared" si="13"/>
        <v>444.33070866141725</v>
      </c>
      <c r="Q52" s="338"/>
    </row>
    <row r="53" spans="1:17" ht="20.25" customHeight="1" x14ac:dyDescent="0.2">
      <c r="A53" s="109" t="s">
        <v>398</v>
      </c>
      <c r="B53" s="106"/>
      <c r="C53" s="107"/>
      <c r="D53" s="106"/>
      <c r="E53" s="343"/>
      <c r="F53" s="357">
        <f>2488+672</f>
        <v>3160</v>
      </c>
      <c r="G53" s="344">
        <f>2488+672</f>
        <v>3160</v>
      </c>
      <c r="H53" s="355"/>
      <c r="I53" s="355"/>
      <c r="J53" s="355"/>
      <c r="K53" s="355"/>
      <c r="L53" s="350">
        <f t="shared" si="7"/>
        <v>2488.1889763779527</v>
      </c>
      <c r="M53" s="350">
        <f t="shared" si="13"/>
        <v>671.81102362204729</v>
      </c>
      <c r="Q53" s="338"/>
    </row>
    <row r="54" spans="1:17" ht="20.25" customHeight="1" x14ac:dyDescent="0.2">
      <c r="A54" s="109" t="s">
        <v>399</v>
      </c>
      <c r="B54" s="106"/>
      <c r="C54" s="107"/>
      <c r="D54" s="106"/>
      <c r="E54" s="343"/>
      <c r="F54" s="357">
        <f>11890+3210</f>
        <v>15100</v>
      </c>
      <c r="G54" s="344">
        <f>11890+3210</f>
        <v>15100</v>
      </c>
      <c r="H54" s="355"/>
      <c r="I54" s="355"/>
      <c r="J54" s="355"/>
      <c r="K54" s="355"/>
      <c r="L54" s="350">
        <f t="shared" si="7"/>
        <v>11889.763779527559</v>
      </c>
      <c r="M54" s="350">
        <f t="shared" si="13"/>
        <v>3210.2362204724413</v>
      </c>
      <c r="Q54" s="338"/>
    </row>
    <row r="55" spans="1:17" ht="20.25" customHeight="1" x14ac:dyDescent="0.2">
      <c r="A55" s="109" t="s">
        <v>400</v>
      </c>
      <c r="B55" s="106"/>
      <c r="C55" s="107"/>
      <c r="D55" s="106"/>
      <c r="E55" s="343"/>
      <c r="F55" s="357">
        <f>18799+5076</f>
        <v>23875</v>
      </c>
      <c r="G55" s="344">
        <f>18799+5076</f>
        <v>23875</v>
      </c>
      <c r="H55" s="355"/>
      <c r="I55" s="355"/>
      <c r="J55" s="355"/>
      <c r="K55" s="355"/>
      <c r="L55" s="350">
        <f t="shared" si="7"/>
        <v>18799.212598425198</v>
      </c>
      <c r="M55" s="350">
        <f t="shared" si="13"/>
        <v>5075.7874015748021</v>
      </c>
      <c r="Q55" s="338"/>
    </row>
    <row r="56" spans="1:17" ht="20.25" customHeight="1" x14ac:dyDescent="0.2">
      <c r="A56" s="109" t="s">
        <v>401</v>
      </c>
      <c r="B56" s="106"/>
      <c r="C56" s="107"/>
      <c r="D56" s="106"/>
      <c r="E56" s="343"/>
      <c r="F56" s="357">
        <f>29528+7972</f>
        <v>37500</v>
      </c>
      <c r="G56" s="344">
        <f>29528+7972</f>
        <v>37500</v>
      </c>
      <c r="H56" s="355"/>
      <c r="I56" s="355"/>
      <c r="J56" s="355"/>
      <c r="K56" s="355"/>
      <c r="L56" s="350">
        <f t="shared" si="7"/>
        <v>29527.559055118109</v>
      </c>
      <c r="M56" s="350">
        <f t="shared" ref="M56:M101" si="14">G56-L56</f>
        <v>7972.4409448818915</v>
      </c>
      <c r="Q56" s="338"/>
    </row>
    <row r="57" spans="1:17" ht="20.25" customHeight="1" x14ac:dyDescent="0.2">
      <c r="A57" s="109" t="s">
        <v>403</v>
      </c>
      <c r="B57" s="106"/>
      <c r="C57" s="107"/>
      <c r="D57" s="106"/>
      <c r="E57" s="343"/>
      <c r="F57" s="357">
        <f>24394+6586</f>
        <v>30980</v>
      </c>
      <c r="G57" s="344">
        <f>24394+6586</f>
        <v>30980</v>
      </c>
      <c r="H57" s="355"/>
      <c r="I57" s="355"/>
      <c r="J57" s="355"/>
      <c r="K57" s="355"/>
      <c r="L57" s="350">
        <f t="shared" si="7"/>
        <v>24393.700787401576</v>
      </c>
      <c r="M57" s="350">
        <f t="shared" si="14"/>
        <v>6586.2992125984238</v>
      </c>
      <c r="Q57" s="338"/>
    </row>
    <row r="58" spans="1:17" ht="20.25" customHeight="1" x14ac:dyDescent="0.2">
      <c r="A58" s="109" t="s">
        <v>402</v>
      </c>
      <c r="B58" s="106"/>
      <c r="C58" s="107"/>
      <c r="D58" s="106"/>
      <c r="E58" s="343"/>
      <c r="F58" s="357">
        <f>78583+21217</f>
        <v>99800</v>
      </c>
      <c r="G58" s="344">
        <f>78583+21217</f>
        <v>99800</v>
      </c>
      <c r="H58" s="355"/>
      <c r="I58" s="355"/>
      <c r="J58" s="355"/>
      <c r="K58" s="355"/>
      <c r="L58" s="350">
        <f t="shared" si="7"/>
        <v>78582.677165354326</v>
      </c>
      <c r="M58" s="350">
        <f t="shared" si="14"/>
        <v>21217.322834645674</v>
      </c>
      <c r="Q58" s="338"/>
    </row>
    <row r="59" spans="1:17" ht="20.25" customHeight="1" x14ac:dyDescent="0.2">
      <c r="A59" s="109" t="s">
        <v>404</v>
      </c>
      <c r="B59" s="106"/>
      <c r="C59" s="107"/>
      <c r="D59" s="106"/>
      <c r="E59" s="343"/>
      <c r="F59" s="357">
        <f>23465+6335</f>
        <v>29800</v>
      </c>
      <c r="G59" s="344">
        <f>23465+6335</f>
        <v>29800</v>
      </c>
      <c r="H59" s="355"/>
      <c r="I59" s="355"/>
      <c r="J59" s="355"/>
      <c r="K59" s="355"/>
      <c r="L59" s="350">
        <f t="shared" si="7"/>
        <v>23464.566929133856</v>
      </c>
      <c r="M59" s="350">
        <f t="shared" si="14"/>
        <v>6335.4330708661437</v>
      </c>
      <c r="Q59" s="338"/>
    </row>
    <row r="60" spans="1:17" ht="20.25" customHeight="1" x14ac:dyDescent="0.2">
      <c r="A60" s="109" t="s">
        <v>405</v>
      </c>
      <c r="B60" s="106"/>
      <c r="C60" s="107"/>
      <c r="D60" s="106"/>
      <c r="E60" s="343"/>
      <c r="F60" s="357">
        <f>39291+10609</f>
        <v>49900</v>
      </c>
      <c r="G60" s="344">
        <f>39291+10609</f>
        <v>49900</v>
      </c>
      <c r="H60" s="355"/>
      <c r="I60" s="355"/>
      <c r="J60" s="355"/>
      <c r="K60" s="355"/>
      <c r="L60" s="350">
        <f t="shared" si="7"/>
        <v>39291.338582677163</v>
      </c>
      <c r="M60" s="350">
        <f t="shared" si="14"/>
        <v>10608.661417322837</v>
      </c>
      <c r="Q60" s="338"/>
    </row>
    <row r="61" spans="1:17" ht="20.25" customHeight="1" x14ac:dyDescent="0.2">
      <c r="A61" s="109" t="s">
        <v>406</v>
      </c>
      <c r="B61" s="106"/>
      <c r="C61" s="107"/>
      <c r="D61" s="106"/>
      <c r="E61" s="343"/>
      <c r="F61" s="357">
        <f>71800+19386</f>
        <v>91186</v>
      </c>
      <c r="G61" s="344">
        <f>71800+19386</f>
        <v>91186</v>
      </c>
      <c r="H61" s="355"/>
      <c r="I61" s="355"/>
      <c r="J61" s="355"/>
      <c r="K61" s="355"/>
      <c r="L61" s="350">
        <f t="shared" si="7"/>
        <v>71800</v>
      </c>
      <c r="M61" s="350">
        <f t="shared" si="14"/>
        <v>19386</v>
      </c>
      <c r="Q61" s="338"/>
    </row>
    <row r="62" spans="1:17" ht="20.25" customHeight="1" x14ac:dyDescent="0.2">
      <c r="A62" s="109" t="s">
        <v>407</v>
      </c>
      <c r="B62" s="106"/>
      <c r="C62" s="107"/>
      <c r="D62" s="106"/>
      <c r="E62" s="343"/>
      <c r="F62" s="357">
        <f>25208+6806</f>
        <v>32014</v>
      </c>
      <c r="G62" s="344">
        <f>25208+6806</f>
        <v>32014</v>
      </c>
      <c r="H62" s="355"/>
      <c r="I62" s="355"/>
      <c r="J62" s="355"/>
      <c r="K62" s="355"/>
      <c r="L62" s="350">
        <f t="shared" si="7"/>
        <v>25207.874015748032</v>
      </c>
      <c r="M62" s="350">
        <f t="shared" si="14"/>
        <v>6806.1259842519685</v>
      </c>
      <c r="Q62" s="338"/>
    </row>
    <row r="63" spans="1:17" ht="20.25" customHeight="1" x14ac:dyDescent="0.2">
      <c r="A63" s="109" t="s">
        <v>408</v>
      </c>
      <c r="B63" s="106"/>
      <c r="C63" s="107"/>
      <c r="D63" s="106"/>
      <c r="E63" s="343"/>
      <c r="F63" s="357">
        <f>86575+23375</f>
        <v>109950</v>
      </c>
      <c r="G63" s="344">
        <f>86575+23375</f>
        <v>109950</v>
      </c>
      <c r="H63" s="355"/>
      <c r="I63" s="355"/>
      <c r="J63" s="355"/>
      <c r="K63" s="355"/>
      <c r="L63" s="350">
        <f t="shared" si="7"/>
        <v>86574.803149606305</v>
      </c>
      <c r="M63" s="350">
        <f t="shared" si="14"/>
        <v>23375.196850393695</v>
      </c>
      <c r="Q63" s="338"/>
    </row>
    <row r="64" spans="1:17" ht="20.25" customHeight="1" x14ac:dyDescent="0.2">
      <c r="A64" s="109" t="s">
        <v>409</v>
      </c>
      <c r="B64" s="106"/>
      <c r="C64" s="107"/>
      <c r="D64" s="106"/>
      <c r="E64" s="343"/>
      <c r="F64" s="357">
        <f>5906+1594</f>
        <v>7500</v>
      </c>
      <c r="G64" s="344">
        <f>5906+1594</f>
        <v>7500</v>
      </c>
      <c r="H64" s="355"/>
      <c r="I64" s="355"/>
      <c r="J64" s="355"/>
      <c r="K64" s="355"/>
      <c r="L64" s="350">
        <f t="shared" si="7"/>
        <v>5905.5118110236217</v>
      </c>
      <c r="M64" s="350">
        <f t="shared" si="14"/>
        <v>1594.4881889763783</v>
      </c>
      <c r="Q64" s="338"/>
    </row>
    <row r="65" spans="1:17" ht="20.25" customHeight="1" x14ac:dyDescent="0.2">
      <c r="A65" s="109" t="s">
        <v>410</v>
      </c>
      <c r="B65" s="106"/>
      <c r="C65" s="107"/>
      <c r="D65" s="106"/>
      <c r="E65" s="343"/>
      <c r="F65" s="357">
        <f>1320+4889</f>
        <v>6209</v>
      </c>
      <c r="G65" s="344">
        <f>1320+4889</f>
        <v>6209</v>
      </c>
      <c r="H65" s="355"/>
      <c r="I65" s="355"/>
      <c r="J65" s="355"/>
      <c r="K65" s="355"/>
      <c r="L65" s="350">
        <f t="shared" si="7"/>
        <v>4888.9763779527557</v>
      </c>
      <c r="M65" s="350">
        <f t="shared" si="14"/>
        <v>1320.0236220472443</v>
      </c>
      <c r="Q65" s="338"/>
    </row>
    <row r="66" spans="1:17" ht="20.25" customHeight="1" x14ac:dyDescent="0.2">
      <c r="A66" s="109" t="s">
        <v>411</v>
      </c>
      <c r="B66" s="106"/>
      <c r="C66" s="107"/>
      <c r="D66" s="106"/>
      <c r="E66" s="343"/>
      <c r="F66" s="357">
        <f>147800+39906</f>
        <v>187706</v>
      </c>
      <c r="G66" s="344">
        <f>147800+39906</f>
        <v>187706</v>
      </c>
      <c r="H66" s="355"/>
      <c r="I66" s="355"/>
      <c r="J66" s="355"/>
      <c r="K66" s="355"/>
      <c r="L66" s="350">
        <f t="shared" si="7"/>
        <v>147800</v>
      </c>
      <c r="M66" s="350">
        <f t="shared" si="14"/>
        <v>39906</v>
      </c>
      <c r="Q66" s="338"/>
    </row>
    <row r="67" spans="1:17" ht="20.25" customHeight="1" x14ac:dyDescent="0.2">
      <c r="A67" s="109" t="s">
        <v>412</v>
      </c>
      <c r="B67" s="106"/>
      <c r="C67" s="107"/>
      <c r="D67" s="106"/>
      <c r="E67" s="343"/>
      <c r="F67" s="357">
        <f>27600+7452</f>
        <v>35052</v>
      </c>
      <c r="G67" s="344">
        <f>27600+7452</f>
        <v>35052</v>
      </c>
      <c r="H67" s="355"/>
      <c r="I67" s="355"/>
      <c r="J67" s="355"/>
      <c r="K67" s="355"/>
      <c r="L67" s="350">
        <f t="shared" si="7"/>
        <v>27600</v>
      </c>
      <c r="M67" s="350">
        <f t="shared" si="14"/>
        <v>7452</v>
      </c>
      <c r="Q67" s="338"/>
    </row>
    <row r="68" spans="1:17" ht="20.25" customHeight="1" x14ac:dyDescent="0.2">
      <c r="A68" s="109" t="s">
        <v>413</v>
      </c>
      <c r="B68" s="106"/>
      <c r="C68" s="107"/>
      <c r="D68" s="106"/>
      <c r="E68" s="343"/>
      <c r="F68" s="357">
        <f>31988+8637</f>
        <v>40625</v>
      </c>
      <c r="G68" s="344">
        <f>31988+8637</f>
        <v>40625</v>
      </c>
      <c r="H68" s="355"/>
      <c r="I68" s="355"/>
      <c r="J68" s="355"/>
      <c r="K68" s="355"/>
      <c r="L68" s="350">
        <f t="shared" si="7"/>
        <v>31988.188976377951</v>
      </c>
      <c r="M68" s="350">
        <f t="shared" si="14"/>
        <v>8636.8110236220491</v>
      </c>
      <c r="Q68" s="338"/>
    </row>
    <row r="69" spans="1:17" ht="20.25" customHeight="1" x14ac:dyDescent="0.2">
      <c r="A69" s="109" t="s">
        <v>414</v>
      </c>
      <c r="B69" s="106"/>
      <c r="C69" s="107"/>
      <c r="D69" s="106"/>
      <c r="E69" s="343"/>
      <c r="F69" s="357">
        <f>16378+4422</f>
        <v>20800</v>
      </c>
      <c r="G69" s="344">
        <f>16378+4422</f>
        <v>20800</v>
      </c>
      <c r="H69" s="355"/>
      <c r="I69" s="355"/>
      <c r="J69" s="355"/>
      <c r="K69" s="355"/>
      <c r="L69" s="350">
        <f t="shared" si="7"/>
        <v>16377.952755905511</v>
      </c>
      <c r="M69" s="350">
        <f t="shared" si="14"/>
        <v>4422.0472440944886</v>
      </c>
      <c r="Q69" s="338"/>
    </row>
    <row r="70" spans="1:17" ht="20.25" customHeight="1" x14ac:dyDescent="0.2">
      <c r="A70" s="109" t="s">
        <v>415</v>
      </c>
      <c r="B70" s="106"/>
      <c r="C70" s="107"/>
      <c r="D70" s="106"/>
      <c r="E70" s="343"/>
      <c r="F70" s="357">
        <f>23465+6335</f>
        <v>29800</v>
      </c>
      <c r="G70" s="344">
        <f>23465+6335</f>
        <v>29800</v>
      </c>
      <c r="H70" s="355"/>
      <c r="I70" s="355"/>
      <c r="J70" s="355"/>
      <c r="K70" s="355"/>
      <c r="L70" s="350">
        <f t="shared" si="7"/>
        <v>23464.566929133856</v>
      </c>
      <c r="M70" s="350">
        <f t="shared" si="14"/>
        <v>6335.4330708661437</v>
      </c>
      <c r="Q70" s="338"/>
    </row>
    <row r="71" spans="1:17" ht="20.25" customHeight="1" x14ac:dyDescent="0.2">
      <c r="A71" s="109" t="s">
        <v>416</v>
      </c>
      <c r="B71" s="106"/>
      <c r="C71" s="107"/>
      <c r="D71" s="106"/>
      <c r="E71" s="343"/>
      <c r="F71" s="357">
        <f>154173+41627</f>
        <v>195800</v>
      </c>
      <c r="G71" s="344">
        <f>154173+41627</f>
        <v>195800</v>
      </c>
      <c r="H71" s="355"/>
      <c r="I71" s="355"/>
      <c r="J71" s="355"/>
      <c r="K71" s="355"/>
      <c r="L71" s="350">
        <f t="shared" si="7"/>
        <v>154173.22834645669</v>
      </c>
      <c r="M71" s="350">
        <f t="shared" si="14"/>
        <v>41626.771653543314</v>
      </c>
      <c r="Q71" s="338"/>
    </row>
    <row r="72" spans="1:17" ht="20.25" customHeight="1" x14ac:dyDescent="0.2">
      <c r="A72" s="109" t="s">
        <v>417</v>
      </c>
      <c r="B72" s="106"/>
      <c r="C72" s="107"/>
      <c r="D72" s="106"/>
      <c r="E72" s="343"/>
      <c r="F72" s="357">
        <f>21890+5910</f>
        <v>27800</v>
      </c>
      <c r="G72" s="344">
        <f>21890+5910</f>
        <v>27800</v>
      </c>
      <c r="H72" s="355"/>
      <c r="I72" s="355"/>
      <c r="J72" s="355"/>
      <c r="K72" s="355"/>
      <c r="L72" s="350">
        <f t="shared" si="7"/>
        <v>21889.763779527559</v>
      </c>
      <c r="M72" s="350">
        <f t="shared" si="14"/>
        <v>5910.2362204724413</v>
      </c>
      <c r="Q72" s="338"/>
    </row>
    <row r="73" spans="1:17" ht="20.25" customHeight="1" x14ac:dyDescent="0.2">
      <c r="A73" s="109" t="s">
        <v>418</v>
      </c>
      <c r="B73" s="106"/>
      <c r="C73" s="107"/>
      <c r="D73" s="106"/>
      <c r="E73" s="343"/>
      <c r="F73" s="357">
        <f>13835+3735</f>
        <v>17570</v>
      </c>
      <c r="G73" s="344">
        <f>13835+3735</f>
        <v>17570</v>
      </c>
      <c r="H73" s="355"/>
      <c r="I73" s="355"/>
      <c r="J73" s="355"/>
      <c r="K73" s="355"/>
      <c r="L73" s="350">
        <f t="shared" si="7"/>
        <v>13834.645669291338</v>
      </c>
      <c r="M73" s="350">
        <f t="shared" si="14"/>
        <v>3735.354330708662</v>
      </c>
      <c r="Q73" s="338"/>
    </row>
    <row r="74" spans="1:17" ht="20.25" customHeight="1" x14ac:dyDescent="0.2">
      <c r="A74" s="109" t="s">
        <v>419</v>
      </c>
      <c r="B74" s="106"/>
      <c r="C74" s="107"/>
      <c r="D74" s="106"/>
      <c r="E74" s="343"/>
      <c r="F74" s="357">
        <f>115000+31050</f>
        <v>146050</v>
      </c>
      <c r="G74" s="344">
        <f>115000+31050</f>
        <v>146050</v>
      </c>
      <c r="H74" s="355"/>
      <c r="I74" s="355"/>
      <c r="J74" s="355"/>
      <c r="K74" s="355"/>
      <c r="L74" s="350">
        <f t="shared" si="7"/>
        <v>115000</v>
      </c>
      <c r="M74" s="350">
        <f t="shared" si="14"/>
        <v>31050</v>
      </c>
      <c r="Q74" s="338"/>
    </row>
    <row r="75" spans="1:17" ht="20.25" customHeight="1" x14ac:dyDescent="0.2">
      <c r="A75" s="109" t="s">
        <v>421</v>
      </c>
      <c r="B75" s="106"/>
      <c r="C75" s="107"/>
      <c r="D75" s="106"/>
      <c r="E75" s="343"/>
      <c r="F75" s="357">
        <f>339+92</f>
        <v>431</v>
      </c>
      <c r="G75" s="344">
        <f>339+92</f>
        <v>431</v>
      </c>
      <c r="H75" s="355"/>
      <c r="I75" s="355"/>
      <c r="J75" s="355"/>
      <c r="K75" s="355"/>
      <c r="L75" s="350">
        <f t="shared" si="7"/>
        <v>339.37007874015745</v>
      </c>
      <c r="M75" s="350">
        <f t="shared" si="14"/>
        <v>91.629921259842547</v>
      </c>
      <c r="Q75" s="338"/>
    </row>
    <row r="76" spans="1:17" ht="20.25" customHeight="1" x14ac:dyDescent="0.2">
      <c r="A76" s="109" t="s">
        <v>420</v>
      </c>
      <c r="B76" s="106"/>
      <c r="C76" s="107"/>
      <c r="D76" s="106"/>
      <c r="E76" s="343"/>
      <c r="F76" s="357">
        <f>512+138</f>
        <v>650</v>
      </c>
      <c r="G76" s="344">
        <f>512+138</f>
        <v>650</v>
      </c>
      <c r="H76" s="355"/>
      <c r="I76" s="355"/>
      <c r="J76" s="355"/>
      <c r="K76" s="355"/>
      <c r="L76" s="350">
        <f t="shared" si="7"/>
        <v>511.81102362204723</v>
      </c>
      <c r="M76" s="350">
        <f t="shared" si="14"/>
        <v>138.18897637795277</v>
      </c>
      <c r="Q76" s="338"/>
    </row>
    <row r="77" spans="1:17" ht="20.25" customHeight="1" x14ac:dyDescent="0.2">
      <c r="A77" s="109" t="s">
        <v>422</v>
      </c>
      <c r="B77" s="106"/>
      <c r="C77" s="107"/>
      <c r="D77" s="106"/>
      <c r="E77" s="343"/>
      <c r="F77" s="357">
        <f>851+230</f>
        <v>1081</v>
      </c>
      <c r="G77" s="344">
        <f>851+230</f>
        <v>1081</v>
      </c>
      <c r="H77" s="355"/>
      <c r="I77" s="355"/>
      <c r="J77" s="355"/>
      <c r="K77" s="355"/>
      <c r="L77" s="350">
        <f t="shared" si="7"/>
        <v>851.18110236220468</v>
      </c>
      <c r="M77" s="350">
        <f t="shared" si="14"/>
        <v>229.81889763779532</v>
      </c>
      <c r="Q77" s="338"/>
    </row>
    <row r="78" spans="1:17" ht="20.25" customHeight="1" x14ac:dyDescent="0.2">
      <c r="A78" s="109" t="s">
        <v>423</v>
      </c>
      <c r="B78" s="106"/>
      <c r="C78" s="107"/>
      <c r="D78" s="106"/>
      <c r="E78" s="343"/>
      <c r="F78" s="357">
        <f>61025+16477</f>
        <v>77502</v>
      </c>
      <c r="G78" s="344">
        <f>61025+16477</f>
        <v>77502</v>
      </c>
      <c r="H78" s="355"/>
      <c r="I78" s="355"/>
      <c r="J78" s="355"/>
      <c r="K78" s="355"/>
      <c r="L78" s="350">
        <f t="shared" si="7"/>
        <v>61025.196850393702</v>
      </c>
      <c r="M78" s="350">
        <f t="shared" si="14"/>
        <v>16476.803149606298</v>
      </c>
      <c r="Q78" s="338"/>
    </row>
    <row r="79" spans="1:17" ht="20.25" customHeight="1" x14ac:dyDescent="0.2">
      <c r="A79" s="109" t="s">
        <v>424</v>
      </c>
      <c r="B79" s="106"/>
      <c r="C79" s="107"/>
      <c r="D79" s="106"/>
      <c r="E79" s="343"/>
      <c r="F79" s="357">
        <f>6298+1700</f>
        <v>7998</v>
      </c>
      <c r="G79" s="344">
        <f>6298+1700</f>
        <v>7998</v>
      </c>
      <c r="H79" s="355"/>
      <c r="I79" s="355"/>
      <c r="J79" s="355"/>
      <c r="K79" s="355"/>
      <c r="L79" s="350">
        <f t="shared" si="7"/>
        <v>6297.6377952755902</v>
      </c>
      <c r="M79" s="350">
        <f t="shared" si="14"/>
        <v>1700.3622047244098</v>
      </c>
      <c r="Q79" s="338"/>
    </row>
    <row r="80" spans="1:17" ht="20.25" customHeight="1" x14ac:dyDescent="0.2">
      <c r="A80" s="109" t="s">
        <v>425</v>
      </c>
      <c r="B80" s="106"/>
      <c r="C80" s="107"/>
      <c r="D80" s="106"/>
      <c r="E80" s="343"/>
      <c r="F80" s="357">
        <f>56692+15307</f>
        <v>71999</v>
      </c>
      <c r="G80" s="344">
        <f>56692+15307</f>
        <v>71999</v>
      </c>
      <c r="H80" s="355"/>
      <c r="I80" s="355"/>
      <c r="J80" s="355"/>
      <c r="K80" s="355"/>
      <c r="L80" s="350">
        <f t="shared" si="7"/>
        <v>56692.125984251965</v>
      </c>
      <c r="M80" s="350">
        <f t="shared" si="14"/>
        <v>15306.874015748035</v>
      </c>
      <c r="Q80" s="338"/>
    </row>
    <row r="81" spans="1:17" ht="20.25" customHeight="1" x14ac:dyDescent="0.2">
      <c r="A81" s="109" t="s">
        <v>426</v>
      </c>
      <c r="B81" s="106"/>
      <c r="C81" s="107"/>
      <c r="D81" s="106"/>
      <c r="E81" s="343"/>
      <c r="F81" s="357">
        <f>15748+4252</f>
        <v>20000</v>
      </c>
      <c r="G81" s="344">
        <f>15748+4252</f>
        <v>20000</v>
      </c>
      <c r="H81" s="355"/>
      <c r="I81" s="355"/>
      <c r="J81" s="355"/>
      <c r="K81" s="355"/>
      <c r="L81" s="350">
        <f t="shared" si="7"/>
        <v>15748.031496062991</v>
      </c>
      <c r="M81" s="350">
        <f t="shared" si="14"/>
        <v>4251.9685039370088</v>
      </c>
      <c r="Q81" s="338"/>
    </row>
    <row r="82" spans="1:17" ht="20.25" customHeight="1" x14ac:dyDescent="0.2">
      <c r="A82" s="109" t="s">
        <v>427</v>
      </c>
      <c r="B82" s="106"/>
      <c r="C82" s="107"/>
      <c r="D82" s="106"/>
      <c r="E82" s="343"/>
      <c r="F82" s="357">
        <f>47220+12750</f>
        <v>59970</v>
      </c>
      <c r="G82" s="344">
        <f>47220+12750</f>
        <v>59970</v>
      </c>
      <c r="H82" s="355"/>
      <c r="I82" s="355"/>
      <c r="J82" s="355"/>
      <c r="K82" s="355"/>
      <c r="L82" s="350">
        <f t="shared" si="7"/>
        <v>47220.472440944883</v>
      </c>
      <c r="M82" s="350">
        <f t="shared" si="14"/>
        <v>12749.527559055117</v>
      </c>
      <c r="Q82" s="338"/>
    </row>
    <row r="83" spans="1:17" ht="20.25" customHeight="1" x14ac:dyDescent="0.2">
      <c r="A83" s="109" t="s">
        <v>428</v>
      </c>
      <c r="B83" s="106"/>
      <c r="C83" s="107"/>
      <c r="D83" s="106"/>
      <c r="E83" s="343"/>
      <c r="F83" s="357">
        <f>2480+670</f>
        <v>3150</v>
      </c>
      <c r="G83" s="344">
        <f>2480+670</f>
        <v>3150</v>
      </c>
      <c r="H83" s="355"/>
      <c r="I83" s="355"/>
      <c r="J83" s="355"/>
      <c r="K83" s="355"/>
      <c r="L83" s="350">
        <f t="shared" si="7"/>
        <v>2480.3149606299212</v>
      </c>
      <c r="M83" s="350">
        <f t="shared" si="14"/>
        <v>669.68503937007881</v>
      </c>
      <c r="Q83" s="338"/>
    </row>
    <row r="84" spans="1:17" ht="20.25" customHeight="1" x14ac:dyDescent="0.2">
      <c r="A84" s="109" t="s">
        <v>429</v>
      </c>
      <c r="B84" s="106"/>
      <c r="C84" s="107"/>
      <c r="D84" s="106"/>
      <c r="E84" s="343"/>
      <c r="F84" s="357">
        <f>82677+22323</f>
        <v>105000</v>
      </c>
      <c r="G84" s="344">
        <f>82677+22323</f>
        <v>105000</v>
      </c>
      <c r="H84" s="355"/>
      <c r="I84" s="355"/>
      <c r="J84" s="355"/>
      <c r="K84" s="355"/>
      <c r="L84" s="350">
        <f t="shared" si="7"/>
        <v>82677.165354330704</v>
      </c>
      <c r="M84" s="350">
        <f t="shared" si="14"/>
        <v>22322.834645669296</v>
      </c>
      <c r="Q84" s="338"/>
    </row>
    <row r="85" spans="1:17" ht="20.25" customHeight="1" x14ac:dyDescent="0.2">
      <c r="A85" s="109" t="s">
        <v>430</v>
      </c>
      <c r="B85" s="106"/>
      <c r="C85" s="107"/>
      <c r="D85" s="106"/>
      <c r="E85" s="343"/>
      <c r="F85" s="357">
        <f>7874+2126</f>
        <v>10000</v>
      </c>
      <c r="G85" s="344">
        <f>7874+2126</f>
        <v>10000</v>
      </c>
      <c r="H85" s="355"/>
      <c r="I85" s="355"/>
      <c r="J85" s="355"/>
      <c r="K85" s="355"/>
      <c r="L85" s="350">
        <f t="shared" si="7"/>
        <v>7874.0157480314956</v>
      </c>
      <c r="M85" s="350">
        <f t="shared" si="14"/>
        <v>2125.9842519685044</v>
      </c>
      <c r="Q85" s="338"/>
    </row>
    <row r="86" spans="1:17" ht="20.25" customHeight="1" x14ac:dyDescent="0.2">
      <c r="A86" s="109" t="s">
        <v>431</v>
      </c>
      <c r="B86" s="106"/>
      <c r="C86" s="107"/>
      <c r="D86" s="106"/>
      <c r="E86" s="343"/>
      <c r="F86" s="357">
        <f>788+212</f>
        <v>1000</v>
      </c>
      <c r="G86" s="344">
        <f>788+212</f>
        <v>1000</v>
      </c>
      <c r="H86" s="355"/>
      <c r="I86" s="355"/>
      <c r="J86" s="355"/>
      <c r="K86" s="355"/>
      <c r="L86" s="350">
        <f t="shared" si="7"/>
        <v>787.40157480314963</v>
      </c>
      <c r="M86" s="350">
        <f t="shared" si="14"/>
        <v>212.59842519685037</v>
      </c>
      <c r="Q86" s="338"/>
    </row>
    <row r="87" spans="1:17" ht="20.25" customHeight="1" x14ac:dyDescent="0.2">
      <c r="A87" s="109" t="s">
        <v>432</v>
      </c>
      <c r="B87" s="106"/>
      <c r="C87" s="107"/>
      <c r="D87" s="106"/>
      <c r="E87" s="343"/>
      <c r="F87" s="357">
        <f>4720+1275</f>
        <v>5995</v>
      </c>
      <c r="G87" s="344">
        <f>4720+1275</f>
        <v>5995</v>
      </c>
      <c r="H87" s="355"/>
      <c r="I87" s="355"/>
      <c r="J87" s="355"/>
      <c r="K87" s="355"/>
      <c r="L87" s="350">
        <f t="shared" si="7"/>
        <v>4720.4724409448818</v>
      </c>
      <c r="M87" s="350">
        <f t="shared" si="14"/>
        <v>1274.5275590551182</v>
      </c>
      <c r="Q87" s="338"/>
    </row>
    <row r="88" spans="1:17" ht="20.25" customHeight="1" x14ac:dyDescent="0.2">
      <c r="A88" s="109" t="s">
        <v>433</v>
      </c>
      <c r="B88" s="106"/>
      <c r="C88" s="107"/>
      <c r="D88" s="106"/>
      <c r="E88" s="343"/>
      <c r="F88" s="357">
        <f>3346+904</f>
        <v>4250</v>
      </c>
      <c r="G88" s="344">
        <f>3346+904</f>
        <v>4250</v>
      </c>
      <c r="H88" s="355"/>
      <c r="I88" s="355"/>
      <c r="J88" s="355"/>
      <c r="K88" s="355"/>
      <c r="L88" s="350">
        <f t="shared" si="7"/>
        <v>3346.4566929133857</v>
      </c>
      <c r="M88" s="350">
        <f t="shared" si="14"/>
        <v>903.54330708661428</v>
      </c>
      <c r="Q88" s="338"/>
    </row>
    <row r="89" spans="1:17" ht="20.25" customHeight="1" x14ac:dyDescent="0.2">
      <c r="A89" s="109" t="s">
        <v>434</v>
      </c>
      <c r="B89" s="106"/>
      <c r="C89" s="107"/>
      <c r="D89" s="106"/>
      <c r="E89" s="343"/>
      <c r="F89" s="357">
        <f>4535+1225</f>
        <v>5760</v>
      </c>
      <c r="G89" s="344">
        <f>4535+1225</f>
        <v>5760</v>
      </c>
      <c r="H89" s="355"/>
      <c r="I89" s="355"/>
      <c r="J89" s="355"/>
      <c r="K89" s="355"/>
      <c r="L89" s="350">
        <f t="shared" si="7"/>
        <v>4535.4330708661419</v>
      </c>
      <c r="M89" s="350">
        <f t="shared" si="14"/>
        <v>1224.5669291338581</v>
      </c>
      <c r="Q89" s="338"/>
    </row>
    <row r="90" spans="1:17" ht="20.25" customHeight="1" x14ac:dyDescent="0.2">
      <c r="A90" s="109" t="s">
        <v>431</v>
      </c>
      <c r="B90" s="106"/>
      <c r="C90" s="107"/>
      <c r="D90" s="106"/>
      <c r="E90" s="343"/>
      <c r="F90" s="357">
        <f>1488+402</f>
        <v>1890</v>
      </c>
      <c r="G90" s="344">
        <f>1488+402</f>
        <v>1890</v>
      </c>
      <c r="H90" s="355"/>
      <c r="I90" s="355"/>
      <c r="J90" s="355"/>
      <c r="K90" s="355"/>
      <c r="L90" s="350">
        <f t="shared" si="7"/>
        <v>1488.1889763779527</v>
      </c>
      <c r="M90" s="350">
        <f t="shared" si="14"/>
        <v>401.81102362204729</v>
      </c>
      <c r="Q90" s="338"/>
    </row>
    <row r="91" spans="1:17" ht="20.25" customHeight="1" x14ac:dyDescent="0.2">
      <c r="A91" s="109" t="s">
        <v>435</v>
      </c>
      <c r="B91" s="106"/>
      <c r="C91" s="107"/>
      <c r="D91" s="106"/>
      <c r="E91" s="343"/>
      <c r="F91" s="357">
        <f>57874+15626</f>
        <v>73500</v>
      </c>
      <c r="G91" s="344">
        <f>57874+15626</f>
        <v>73500</v>
      </c>
      <c r="H91" s="355"/>
      <c r="I91" s="355"/>
      <c r="J91" s="355"/>
      <c r="K91" s="355"/>
      <c r="L91" s="350">
        <f t="shared" si="7"/>
        <v>57874.015748031496</v>
      </c>
      <c r="M91" s="350">
        <f t="shared" si="14"/>
        <v>15625.984251968504</v>
      </c>
      <c r="Q91" s="338"/>
    </row>
    <row r="92" spans="1:17" ht="20.25" customHeight="1" x14ac:dyDescent="0.2">
      <c r="A92" s="109" t="s">
        <v>436</v>
      </c>
      <c r="B92" s="106"/>
      <c r="C92" s="107"/>
      <c r="D92" s="106"/>
      <c r="E92" s="343"/>
      <c r="F92" s="357">
        <f>19800+5346</f>
        <v>25146</v>
      </c>
      <c r="G92" s="344">
        <f>19800+5346</f>
        <v>25146</v>
      </c>
      <c r="H92" s="355"/>
      <c r="I92" s="355"/>
      <c r="J92" s="355"/>
      <c r="K92" s="355"/>
      <c r="L92" s="350">
        <f t="shared" si="7"/>
        <v>19800</v>
      </c>
      <c r="M92" s="350">
        <f t="shared" si="14"/>
        <v>5346</v>
      </c>
      <c r="Q92" s="338"/>
    </row>
    <row r="93" spans="1:17" ht="20.25" customHeight="1" x14ac:dyDescent="0.2">
      <c r="A93" s="109" t="s">
        <v>437</v>
      </c>
      <c r="B93" s="106"/>
      <c r="C93" s="107"/>
      <c r="D93" s="106"/>
      <c r="E93" s="343"/>
      <c r="F93" s="357">
        <f>2945+795</f>
        <v>3740</v>
      </c>
      <c r="G93" s="344">
        <f>2945+795</f>
        <v>3740</v>
      </c>
      <c r="H93" s="355"/>
      <c r="I93" s="355"/>
      <c r="J93" s="355"/>
      <c r="K93" s="355"/>
      <c r="L93" s="350">
        <f t="shared" si="7"/>
        <v>2944.8818897637793</v>
      </c>
      <c r="M93" s="350">
        <f t="shared" si="14"/>
        <v>795.11811023622067</v>
      </c>
      <c r="Q93" s="338"/>
    </row>
    <row r="94" spans="1:17" ht="20.25" customHeight="1" x14ac:dyDescent="0.2">
      <c r="A94" s="109" t="s">
        <v>438</v>
      </c>
      <c r="B94" s="106"/>
      <c r="C94" s="107"/>
      <c r="D94" s="106"/>
      <c r="E94" s="343"/>
      <c r="F94" s="357">
        <f>20082+5422</f>
        <v>25504</v>
      </c>
      <c r="G94" s="344">
        <f>20082+5422</f>
        <v>25504</v>
      </c>
      <c r="H94" s="355"/>
      <c r="I94" s="355"/>
      <c r="J94" s="355"/>
      <c r="K94" s="355"/>
      <c r="L94" s="350">
        <f t="shared" si="7"/>
        <v>20081.889763779527</v>
      </c>
      <c r="M94" s="350">
        <f t="shared" si="14"/>
        <v>5422.1102362204729</v>
      </c>
      <c r="Q94" s="338"/>
    </row>
    <row r="95" spans="1:17" ht="20.25" customHeight="1" x14ac:dyDescent="0.2">
      <c r="A95" s="109" t="s">
        <v>437</v>
      </c>
      <c r="B95" s="106"/>
      <c r="C95" s="107"/>
      <c r="D95" s="106"/>
      <c r="E95" s="343"/>
      <c r="F95" s="357">
        <f>2945+795</f>
        <v>3740</v>
      </c>
      <c r="G95" s="344">
        <f>2945+795</f>
        <v>3740</v>
      </c>
      <c r="H95" s="355"/>
      <c r="I95" s="355"/>
      <c r="J95" s="355"/>
      <c r="K95" s="355"/>
      <c r="L95" s="350">
        <f t="shared" si="7"/>
        <v>2944.8818897637793</v>
      </c>
      <c r="M95" s="350">
        <f t="shared" si="14"/>
        <v>795.11811023622067</v>
      </c>
      <c r="Q95" s="338"/>
    </row>
    <row r="96" spans="1:17" ht="20.25" customHeight="1" x14ac:dyDescent="0.2">
      <c r="A96" s="109" t="s">
        <v>439</v>
      </c>
      <c r="B96" s="106"/>
      <c r="C96" s="107"/>
      <c r="D96" s="106"/>
      <c r="E96" s="343"/>
      <c r="F96" s="357">
        <f>2087+563</f>
        <v>2650</v>
      </c>
      <c r="G96" s="344">
        <f>2087+563</f>
        <v>2650</v>
      </c>
      <c r="H96" s="355"/>
      <c r="I96" s="355"/>
      <c r="J96" s="355"/>
      <c r="K96" s="355"/>
      <c r="L96" s="350">
        <f t="shared" si="7"/>
        <v>2086.6141732283463</v>
      </c>
      <c r="M96" s="350">
        <f t="shared" si="14"/>
        <v>563.38582677165368</v>
      </c>
      <c r="Q96" s="338"/>
    </row>
    <row r="97" spans="1:17" ht="20.25" customHeight="1" x14ac:dyDescent="0.2">
      <c r="A97" s="109" t="s">
        <v>440</v>
      </c>
      <c r="B97" s="106"/>
      <c r="C97" s="107"/>
      <c r="D97" s="106"/>
      <c r="E97" s="343"/>
      <c r="F97" s="357">
        <f>149342+40322</f>
        <v>189664</v>
      </c>
      <c r="G97" s="344">
        <f>149342+40322</f>
        <v>189664</v>
      </c>
      <c r="H97" s="355"/>
      <c r="I97" s="355"/>
      <c r="J97" s="355"/>
      <c r="K97" s="355"/>
      <c r="L97" s="350">
        <f t="shared" si="7"/>
        <v>149341.73228346457</v>
      </c>
      <c r="M97" s="350">
        <f t="shared" si="14"/>
        <v>40322.267716535425</v>
      </c>
      <c r="Q97" s="338"/>
    </row>
    <row r="98" spans="1:17" ht="20.25" customHeight="1" x14ac:dyDescent="0.2">
      <c r="A98" s="109" t="s">
        <v>441</v>
      </c>
      <c r="B98" s="106"/>
      <c r="C98" s="107"/>
      <c r="D98" s="106"/>
      <c r="E98" s="343"/>
      <c r="F98" s="357">
        <f>238000+64260</f>
        <v>302260</v>
      </c>
      <c r="G98" s="344">
        <f>238000+64260</f>
        <v>302260</v>
      </c>
      <c r="H98" s="355"/>
      <c r="I98" s="355"/>
      <c r="J98" s="355"/>
      <c r="K98" s="355"/>
      <c r="L98" s="350">
        <f t="shared" si="7"/>
        <v>238000</v>
      </c>
      <c r="M98" s="350">
        <f t="shared" si="14"/>
        <v>64260</v>
      </c>
      <c r="Q98" s="338"/>
    </row>
    <row r="99" spans="1:17" ht="20.25" customHeight="1" x14ac:dyDescent="0.2">
      <c r="A99" s="109" t="s">
        <v>442</v>
      </c>
      <c r="B99" s="106"/>
      <c r="C99" s="107"/>
      <c r="D99" s="106"/>
      <c r="E99" s="343"/>
      <c r="F99" s="357">
        <f>24990+6747</f>
        <v>31737</v>
      </c>
      <c r="G99" s="344">
        <f>24990+6747</f>
        <v>31737</v>
      </c>
      <c r="H99" s="355"/>
      <c r="I99" s="355"/>
      <c r="J99" s="355"/>
      <c r="K99" s="355"/>
      <c r="L99" s="350">
        <f t="shared" si="7"/>
        <v>24989.763779527559</v>
      </c>
      <c r="M99" s="350">
        <f t="shared" si="14"/>
        <v>6747.2362204724413</v>
      </c>
      <c r="Q99" s="338"/>
    </row>
    <row r="100" spans="1:17" ht="20.25" customHeight="1" x14ac:dyDescent="0.2">
      <c r="A100" s="109" t="s">
        <v>443</v>
      </c>
      <c r="B100" s="106"/>
      <c r="C100" s="107"/>
      <c r="D100" s="106"/>
      <c r="E100" s="343"/>
      <c r="F100" s="357">
        <f>402502+108676</f>
        <v>511178</v>
      </c>
      <c r="G100" s="344">
        <f>402502+108676</f>
        <v>511178</v>
      </c>
      <c r="H100" s="355"/>
      <c r="I100" s="355"/>
      <c r="J100" s="355"/>
      <c r="K100" s="355"/>
      <c r="L100" s="350">
        <f t="shared" si="7"/>
        <v>402502.3622047244</v>
      </c>
      <c r="M100" s="350">
        <f t="shared" si="14"/>
        <v>108675.6377952756</v>
      </c>
      <c r="Q100" s="338"/>
    </row>
    <row r="101" spans="1:17" ht="20.25" customHeight="1" x14ac:dyDescent="0.2">
      <c r="A101" s="109" t="s">
        <v>444</v>
      </c>
      <c r="B101" s="106"/>
      <c r="C101" s="107"/>
      <c r="D101" s="106"/>
      <c r="E101" s="343"/>
      <c r="F101" s="357">
        <f>125920+33998</f>
        <v>159918</v>
      </c>
      <c r="G101" s="344">
        <f>125920+33998</f>
        <v>159918</v>
      </c>
      <c r="H101" s="355"/>
      <c r="I101" s="355"/>
      <c r="J101" s="355"/>
      <c r="K101" s="355"/>
      <c r="L101" s="350">
        <f t="shared" si="7"/>
        <v>125919.68503937007</v>
      </c>
      <c r="M101" s="350">
        <f t="shared" si="14"/>
        <v>33998.314960629927</v>
      </c>
      <c r="Q101" s="338"/>
    </row>
    <row r="102" spans="1:17" ht="20.25" customHeight="1" x14ac:dyDescent="0.2">
      <c r="A102" s="109"/>
      <c r="B102" s="106"/>
      <c r="C102" s="107"/>
      <c r="D102" s="106"/>
      <c r="E102" s="343"/>
      <c r="F102" s="357"/>
      <c r="G102" s="359"/>
      <c r="H102" s="375"/>
      <c r="I102" s="375"/>
      <c r="J102" s="375"/>
      <c r="K102" s="375"/>
      <c r="L102" s="352">
        <f>SUM(L46:L101)</f>
        <v>2440421.2598425192</v>
      </c>
      <c r="Q102" s="338"/>
    </row>
    <row r="103" spans="1:17" ht="20.25" customHeight="1" x14ac:dyDescent="0.2">
      <c r="A103" s="109"/>
      <c r="B103" s="106"/>
      <c r="C103" s="107"/>
      <c r="D103" s="106"/>
      <c r="E103" s="343"/>
      <c r="F103" s="357"/>
      <c r="G103" s="359"/>
      <c r="H103" s="375"/>
      <c r="I103" s="375"/>
      <c r="J103" s="375"/>
      <c r="K103" s="375"/>
      <c r="Q103" s="338"/>
    </row>
    <row r="104" spans="1:17" ht="20.25" customHeight="1" x14ac:dyDescent="0.2">
      <c r="A104" s="109"/>
      <c r="B104" s="106"/>
      <c r="C104" s="107"/>
      <c r="D104" s="106"/>
      <c r="E104" s="343"/>
      <c r="F104" s="357"/>
      <c r="G104" s="359"/>
      <c r="H104" s="375"/>
      <c r="I104" s="375"/>
      <c r="J104" s="375"/>
      <c r="K104" s="375"/>
    </row>
    <row r="105" spans="1:17" ht="20.25" customHeight="1" thickBot="1" x14ac:dyDescent="0.25">
      <c r="A105" s="211"/>
      <c r="B105" s="212"/>
      <c r="C105" s="213"/>
      <c r="D105" s="212"/>
      <c r="E105" s="345"/>
      <c r="F105" s="357"/>
      <c r="G105" s="359"/>
      <c r="H105" s="375"/>
      <c r="I105" s="375"/>
      <c r="J105" s="375"/>
      <c r="K105" s="375"/>
    </row>
    <row r="106" spans="1:17" ht="13.5" thickBot="1" x14ac:dyDescent="0.25">
      <c r="A106" s="110" t="s">
        <v>100</v>
      </c>
      <c r="B106" s="111">
        <f>SUM(B9:B20)</f>
        <v>0</v>
      </c>
      <c r="C106" s="112"/>
      <c r="D106" s="111">
        <f>SUM(D8:D19)</f>
        <v>0</v>
      </c>
      <c r="E106" s="346">
        <f>E8+E16</f>
        <v>6103000</v>
      </c>
      <c r="F106" s="362">
        <f>F8+F16</f>
        <v>13212770.85</v>
      </c>
      <c r="G106" s="363"/>
      <c r="H106" s="375"/>
      <c r="I106" s="375"/>
      <c r="J106" s="375"/>
      <c r="K106" s="375"/>
    </row>
    <row r="114" spans="1:4" x14ac:dyDescent="0.2">
      <c r="B114" s="142"/>
      <c r="C114" s="142"/>
      <c r="D114" s="142"/>
    </row>
    <row r="115" spans="1:4" ht="15.75" x14ac:dyDescent="0.2">
      <c r="A115" s="144"/>
      <c r="B115" s="143"/>
      <c r="C115" s="149"/>
      <c r="D115" s="150"/>
    </row>
    <row r="116" spans="1:4" ht="15.75" x14ac:dyDescent="0.2">
      <c r="A116" s="144"/>
      <c r="B116" s="145"/>
      <c r="C116" s="146"/>
      <c r="D116" s="150"/>
    </row>
    <row r="117" spans="1:4" ht="15.75" x14ac:dyDescent="0.2">
      <c r="A117" s="192"/>
      <c r="B117" s="145"/>
      <c r="C117" s="146"/>
      <c r="D117" s="150"/>
    </row>
    <row r="118" spans="1:4" ht="15.75" x14ac:dyDescent="0.2">
      <c r="A118" s="144"/>
      <c r="B118" s="145"/>
      <c r="C118" s="146"/>
    </row>
    <row r="119" spans="1:4" x14ac:dyDescent="0.2">
      <c r="A119" s="147"/>
      <c r="B119" s="145"/>
      <c r="C119" s="148"/>
    </row>
    <row r="120" spans="1:4" ht="15.75" x14ac:dyDescent="0.25">
      <c r="A120" s="151"/>
      <c r="B120" s="145"/>
      <c r="C120" s="146"/>
      <c r="D120" s="150"/>
    </row>
    <row r="121" spans="1:4" ht="15.75" x14ac:dyDescent="0.25">
      <c r="A121" s="151"/>
      <c r="C121" s="150"/>
      <c r="D121" s="150"/>
    </row>
    <row r="122" spans="1:4" ht="15.75" x14ac:dyDescent="0.25">
      <c r="A122" s="151"/>
      <c r="C122" s="150"/>
      <c r="D122" s="150"/>
    </row>
  </sheetData>
  <mergeCells count="3">
    <mergeCell ref="A1:E1"/>
    <mergeCell ref="A2:E2"/>
    <mergeCell ref="A4:E4"/>
  </mergeCells>
  <phoneticPr fontId="16" type="noConversion"/>
  <printOptions horizontalCentered="1" gridLines="1"/>
  <pageMargins left="0.15748031496062992" right="0.15748031496062992" top="1.4566929133858268" bottom="0.98425196850393704" header="0.51181102362204722" footer="0.51181102362204722"/>
  <pageSetup paperSize="9" scale="10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BreakPreview" zoomScaleNormal="100" workbookViewId="0">
      <selection activeCell="B2" sqref="B2"/>
    </sheetView>
  </sheetViews>
  <sheetFormatPr defaultColWidth="8" defaultRowHeight="12.75" x14ac:dyDescent="0.2"/>
  <cols>
    <col min="1" max="1" width="5" style="101" customWidth="1"/>
    <col min="2" max="2" width="47" style="88" customWidth="1"/>
    <col min="3" max="4" width="15.140625" style="88" customWidth="1"/>
    <col min="5" max="16384" width="8" style="88"/>
  </cols>
  <sheetData>
    <row r="1" spans="1:4" ht="18" x14ac:dyDescent="0.2">
      <c r="B1" s="554" t="s">
        <v>467</v>
      </c>
      <c r="C1" s="555"/>
    </row>
    <row r="3" spans="1:4" ht="37.5" customHeight="1" x14ac:dyDescent="0.2">
      <c r="B3" s="554" t="s">
        <v>190</v>
      </c>
      <c r="C3" s="555"/>
    </row>
    <row r="4" spans="1:4" ht="36.75" customHeight="1" x14ac:dyDescent="0.2">
      <c r="B4" s="554" t="s">
        <v>169</v>
      </c>
      <c r="C4" s="555"/>
      <c r="D4" s="88" t="s">
        <v>466</v>
      </c>
    </row>
    <row r="5" spans="1:4" s="76" customFormat="1" ht="15.75" thickBot="1" x14ac:dyDescent="0.25">
      <c r="A5" s="75"/>
      <c r="D5" s="139" t="s">
        <v>202</v>
      </c>
    </row>
    <row r="6" spans="1:4" s="80" customFormat="1" ht="48" customHeight="1" thickBot="1" x14ac:dyDescent="0.25">
      <c r="A6" s="77" t="s">
        <v>154</v>
      </c>
      <c r="B6" s="78" t="s">
        <v>34</v>
      </c>
      <c r="C6" s="78" t="s">
        <v>35</v>
      </c>
      <c r="D6" s="79" t="s">
        <v>36</v>
      </c>
    </row>
    <row r="7" spans="1:4" s="80" customFormat="1" ht="14.1" customHeight="1" thickBot="1" x14ac:dyDescent="0.25">
      <c r="A7" s="81">
        <v>1</v>
      </c>
      <c r="B7" s="82">
        <v>2</v>
      </c>
      <c r="C7" s="82">
        <v>3</v>
      </c>
      <c r="D7" s="83">
        <v>4</v>
      </c>
    </row>
    <row r="8" spans="1:4" ht="18" customHeight="1" x14ac:dyDescent="0.2">
      <c r="A8" s="84" t="s">
        <v>8</v>
      </c>
      <c r="B8" s="85" t="s">
        <v>37</v>
      </c>
      <c r="C8" s="86"/>
      <c r="D8" s="87"/>
    </row>
    <row r="9" spans="1:4" ht="18" customHeight="1" x14ac:dyDescent="0.2">
      <c r="A9" s="89" t="s">
        <v>17</v>
      </c>
      <c r="B9" s="90" t="s">
        <v>38</v>
      </c>
      <c r="C9" s="91"/>
      <c r="D9" s="92"/>
    </row>
    <row r="10" spans="1:4" ht="18" customHeight="1" x14ac:dyDescent="0.2">
      <c r="A10" s="89" t="s">
        <v>18</v>
      </c>
      <c r="B10" s="90" t="s">
        <v>39</v>
      </c>
      <c r="C10" s="91"/>
      <c r="D10" s="92"/>
    </row>
    <row r="11" spans="1:4" ht="18" customHeight="1" x14ac:dyDescent="0.2">
      <c r="A11" s="89" t="s">
        <v>19</v>
      </c>
      <c r="B11" s="90" t="s">
        <v>40</v>
      </c>
      <c r="C11" s="91"/>
      <c r="D11" s="92"/>
    </row>
    <row r="12" spans="1:4" ht="18" customHeight="1" x14ac:dyDescent="0.2">
      <c r="A12" s="89" t="s">
        <v>21</v>
      </c>
      <c r="B12" s="90" t="s">
        <v>41</v>
      </c>
      <c r="C12" s="91"/>
      <c r="D12" s="92"/>
    </row>
    <row r="13" spans="1:4" ht="18" customHeight="1" x14ac:dyDescent="0.2">
      <c r="A13" s="89" t="s">
        <v>22</v>
      </c>
      <c r="B13" s="90" t="s">
        <v>42</v>
      </c>
      <c r="C13" s="91"/>
      <c r="D13" s="92"/>
    </row>
    <row r="14" spans="1:4" ht="18" customHeight="1" x14ac:dyDescent="0.2">
      <c r="A14" s="89" t="s">
        <v>23</v>
      </c>
      <c r="B14" s="93" t="s">
        <v>43</v>
      </c>
      <c r="C14" s="91"/>
      <c r="D14" s="92"/>
    </row>
    <row r="15" spans="1:4" ht="18" customHeight="1" x14ac:dyDescent="0.2">
      <c r="A15" s="89" t="s">
        <v>25</v>
      </c>
      <c r="B15" s="93" t="s">
        <v>44</v>
      </c>
      <c r="C15" s="91"/>
      <c r="D15" s="92"/>
    </row>
    <row r="16" spans="1:4" ht="18" customHeight="1" x14ac:dyDescent="0.2">
      <c r="A16" s="89" t="s">
        <v>26</v>
      </c>
      <c r="B16" s="93" t="s">
        <v>45</v>
      </c>
      <c r="C16" s="91">
        <f>552000+409500+138000+175500</f>
        <v>1275000</v>
      </c>
      <c r="D16" s="92">
        <f>552000+409500</f>
        <v>961500</v>
      </c>
    </row>
    <row r="17" spans="1:4" ht="18" customHeight="1" x14ac:dyDescent="0.2">
      <c r="A17" s="89" t="s">
        <v>9</v>
      </c>
      <c r="B17" s="93" t="s">
        <v>46</v>
      </c>
      <c r="C17" s="91"/>
      <c r="D17" s="92"/>
    </row>
    <row r="18" spans="1:4" ht="18" customHeight="1" x14ac:dyDescent="0.2">
      <c r="A18" s="89" t="s">
        <v>29</v>
      </c>
      <c r="B18" s="93" t="s">
        <v>81</v>
      </c>
      <c r="C18" s="91"/>
      <c r="D18" s="92"/>
    </row>
    <row r="19" spans="1:4" ht="22.5" customHeight="1" x14ac:dyDescent="0.2">
      <c r="A19" s="89" t="s">
        <v>31</v>
      </c>
      <c r="B19" s="93" t="s">
        <v>82</v>
      </c>
      <c r="C19" s="91"/>
      <c r="D19" s="92"/>
    </row>
    <row r="20" spans="1:4" ht="18" customHeight="1" x14ac:dyDescent="0.2">
      <c r="A20" s="89" t="s">
        <v>83</v>
      </c>
      <c r="B20" s="90" t="s">
        <v>84</v>
      </c>
      <c r="C20" s="91"/>
      <c r="D20" s="92"/>
    </row>
    <row r="21" spans="1:4" ht="18" customHeight="1" x14ac:dyDescent="0.2">
      <c r="A21" s="89" t="s">
        <v>85</v>
      </c>
      <c r="B21" s="90" t="s">
        <v>86</v>
      </c>
      <c r="C21" s="91"/>
      <c r="D21" s="92"/>
    </row>
    <row r="22" spans="1:4" ht="18" customHeight="1" x14ac:dyDescent="0.2">
      <c r="A22" s="89" t="s">
        <v>87</v>
      </c>
      <c r="B22" s="90" t="s">
        <v>88</v>
      </c>
      <c r="C22" s="91"/>
      <c r="D22" s="92"/>
    </row>
    <row r="23" spans="1:4" ht="18" customHeight="1" x14ac:dyDescent="0.2">
      <c r="A23" s="89" t="s">
        <v>89</v>
      </c>
      <c r="B23" s="90" t="s">
        <v>90</v>
      </c>
      <c r="C23" s="91"/>
      <c r="D23" s="92"/>
    </row>
    <row r="24" spans="1:4" ht="18" customHeight="1" x14ac:dyDescent="0.2">
      <c r="A24" s="89" t="s">
        <v>91</v>
      </c>
      <c r="B24" s="90" t="s">
        <v>92</v>
      </c>
      <c r="C24" s="91"/>
      <c r="D24" s="92"/>
    </row>
    <row r="25" spans="1:4" ht="18" customHeight="1" thickBot="1" x14ac:dyDescent="0.25">
      <c r="A25" s="89" t="s">
        <v>93</v>
      </c>
      <c r="B25" s="94"/>
      <c r="C25" s="95"/>
      <c r="D25" s="92"/>
    </row>
    <row r="26" spans="1:4" ht="18" customHeight="1" thickBot="1" x14ac:dyDescent="0.25">
      <c r="A26" s="96" t="s">
        <v>94</v>
      </c>
      <c r="B26" s="97" t="s">
        <v>33</v>
      </c>
      <c r="C26" s="98">
        <f>SUM(C8:C25)</f>
        <v>1275000</v>
      </c>
      <c r="D26" s="99">
        <f>SUM(D8:D25)</f>
        <v>961500</v>
      </c>
    </row>
    <row r="27" spans="1:4" ht="8.25" customHeight="1" x14ac:dyDescent="0.2">
      <c r="A27" s="100"/>
      <c r="B27" s="553"/>
      <c r="C27" s="553"/>
      <c r="D27" s="553"/>
    </row>
  </sheetData>
  <mergeCells count="4">
    <mergeCell ref="B27:D27"/>
    <mergeCell ref="B1:C1"/>
    <mergeCell ref="B3:C3"/>
    <mergeCell ref="B4:C4"/>
  </mergeCells>
  <phoneticPr fontId="27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workbookViewId="0">
      <selection activeCell="B2" sqref="B2:H2"/>
    </sheetView>
  </sheetViews>
  <sheetFormatPr defaultColWidth="8" defaultRowHeight="12.75" x14ac:dyDescent="0.2"/>
  <cols>
    <col min="1" max="1" width="5.85546875" style="25" customWidth="1"/>
    <col min="2" max="2" width="42.5703125" style="26" customWidth="1"/>
    <col min="3" max="3" width="12.140625" style="26" bestFit="1" customWidth="1"/>
    <col min="4" max="8" width="11" style="26" customWidth="1"/>
    <col min="9" max="9" width="11.85546875" style="26" customWidth="1"/>
    <col min="10" max="16384" width="8" style="26"/>
  </cols>
  <sheetData>
    <row r="1" spans="1:9" ht="18" x14ac:dyDescent="0.2">
      <c r="B1" s="551" t="s">
        <v>468</v>
      </c>
      <c r="C1" s="563"/>
      <c r="D1" s="563"/>
      <c r="E1" s="563"/>
      <c r="F1" s="563"/>
      <c r="G1" s="563"/>
      <c r="H1" s="563"/>
    </row>
    <row r="2" spans="1:9" ht="18.75" x14ac:dyDescent="0.2">
      <c r="B2" s="551" t="s">
        <v>190</v>
      </c>
      <c r="C2" s="551"/>
      <c r="D2" s="551"/>
      <c r="E2" s="551"/>
      <c r="F2" s="551"/>
      <c r="G2" s="551"/>
      <c r="H2" s="551"/>
      <c r="I2" s="142" t="s">
        <v>203</v>
      </c>
    </row>
    <row r="3" spans="1:9" ht="18" x14ac:dyDescent="0.2">
      <c r="B3" s="551" t="s">
        <v>171</v>
      </c>
      <c r="C3" s="563"/>
      <c r="D3" s="563"/>
      <c r="E3" s="563"/>
      <c r="F3" s="563"/>
      <c r="G3" s="563"/>
      <c r="H3" s="563"/>
    </row>
    <row r="5" spans="1:9" ht="14.25" thickBot="1" x14ac:dyDescent="0.3">
      <c r="I5" s="140" t="s">
        <v>0</v>
      </c>
    </row>
    <row r="6" spans="1:9" x14ac:dyDescent="0.2">
      <c r="A6" s="564" t="s">
        <v>11</v>
      </c>
      <c r="B6" s="559" t="s">
        <v>12</v>
      </c>
      <c r="C6" s="564" t="s">
        <v>13</v>
      </c>
      <c r="D6" s="564" t="s">
        <v>197</v>
      </c>
      <c r="E6" s="556" t="s">
        <v>14</v>
      </c>
      <c r="F6" s="557"/>
      <c r="G6" s="557"/>
      <c r="H6" s="558"/>
      <c r="I6" s="559" t="s">
        <v>15</v>
      </c>
    </row>
    <row r="7" spans="1:9" ht="13.5" thickBot="1" x14ac:dyDescent="0.25">
      <c r="A7" s="565"/>
      <c r="B7" s="560"/>
      <c r="C7" s="560"/>
      <c r="D7" s="565"/>
      <c r="E7" s="27" t="s">
        <v>170</v>
      </c>
      <c r="F7" s="28" t="s">
        <v>198</v>
      </c>
      <c r="G7" s="28" t="s">
        <v>199</v>
      </c>
      <c r="H7" s="29" t="s">
        <v>200</v>
      </c>
      <c r="I7" s="560"/>
    </row>
    <row r="8" spans="1:9" ht="13.5" thickBot="1" x14ac:dyDescent="0.25">
      <c r="A8" s="30">
        <v>1</v>
      </c>
      <c r="B8" s="31">
        <v>2</v>
      </c>
      <c r="C8" s="32">
        <v>3</v>
      </c>
      <c r="D8" s="31">
        <v>4</v>
      </c>
      <c r="E8" s="30">
        <v>5</v>
      </c>
      <c r="F8" s="32">
        <v>6</v>
      </c>
      <c r="G8" s="32">
        <v>7</v>
      </c>
      <c r="H8" s="33">
        <v>8</v>
      </c>
      <c r="I8" s="34" t="s">
        <v>16</v>
      </c>
    </row>
    <row r="9" spans="1:9" ht="13.5" thickBot="1" x14ac:dyDescent="0.25">
      <c r="A9" s="35" t="s">
        <v>8</v>
      </c>
      <c r="B9" s="36" t="s">
        <v>175</v>
      </c>
      <c r="C9" s="37"/>
      <c r="D9" s="38">
        <f>SUM(D10:D11)</f>
        <v>0</v>
      </c>
      <c r="E9" s="39"/>
      <c r="F9" s="40"/>
      <c r="G9" s="40"/>
      <c r="H9" s="41"/>
      <c r="I9" s="42"/>
    </row>
    <row r="10" spans="1:9" x14ac:dyDescent="0.2">
      <c r="A10" s="43" t="s">
        <v>17</v>
      </c>
      <c r="B10" s="44"/>
      <c r="C10" s="45"/>
      <c r="D10" s="46"/>
      <c r="E10" s="47"/>
      <c r="F10" s="48"/>
      <c r="G10" s="48"/>
      <c r="H10" s="49"/>
      <c r="I10" s="50">
        <f t="shared" ref="I10:I21" si="0">SUM(D10:H10)</f>
        <v>0</v>
      </c>
    </row>
    <row r="11" spans="1:9" ht="13.5" thickBot="1" x14ac:dyDescent="0.25">
      <c r="A11" s="43" t="s">
        <v>18</v>
      </c>
      <c r="B11" s="44"/>
      <c r="C11" s="45"/>
      <c r="D11" s="46"/>
      <c r="E11" s="47"/>
      <c r="F11" s="48"/>
      <c r="G11" s="48"/>
      <c r="H11" s="49"/>
      <c r="I11" s="50">
        <f t="shared" si="0"/>
        <v>0</v>
      </c>
    </row>
    <row r="12" spans="1:9" ht="13.5" thickBot="1" x14ac:dyDescent="0.25">
      <c r="A12" s="35" t="s">
        <v>19</v>
      </c>
      <c r="B12" s="51" t="s">
        <v>20</v>
      </c>
      <c r="C12" s="52"/>
      <c r="D12" s="38">
        <f>SUM(D13:D14)</f>
        <v>0</v>
      </c>
      <c r="E12" s="39">
        <f>SUM(E13:E14)</f>
        <v>0</v>
      </c>
      <c r="F12" s="40">
        <f>SUM(F13:F14)</f>
        <v>0</v>
      </c>
      <c r="G12" s="40">
        <f>SUM(G13:G14)</f>
        <v>0</v>
      </c>
      <c r="H12" s="41">
        <f>SUM(H13:H14)</f>
        <v>0</v>
      </c>
      <c r="I12" s="42">
        <f t="shared" si="0"/>
        <v>0</v>
      </c>
    </row>
    <row r="13" spans="1:9" x14ac:dyDescent="0.2">
      <c r="A13" s="43" t="s">
        <v>21</v>
      </c>
      <c r="B13" s="44"/>
      <c r="C13" s="126"/>
      <c r="D13" s="46"/>
      <c r="E13" s="47"/>
      <c r="F13" s="48"/>
      <c r="G13" s="48"/>
      <c r="H13" s="49"/>
      <c r="I13" s="50">
        <f t="shared" si="0"/>
        <v>0</v>
      </c>
    </row>
    <row r="14" spans="1:9" ht="13.5" thickBot="1" x14ac:dyDescent="0.25">
      <c r="A14" s="43" t="s">
        <v>22</v>
      </c>
      <c r="B14" s="44"/>
      <c r="C14" s="45"/>
      <c r="D14" s="46"/>
      <c r="E14" s="47"/>
      <c r="F14" s="48"/>
      <c r="G14" s="48"/>
      <c r="H14" s="49"/>
      <c r="I14" s="50">
        <f t="shared" si="0"/>
        <v>0</v>
      </c>
    </row>
    <row r="15" spans="1:9" ht="13.5" thickBot="1" x14ac:dyDescent="0.25">
      <c r="A15" s="35" t="s">
        <v>23</v>
      </c>
      <c r="B15" s="51" t="s">
        <v>24</v>
      </c>
      <c r="C15" s="52"/>
      <c r="D15" s="38">
        <f>SUM(D16:D16)</f>
        <v>0</v>
      </c>
      <c r="E15" s="39"/>
      <c r="F15" s="40"/>
      <c r="G15" s="40"/>
      <c r="H15" s="41">
        <f>SUM(H16:H16)</f>
        <v>0</v>
      </c>
      <c r="I15" s="42">
        <f t="shared" si="0"/>
        <v>0</v>
      </c>
    </row>
    <row r="16" spans="1:9" ht="16.5" thickBot="1" x14ac:dyDescent="0.25">
      <c r="A16" s="43" t="s">
        <v>25</v>
      </c>
      <c r="B16" s="108"/>
      <c r="C16" s="45"/>
      <c r="D16" s="46"/>
      <c r="E16" s="47"/>
      <c r="F16" s="48"/>
      <c r="G16" s="48"/>
      <c r="H16" s="49"/>
      <c r="I16" s="50">
        <f t="shared" si="0"/>
        <v>0</v>
      </c>
    </row>
    <row r="17" spans="1:9" ht="13.5" thickBot="1" x14ac:dyDescent="0.25">
      <c r="A17" s="35" t="s">
        <v>26</v>
      </c>
      <c r="B17" s="51" t="s">
        <v>27</v>
      </c>
      <c r="C17" s="52"/>
      <c r="D17" s="38">
        <f>SUM(D18:D18)</f>
        <v>0</v>
      </c>
      <c r="E17" s="39">
        <f>SUM(E18:E18)</f>
        <v>0</v>
      </c>
      <c r="F17" s="40">
        <f>SUM(F18:F18)</f>
        <v>0</v>
      </c>
      <c r="G17" s="40">
        <f>SUM(G18:G18)</f>
        <v>0</v>
      </c>
      <c r="H17" s="41">
        <f>SUM(H18:H18)</f>
        <v>0</v>
      </c>
      <c r="I17" s="42">
        <f t="shared" si="0"/>
        <v>0</v>
      </c>
    </row>
    <row r="18" spans="1:9" ht="13.5" thickBot="1" x14ac:dyDescent="0.25">
      <c r="A18" s="53" t="s">
        <v>9</v>
      </c>
      <c r="B18" s="54" t="s">
        <v>28</v>
      </c>
      <c r="C18" s="55"/>
      <c r="D18" s="56"/>
      <c r="E18" s="57"/>
      <c r="F18" s="58"/>
      <c r="G18" s="58"/>
      <c r="H18" s="59"/>
      <c r="I18" s="60">
        <f t="shared" si="0"/>
        <v>0</v>
      </c>
    </row>
    <row r="19" spans="1:9" ht="13.5" thickBot="1" x14ac:dyDescent="0.25">
      <c r="A19" s="35" t="s">
        <v>29</v>
      </c>
      <c r="B19" s="61" t="s">
        <v>30</v>
      </c>
      <c r="C19" s="52"/>
      <c r="D19" s="62">
        <f>SUM(D20:D20)</f>
        <v>0</v>
      </c>
      <c r="E19" s="63">
        <f>SUM(E20:E20)</f>
        <v>0</v>
      </c>
      <c r="F19" s="64">
        <f>SUM(F20:F20)</f>
        <v>0</v>
      </c>
      <c r="G19" s="64">
        <v>1399109</v>
      </c>
      <c r="H19" s="65"/>
      <c r="I19" s="42">
        <f t="shared" si="0"/>
        <v>1399109</v>
      </c>
    </row>
    <row r="20" spans="1:9" ht="13.5" thickBot="1" x14ac:dyDescent="0.25">
      <c r="A20" s="66" t="s">
        <v>31</v>
      </c>
      <c r="B20" s="67" t="s">
        <v>218</v>
      </c>
      <c r="C20" s="68"/>
      <c r="D20" s="69"/>
      <c r="E20" s="70"/>
      <c r="F20" s="71"/>
      <c r="G20" s="64">
        <v>1399109</v>
      </c>
      <c r="H20" s="72"/>
      <c r="I20" s="73">
        <f t="shared" si="0"/>
        <v>1399109</v>
      </c>
    </row>
    <row r="21" spans="1:9" ht="13.5" thickBot="1" x14ac:dyDescent="0.25">
      <c r="A21" s="561" t="s">
        <v>32</v>
      </c>
      <c r="B21" s="562"/>
      <c r="C21" s="74"/>
      <c r="D21" s="38">
        <f>D9+D12+D15+D17+D19</f>
        <v>0</v>
      </c>
      <c r="E21" s="39">
        <f>E9+E12+E15+E17+E19</f>
        <v>0</v>
      </c>
      <c r="F21" s="40">
        <f>F9+F12+F15+F17+F19</f>
        <v>0</v>
      </c>
      <c r="G21" s="40">
        <f>G9+G12+G15+G17+G19</f>
        <v>1399109</v>
      </c>
      <c r="H21" s="41">
        <f>H9+H12+H15+H17+H19</f>
        <v>0</v>
      </c>
      <c r="I21" s="42">
        <f t="shared" si="0"/>
        <v>1399109</v>
      </c>
    </row>
    <row r="31" spans="1:9" x14ac:dyDescent="0.2">
      <c r="B31" s="141"/>
    </row>
  </sheetData>
  <mergeCells count="10">
    <mergeCell ref="E6:H6"/>
    <mergeCell ref="I6:I7"/>
    <mergeCell ref="A21:B21"/>
    <mergeCell ref="B1:H1"/>
    <mergeCell ref="B2:H2"/>
    <mergeCell ref="B3:H3"/>
    <mergeCell ref="A6:A7"/>
    <mergeCell ref="B6:B7"/>
    <mergeCell ref="C6:C7"/>
    <mergeCell ref="D6:D7"/>
  </mergeCells>
  <phoneticPr fontId="27" type="noConversion"/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BreakPreview" zoomScaleNormal="100" zoomScaleSheetLayoutView="100" workbookViewId="0">
      <selection activeCell="B2" sqref="B2"/>
    </sheetView>
  </sheetViews>
  <sheetFormatPr defaultRowHeight="12.75" x14ac:dyDescent="0.2"/>
  <cols>
    <col min="1" max="1" width="30.5703125" bestFit="1" customWidth="1"/>
    <col min="2" max="2" width="24.140625" customWidth="1"/>
    <col min="3" max="3" width="16.42578125" customWidth="1"/>
    <col min="4" max="4" width="23.28515625" customWidth="1"/>
  </cols>
  <sheetData>
    <row r="1" spans="1:4" ht="20.25" x14ac:dyDescent="0.3">
      <c r="B1" s="244" t="s">
        <v>275</v>
      </c>
    </row>
    <row r="2" spans="1:4" ht="15.75" x14ac:dyDescent="0.25">
      <c r="B2" s="231" t="s">
        <v>190</v>
      </c>
    </row>
    <row r="4" spans="1:4" ht="18" x14ac:dyDescent="0.25">
      <c r="B4" s="245" t="s">
        <v>268</v>
      </c>
    </row>
    <row r="7" spans="1:4" x14ac:dyDescent="0.2">
      <c r="D7" t="s">
        <v>202</v>
      </c>
    </row>
    <row r="8" spans="1:4" ht="13.5" thickBot="1" x14ac:dyDescent="0.25">
      <c r="A8" t="s">
        <v>269</v>
      </c>
      <c r="D8" s="246" t="s">
        <v>270</v>
      </c>
    </row>
    <row r="9" spans="1:4" x14ac:dyDescent="0.2">
      <c r="A9" s="121" t="s">
        <v>142</v>
      </c>
      <c r="B9" s="247" t="s">
        <v>271</v>
      </c>
      <c r="C9" s="247" t="s">
        <v>272</v>
      </c>
      <c r="D9" s="248" t="s">
        <v>273</v>
      </c>
    </row>
    <row r="10" spans="1:4" x14ac:dyDescent="0.2">
      <c r="A10" s="119" t="s">
        <v>274</v>
      </c>
      <c r="B10" s="249"/>
      <c r="C10" s="250"/>
      <c r="D10" s="251"/>
    </row>
    <row r="11" spans="1:4" x14ac:dyDescent="0.2">
      <c r="A11" s="119" t="s">
        <v>177</v>
      </c>
      <c r="B11" s="249"/>
      <c r="C11" s="250"/>
      <c r="D11" s="251"/>
    </row>
    <row r="12" spans="1:4" x14ac:dyDescent="0.2">
      <c r="A12" s="119"/>
      <c r="B12" s="249"/>
      <c r="C12" s="250"/>
      <c r="D12" s="251"/>
    </row>
    <row r="13" spans="1:4" x14ac:dyDescent="0.2">
      <c r="A13" s="119"/>
      <c r="B13" s="249"/>
      <c r="C13" s="113"/>
      <c r="D13" s="251"/>
    </row>
    <row r="14" spans="1:4" x14ac:dyDescent="0.2">
      <c r="A14" s="119"/>
      <c r="B14" s="249"/>
      <c r="C14" s="113"/>
      <c r="D14" s="251"/>
    </row>
    <row r="15" spans="1:4" x14ac:dyDescent="0.2">
      <c r="A15" s="119"/>
      <c r="B15" s="249"/>
      <c r="C15" s="113"/>
      <c r="D15" s="251"/>
    </row>
    <row r="16" spans="1:4" x14ac:dyDescent="0.2">
      <c r="A16" s="119"/>
      <c r="B16" s="249"/>
      <c r="C16" s="113"/>
      <c r="D16" s="251"/>
    </row>
    <row r="17" spans="1:4" ht="13.5" thickBot="1" x14ac:dyDescent="0.25">
      <c r="A17" s="120" t="s">
        <v>33</v>
      </c>
      <c r="B17" s="252">
        <f>SUM(B10:B16)</f>
        <v>0</v>
      </c>
      <c r="C17" s="242"/>
      <c r="D17" s="253"/>
    </row>
  </sheetData>
  <pageMargins left="0.7" right="0.7" top="0.75" bottom="0.75" header="0.3" footer="0.3"/>
  <pageSetup paperSize="9" scale="9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view="pageBreakPreview" zoomScale="60" zoomScaleNormal="100" workbookViewId="0">
      <selection activeCell="E2" sqref="E2:E3"/>
    </sheetView>
  </sheetViews>
  <sheetFormatPr defaultRowHeight="12.75" x14ac:dyDescent="0.2"/>
  <cols>
    <col min="1" max="1" width="4.140625" bestFit="1" customWidth="1"/>
    <col min="2" max="2" width="44.85546875" customWidth="1"/>
    <col min="3" max="3" width="16.28515625" bestFit="1" customWidth="1"/>
    <col min="4" max="4" width="21" bestFit="1" customWidth="1"/>
    <col min="16" max="18" width="16.28515625" bestFit="1" customWidth="1"/>
  </cols>
  <sheetData>
    <row r="1" spans="1:19" x14ac:dyDescent="0.2">
      <c r="Q1" s="254"/>
    </row>
    <row r="2" spans="1:19" ht="15.75" x14ac:dyDescent="0.25">
      <c r="B2" s="231" t="s">
        <v>266</v>
      </c>
      <c r="D2" t="s">
        <v>466</v>
      </c>
      <c r="Q2" s="254"/>
    </row>
    <row r="3" spans="1:19" ht="15.75" x14ac:dyDescent="0.25">
      <c r="A3" s="191"/>
      <c r="B3" s="231" t="s">
        <v>190</v>
      </c>
      <c r="D3" t="s">
        <v>276</v>
      </c>
      <c r="Q3" s="254"/>
    </row>
    <row r="4" spans="1:19" ht="16.5" thickBot="1" x14ac:dyDescent="0.3">
      <c r="A4" s="255"/>
      <c r="B4" s="256" t="s">
        <v>277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4"/>
      <c r="R4" s="257"/>
    </row>
    <row r="5" spans="1:19" ht="15" x14ac:dyDescent="0.25">
      <c r="A5" s="258"/>
      <c r="B5" s="259"/>
      <c r="C5" s="260">
        <v>2015</v>
      </c>
      <c r="D5" s="260">
        <v>2016</v>
      </c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423">
        <v>2014</v>
      </c>
      <c r="R5" s="424">
        <v>2015</v>
      </c>
      <c r="S5" s="425">
        <v>2016</v>
      </c>
    </row>
    <row r="6" spans="1:19" ht="14.25" x14ac:dyDescent="0.2">
      <c r="A6" s="263"/>
      <c r="B6" s="264" t="s">
        <v>278</v>
      </c>
      <c r="C6" s="238">
        <f>+C7+C11+C44+C71</f>
        <v>2226087765</v>
      </c>
      <c r="D6" s="238">
        <f>+D7+D11+D44+D71</f>
        <v>2335255263</v>
      </c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2">
        <f>+Q7+Q11+Q44+Q71</f>
        <v>2326586405</v>
      </c>
      <c r="R6" s="262">
        <f>+R7+R11+R44+R71</f>
        <v>2226087765</v>
      </c>
    </row>
    <row r="7" spans="1:19" ht="14.25" x14ac:dyDescent="0.2">
      <c r="A7" s="263" t="s">
        <v>147</v>
      </c>
      <c r="B7" s="264" t="s">
        <v>279</v>
      </c>
      <c r="C7" s="266">
        <f>SUM(C8:C10)</f>
        <v>75935</v>
      </c>
      <c r="D7" s="266">
        <f>SUM(D8:D10)</f>
        <v>189263046</v>
      </c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8">
        <f>SUM(Q8:Q10)</f>
        <v>681372</v>
      </c>
      <c r="R7" s="268">
        <f>SUM(R8:R10)</f>
        <v>75935</v>
      </c>
    </row>
    <row r="8" spans="1:19" ht="15" x14ac:dyDescent="0.25">
      <c r="A8" s="269"/>
      <c r="B8" s="270" t="s">
        <v>280</v>
      </c>
      <c r="C8" s="238">
        <v>75935</v>
      </c>
      <c r="D8" s="238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2">
        <f>405666+275706</f>
        <v>681372</v>
      </c>
      <c r="R8" s="265">
        <f>75935</f>
        <v>75935</v>
      </c>
    </row>
    <row r="9" spans="1:19" ht="15" x14ac:dyDescent="0.25">
      <c r="A9" s="269"/>
      <c r="B9" s="270" t="s">
        <v>281</v>
      </c>
      <c r="C9" s="238"/>
      <c r="D9" s="238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2"/>
      <c r="R9" s="265"/>
    </row>
    <row r="10" spans="1:19" ht="15" x14ac:dyDescent="0.25">
      <c r="A10" s="269"/>
      <c r="B10" s="270" t="s">
        <v>282</v>
      </c>
      <c r="C10" s="238"/>
      <c r="D10" s="238">
        <f>206734993-17471947</f>
        <v>189263046</v>
      </c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2"/>
      <c r="R10" s="265"/>
    </row>
    <row r="11" spans="1:19" ht="14.25" x14ac:dyDescent="0.2">
      <c r="A11" s="263" t="s">
        <v>148</v>
      </c>
      <c r="B11" s="264" t="s">
        <v>283</v>
      </c>
      <c r="C11" s="266">
        <f>+C12+C16+C20+C28</f>
        <v>2221701830</v>
      </c>
      <c r="D11" s="266">
        <f>+D12+D16+D20+D28</f>
        <v>2141682217</v>
      </c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71">
        <f>+Q12+Q16+Q20+Q28</f>
        <v>2321595033</v>
      </c>
      <c r="R11" s="271">
        <f>+R12+R16+R20+R28</f>
        <v>2221701830</v>
      </c>
    </row>
    <row r="12" spans="1:19" ht="15" x14ac:dyDescent="0.25">
      <c r="A12" s="269" t="s">
        <v>8</v>
      </c>
      <c r="B12" s="270" t="s">
        <v>284</v>
      </c>
      <c r="C12" s="238">
        <f>SUM(C13:C15)</f>
        <v>2003833110</v>
      </c>
      <c r="D12" s="238">
        <f>SUM(D13:D15)</f>
        <v>2129072587</v>
      </c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2">
        <f>SUM(Q13:Q15)</f>
        <v>2098823042</v>
      </c>
      <c r="R12" s="262">
        <f>SUM(R13:R15)</f>
        <v>2003833110</v>
      </c>
    </row>
    <row r="13" spans="1:19" ht="15" x14ac:dyDescent="0.25">
      <c r="A13" s="269"/>
      <c r="B13" s="270" t="s">
        <v>285</v>
      </c>
      <c r="C13" s="238">
        <v>193519615</v>
      </c>
      <c r="D13" s="238">
        <f>50000+2544076+10445000+125248919-24291145+17632354-598908+4886710-701003+5918362-1137823+16907100-1014424+12000+138000-3870+241185900-7235576</f>
        <v>389985672</v>
      </c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72">
        <f>50000+1920787+328000+20918000+144019882+17538085+1080080+33022980+4381176+6595102+16568959</f>
        <v>246423051</v>
      </c>
      <c r="R13" s="265">
        <f>50000+1382003+2544076+10509000+102787808+17484130+1042687+30765206+4283441+6440446+16230818</f>
        <v>193519615</v>
      </c>
    </row>
    <row r="14" spans="1:19" ht="15" x14ac:dyDescent="0.25">
      <c r="A14" s="269"/>
      <c r="B14" s="270" t="s">
        <v>286</v>
      </c>
      <c r="C14" s="238">
        <v>1303743245</v>
      </c>
      <c r="D14" s="238">
        <f>161208836+2772000+4838800-1392594+1721865-52792+384427769-148762848+32344978-7445545+61505795-15754186+10364100+177478400+4000-240+66676900-7421780+15000-900+606155300-83985133</f>
        <v>1244697725</v>
      </c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2">
        <f>161208836+2772000+3639759+1669073+285586556+26193232+48092929+10364100+177478400+3920+63255734+14700+558539479</f>
        <v>1338818718</v>
      </c>
      <c r="R14" s="265">
        <f>161208836+2772000+3542982+1669073+272789121+25546333+46743909+10364100+177478400+3840+61255428+14400+540354823</f>
        <v>1303743245</v>
      </c>
    </row>
    <row r="15" spans="1:19" ht="15" x14ac:dyDescent="0.25">
      <c r="A15" s="269"/>
      <c r="B15" s="270" t="s">
        <v>287</v>
      </c>
      <c r="C15" s="238">
        <v>506570250</v>
      </c>
      <c r="D15" s="238">
        <f>1019121-207890+43261400+1244000+21044516+9974492-4656413+7072114-1614241+24000+87000+3658241-1443057+2353200-329840+525294-100909+32040170-7183041+166601100+2329500+48312255-5652947+214152620-39818258+1798800-336037+234000</f>
        <v>494389190</v>
      </c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73">
        <f>851995+42836400+2488000+21044516+8152951+5575107+24000+87000+1332142+2070425+445396+26138734+166601100+2587500+44591800+187183515+1570692</f>
        <v>513581273</v>
      </c>
      <c r="R15" s="265">
        <f>831613+43261400+2488000+21044516+7873697+5436580+24000+87000+2477441+2023360+434891+25497933+166601100+2587500+43625554+180758938+1516727</f>
        <v>506570250</v>
      </c>
    </row>
    <row r="16" spans="1:19" ht="15" x14ac:dyDescent="0.25">
      <c r="A16" s="269" t="s">
        <v>17</v>
      </c>
      <c r="B16" s="270" t="s">
        <v>288</v>
      </c>
      <c r="C16" s="266">
        <f>SUM(C17:C19)</f>
        <v>3201689</v>
      </c>
      <c r="D16" s="266">
        <f>SUM(D17:D19)</f>
        <v>3501062</v>
      </c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8">
        <f>SUM(Q17:Q19)</f>
        <v>5587418</v>
      </c>
      <c r="R16" s="268">
        <f>SUM(R17:R19)</f>
        <v>3201689</v>
      </c>
    </row>
    <row r="17" spans="1:18" ht="15" x14ac:dyDescent="0.25">
      <c r="A17" s="269"/>
      <c r="B17" s="270" t="s">
        <v>285</v>
      </c>
      <c r="C17" s="238"/>
      <c r="D17" s="238">
        <f>1123000-370588+1875000-271872</f>
        <v>2355540</v>
      </c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72"/>
      <c r="R17" s="265"/>
    </row>
    <row r="18" spans="1:18" ht="15" x14ac:dyDescent="0.25">
      <c r="A18" s="269"/>
      <c r="B18" s="270" t="s">
        <v>286</v>
      </c>
      <c r="C18" s="238"/>
      <c r="D18" s="238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2"/>
      <c r="R18" s="265"/>
    </row>
    <row r="19" spans="1:18" ht="15" x14ac:dyDescent="0.25">
      <c r="A19" s="269"/>
      <c r="B19" s="270" t="s">
        <v>287</v>
      </c>
      <c r="C19" s="238">
        <v>3201689</v>
      </c>
      <c r="D19" s="238">
        <f>789987-584669+3199632-2259428</f>
        <v>1145522</v>
      </c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73">
        <f>2332072+2075884+78092+1101370</f>
        <v>5587418</v>
      </c>
      <c r="R19" s="265">
        <f>1782524+1419165</f>
        <v>3201689</v>
      </c>
    </row>
    <row r="20" spans="1:18" ht="15" x14ac:dyDescent="0.25">
      <c r="A20" s="269" t="s">
        <v>18</v>
      </c>
      <c r="B20" s="270" t="s">
        <v>289</v>
      </c>
      <c r="C20" s="266">
        <f>SUM(C21:C23)</f>
        <v>9341620</v>
      </c>
      <c r="D20" s="266">
        <f>SUM(D21:D23)</f>
        <v>6860030</v>
      </c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8">
        <f>SUM(Q21:Q23)</f>
        <v>10925000</v>
      </c>
      <c r="R20" s="268">
        <f>SUM(R21:R23)</f>
        <v>9341620</v>
      </c>
    </row>
    <row r="21" spans="1:18" ht="15" x14ac:dyDescent="0.25">
      <c r="A21" s="269"/>
      <c r="B21" s="270" t="s">
        <v>285</v>
      </c>
      <c r="C21" s="238">
        <v>8540250</v>
      </c>
      <c r="D21" s="238">
        <f>11438187-5079527</f>
        <v>6358660</v>
      </c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72">
        <f>9916663+1008337</f>
        <v>10925000</v>
      </c>
      <c r="R21" s="265">
        <f>754587+7785663</f>
        <v>8540250</v>
      </c>
    </row>
    <row r="22" spans="1:18" ht="15" x14ac:dyDescent="0.25">
      <c r="A22" s="269"/>
      <c r="B22" s="270" t="s">
        <v>286</v>
      </c>
      <c r="C22" s="238"/>
      <c r="D22" s="238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2"/>
      <c r="R22" s="265"/>
    </row>
    <row r="23" spans="1:18" ht="15" x14ac:dyDescent="0.25">
      <c r="A23" s="269"/>
      <c r="B23" s="270" t="s">
        <v>287</v>
      </c>
      <c r="C23" s="238">
        <v>801370</v>
      </c>
      <c r="D23" s="238">
        <f>1500000-998630</f>
        <v>501370</v>
      </c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2"/>
      <c r="R23" s="265">
        <v>801370</v>
      </c>
    </row>
    <row r="24" spans="1:18" ht="15" x14ac:dyDescent="0.25">
      <c r="A24" s="269" t="s">
        <v>19</v>
      </c>
      <c r="B24" s="270" t="s">
        <v>290</v>
      </c>
      <c r="C24" s="238"/>
      <c r="D24" s="238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2"/>
      <c r="R24" s="265"/>
    </row>
    <row r="25" spans="1:18" ht="15" x14ac:dyDescent="0.25">
      <c r="A25" s="269"/>
      <c r="B25" s="270" t="s">
        <v>280</v>
      </c>
      <c r="C25" s="238"/>
      <c r="D25" s="238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2"/>
      <c r="R25" s="265"/>
    </row>
    <row r="26" spans="1:18" ht="15" x14ac:dyDescent="0.25">
      <c r="A26" s="269"/>
      <c r="B26" s="270" t="s">
        <v>281</v>
      </c>
      <c r="C26" s="238"/>
      <c r="D26" s="238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2"/>
      <c r="R26" s="265"/>
    </row>
    <row r="27" spans="1:18" ht="15" x14ac:dyDescent="0.25">
      <c r="A27" s="269"/>
      <c r="B27" s="270" t="s">
        <v>282</v>
      </c>
      <c r="C27" s="238"/>
      <c r="D27" s="238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73"/>
      <c r="R27" s="265"/>
    </row>
    <row r="28" spans="1:18" ht="15" x14ac:dyDescent="0.25">
      <c r="A28" s="269" t="s">
        <v>21</v>
      </c>
      <c r="B28" s="270" t="s">
        <v>291</v>
      </c>
      <c r="C28" s="266">
        <f>SUM(C29:C31)</f>
        <v>205325411</v>
      </c>
      <c r="D28" s="266">
        <f>SUM(D29:D31)</f>
        <v>2248538</v>
      </c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8">
        <f>SUM(Q29:Q31)</f>
        <v>206259573</v>
      </c>
      <c r="R28" s="268">
        <f>SUM(R29:R31)</f>
        <v>205325411</v>
      </c>
    </row>
    <row r="29" spans="1:18" ht="15" x14ac:dyDescent="0.25">
      <c r="A29" s="269"/>
      <c r="B29" s="270" t="s">
        <v>280</v>
      </c>
      <c r="C29" s="238">
        <v>205325411</v>
      </c>
      <c r="D29" s="238">
        <f>1051338+1197200</f>
        <v>2248538</v>
      </c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72">
        <f>204624776+1510797+124000</f>
        <v>206259573</v>
      </c>
      <c r="R29" s="265">
        <f>204624776+385950+314685</f>
        <v>205325411</v>
      </c>
    </row>
    <row r="30" spans="1:18" ht="15" x14ac:dyDescent="0.25">
      <c r="A30" s="269"/>
      <c r="B30" s="270" t="s">
        <v>281</v>
      </c>
      <c r="C30" s="238"/>
      <c r="D30" s="238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2"/>
      <c r="R30" s="265"/>
    </row>
    <row r="31" spans="1:18" ht="15" x14ac:dyDescent="0.25">
      <c r="A31" s="269"/>
      <c r="B31" s="270" t="s">
        <v>282</v>
      </c>
      <c r="C31" s="238"/>
      <c r="D31" s="238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2"/>
      <c r="R31" s="265"/>
    </row>
    <row r="32" spans="1:18" ht="15" x14ac:dyDescent="0.25">
      <c r="A32" s="269" t="s">
        <v>22</v>
      </c>
      <c r="B32" s="270" t="s">
        <v>292</v>
      </c>
      <c r="C32" s="238"/>
      <c r="D32" s="238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2"/>
      <c r="R32" s="265"/>
    </row>
    <row r="33" spans="1:18" ht="15" x14ac:dyDescent="0.25">
      <c r="A33" s="269"/>
      <c r="B33" s="270" t="s">
        <v>280</v>
      </c>
      <c r="C33" s="238"/>
      <c r="D33" s="238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2"/>
      <c r="R33" s="265"/>
    </row>
    <row r="34" spans="1:18" ht="15" x14ac:dyDescent="0.25">
      <c r="A34" s="269"/>
      <c r="B34" s="270" t="s">
        <v>281</v>
      </c>
      <c r="C34" s="238"/>
      <c r="D34" s="238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2"/>
      <c r="R34" s="265"/>
    </row>
    <row r="35" spans="1:18" ht="15" x14ac:dyDescent="0.25">
      <c r="A35" s="269"/>
      <c r="B35" s="270" t="s">
        <v>282</v>
      </c>
      <c r="C35" s="238"/>
      <c r="D35" s="238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2"/>
      <c r="R35" s="265"/>
    </row>
    <row r="36" spans="1:18" ht="15" x14ac:dyDescent="0.25">
      <c r="A36" s="269" t="s">
        <v>23</v>
      </c>
      <c r="B36" s="270" t="s">
        <v>293</v>
      </c>
      <c r="C36" s="238"/>
      <c r="D36" s="238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2"/>
      <c r="R36" s="265"/>
    </row>
    <row r="37" spans="1:18" ht="15" x14ac:dyDescent="0.25">
      <c r="A37" s="269"/>
      <c r="B37" s="270" t="s">
        <v>280</v>
      </c>
      <c r="C37" s="238"/>
      <c r="D37" s="238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2"/>
      <c r="R37" s="265"/>
    </row>
    <row r="38" spans="1:18" ht="15" x14ac:dyDescent="0.25">
      <c r="A38" s="269"/>
      <c r="B38" s="270" t="s">
        <v>281</v>
      </c>
      <c r="C38" s="238"/>
      <c r="D38" s="238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2"/>
      <c r="R38" s="265"/>
    </row>
    <row r="39" spans="1:18" ht="15" x14ac:dyDescent="0.25">
      <c r="A39" s="269"/>
      <c r="B39" s="270" t="s">
        <v>282</v>
      </c>
      <c r="C39" s="238"/>
      <c r="D39" s="238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2"/>
      <c r="R39" s="265"/>
    </row>
    <row r="40" spans="1:18" ht="15" x14ac:dyDescent="0.25">
      <c r="A40" s="269" t="s">
        <v>25</v>
      </c>
      <c r="B40" s="270" t="s">
        <v>294</v>
      </c>
      <c r="C40" s="238"/>
      <c r="D40" s="238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2"/>
      <c r="R40" s="265"/>
    </row>
    <row r="41" spans="1:18" ht="15" x14ac:dyDescent="0.25">
      <c r="A41" s="269"/>
      <c r="B41" s="270" t="s">
        <v>280</v>
      </c>
      <c r="C41" s="238"/>
      <c r="D41" s="238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2"/>
      <c r="R41" s="265"/>
    </row>
    <row r="42" spans="1:18" ht="15" x14ac:dyDescent="0.25">
      <c r="A42" s="269"/>
      <c r="B42" s="270" t="s">
        <v>281</v>
      </c>
      <c r="C42" s="238"/>
      <c r="D42" s="238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2"/>
      <c r="R42" s="265"/>
    </row>
    <row r="43" spans="1:18" ht="15" x14ac:dyDescent="0.25">
      <c r="A43" s="269"/>
      <c r="B43" s="270" t="s">
        <v>282</v>
      </c>
      <c r="C43" s="238"/>
      <c r="D43" s="238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2"/>
      <c r="R43" s="265"/>
    </row>
    <row r="44" spans="1:18" ht="14.25" x14ac:dyDescent="0.2">
      <c r="A44" s="263" t="s">
        <v>149</v>
      </c>
      <c r="B44" s="264" t="s">
        <v>295</v>
      </c>
      <c r="C44" s="266">
        <f>+C45+C55</f>
        <v>4310000</v>
      </c>
      <c r="D44" s="266">
        <f>+D45+D55</f>
        <v>4310000</v>
      </c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8">
        <f>+Q45+Q55</f>
        <v>4310000</v>
      </c>
      <c r="R44" s="268">
        <f>+R45+R55</f>
        <v>4310000</v>
      </c>
    </row>
    <row r="45" spans="1:18" ht="15" x14ac:dyDescent="0.25">
      <c r="A45" s="269" t="s">
        <v>8</v>
      </c>
      <c r="B45" s="270" t="s">
        <v>296</v>
      </c>
      <c r="C45" s="238">
        <f>SUM(C46:C48)</f>
        <v>4310000</v>
      </c>
      <c r="D45" s="238">
        <f>SUM(D46:D48)</f>
        <v>4310000</v>
      </c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2">
        <f>SUM(Q46:Q48)</f>
        <v>4310000</v>
      </c>
      <c r="R45" s="262">
        <f>SUM(R46:R48)</f>
        <v>4310000</v>
      </c>
    </row>
    <row r="46" spans="1:18" ht="15" x14ac:dyDescent="0.25">
      <c r="A46" s="269"/>
      <c r="B46" s="270" t="s">
        <v>285</v>
      </c>
      <c r="C46" s="238"/>
      <c r="D46" s="238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2"/>
      <c r="R46" s="265"/>
    </row>
    <row r="47" spans="1:18" ht="15" x14ac:dyDescent="0.25">
      <c r="A47" s="269"/>
      <c r="B47" s="270" t="s">
        <v>286</v>
      </c>
      <c r="C47" s="238"/>
      <c r="D47" s="238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2"/>
      <c r="R47" s="265"/>
    </row>
    <row r="48" spans="1:18" ht="15" x14ac:dyDescent="0.25">
      <c r="A48" s="269"/>
      <c r="B48" s="270" t="s">
        <v>287</v>
      </c>
      <c r="C48" s="238">
        <v>4310000</v>
      </c>
      <c r="D48" s="238">
        <v>4310000</v>
      </c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2">
        <f>10000+4300000</f>
        <v>4310000</v>
      </c>
      <c r="R48" s="265">
        <f>10000+4300000</f>
        <v>4310000</v>
      </c>
    </row>
    <row r="49" spans="1:18" ht="15" x14ac:dyDescent="0.25">
      <c r="A49" s="269"/>
      <c r="B49" s="270"/>
      <c r="C49" s="238"/>
      <c r="D49" s="238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2"/>
      <c r="R49" s="265"/>
    </row>
    <row r="50" spans="1:18" ht="15" x14ac:dyDescent="0.25">
      <c r="A50" s="269"/>
      <c r="B50" s="270"/>
      <c r="C50" s="238"/>
      <c r="D50" s="238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2"/>
      <c r="R50" s="265">
        <f>SUM(R8:R49)</f>
        <v>6678111425</v>
      </c>
    </row>
    <row r="51" spans="1:18" ht="15" x14ac:dyDescent="0.25">
      <c r="A51" s="269" t="s">
        <v>17</v>
      </c>
      <c r="B51" s="270" t="s">
        <v>297</v>
      </c>
      <c r="C51" s="238"/>
      <c r="D51" s="238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2"/>
      <c r="R51" s="265"/>
    </row>
    <row r="52" spans="1:18" ht="15" x14ac:dyDescent="0.25">
      <c r="A52" s="269"/>
      <c r="B52" s="270" t="s">
        <v>280</v>
      </c>
      <c r="C52" s="238"/>
      <c r="D52" s="238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2"/>
      <c r="R52" s="265"/>
    </row>
    <row r="53" spans="1:18" ht="15" x14ac:dyDescent="0.25">
      <c r="A53" s="269"/>
      <c r="B53" s="270" t="s">
        <v>281</v>
      </c>
      <c r="C53" s="238"/>
      <c r="D53" s="238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2"/>
      <c r="R53" s="265"/>
    </row>
    <row r="54" spans="1:18" ht="15" x14ac:dyDescent="0.25">
      <c r="A54" s="269"/>
      <c r="B54" s="270" t="s">
        <v>282</v>
      </c>
      <c r="C54" s="238"/>
      <c r="D54" s="238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2"/>
      <c r="R54" s="265"/>
    </row>
    <row r="55" spans="1:18" ht="15" x14ac:dyDescent="0.25">
      <c r="A55" s="269" t="s">
        <v>18</v>
      </c>
      <c r="B55" s="270" t="s">
        <v>298</v>
      </c>
      <c r="C55" s="238">
        <f>+C58</f>
        <v>0</v>
      </c>
      <c r="D55" s="238">
        <f>+D58</f>
        <v>0</v>
      </c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2">
        <f>+Q58</f>
        <v>0</v>
      </c>
      <c r="R55" s="265"/>
    </row>
    <row r="56" spans="1:18" ht="15" x14ac:dyDescent="0.25">
      <c r="A56" s="269"/>
      <c r="B56" s="270" t="s">
        <v>280</v>
      </c>
      <c r="C56" s="238"/>
      <c r="D56" s="238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262"/>
      <c r="R56" s="265"/>
    </row>
    <row r="57" spans="1:18" ht="15" x14ac:dyDescent="0.25">
      <c r="A57" s="269"/>
      <c r="B57" s="270" t="s">
        <v>281</v>
      </c>
      <c r="C57" s="238"/>
      <c r="D57" s="238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2"/>
      <c r="R57" s="265"/>
    </row>
    <row r="58" spans="1:18" ht="15" x14ac:dyDescent="0.25">
      <c r="A58" s="269"/>
      <c r="B58" s="270" t="s">
        <v>282</v>
      </c>
      <c r="C58" s="238"/>
      <c r="D58" s="238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2"/>
      <c r="R58" s="265"/>
    </row>
    <row r="59" spans="1:18" ht="15" x14ac:dyDescent="0.25">
      <c r="A59" s="269" t="s">
        <v>19</v>
      </c>
      <c r="B59" s="270" t="s">
        <v>299</v>
      </c>
      <c r="C59" s="238"/>
      <c r="D59" s="238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2"/>
      <c r="R59" s="265"/>
    </row>
    <row r="60" spans="1:18" ht="15" x14ac:dyDescent="0.25">
      <c r="A60" s="269"/>
      <c r="B60" s="270" t="s">
        <v>280</v>
      </c>
      <c r="C60" s="238"/>
      <c r="D60" s="238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2"/>
      <c r="R60" s="265"/>
    </row>
    <row r="61" spans="1:18" ht="15" x14ac:dyDescent="0.25">
      <c r="A61" s="269"/>
      <c r="B61" s="270" t="s">
        <v>281</v>
      </c>
      <c r="C61" s="238"/>
      <c r="D61" s="238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2"/>
      <c r="R61" s="265"/>
    </row>
    <row r="62" spans="1:18" ht="15" x14ac:dyDescent="0.25">
      <c r="A62" s="269"/>
      <c r="B62" s="270" t="s">
        <v>282</v>
      </c>
      <c r="C62" s="238"/>
      <c r="D62" s="238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2"/>
      <c r="R62" s="265"/>
    </row>
    <row r="63" spans="1:18" ht="15" x14ac:dyDescent="0.25">
      <c r="A63" s="269" t="s">
        <v>21</v>
      </c>
      <c r="B63" s="270" t="s">
        <v>300</v>
      </c>
      <c r="C63" s="238"/>
      <c r="D63" s="238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2"/>
      <c r="R63" s="265"/>
    </row>
    <row r="64" spans="1:18" ht="15" x14ac:dyDescent="0.25">
      <c r="A64" s="269"/>
      <c r="B64" s="270" t="s">
        <v>280</v>
      </c>
      <c r="C64" s="238"/>
      <c r="D64" s="238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2"/>
      <c r="R64" s="265"/>
    </row>
    <row r="65" spans="1:18" ht="15" x14ac:dyDescent="0.25">
      <c r="A65" s="269"/>
      <c r="B65" s="270" t="s">
        <v>281</v>
      </c>
      <c r="C65" s="238"/>
      <c r="D65" s="238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2"/>
      <c r="R65" s="265"/>
    </row>
    <row r="66" spans="1:18" ht="15" x14ac:dyDescent="0.25">
      <c r="A66" s="269"/>
      <c r="B66" s="270" t="s">
        <v>282</v>
      </c>
      <c r="C66" s="238"/>
      <c r="D66" s="238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2"/>
      <c r="R66" s="265"/>
    </row>
    <row r="67" spans="1:18" ht="15" x14ac:dyDescent="0.25">
      <c r="A67" s="269" t="s">
        <v>22</v>
      </c>
      <c r="B67" s="270" t="s">
        <v>301</v>
      </c>
      <c r="C67" s="238"/>
      <c r="D67" s="238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2"/>
      <c r="R67" s="265"/>
    </row>
    <row r="68" spans="1:18" ht="15" x14ac:dyDescent="0.25">
      <c r="A68" s="269"/>
      <c r="B68" s="270" t="s">
        <v>280</v>
      </c>
      <c r="C68" s="238"/>
      <c r="D68" s="238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2"/>
      <c r="R68" s="265"/>
    </row>
    <row r="69" spans="1:18" ht="15" x14ac:dyDescent="0.25">
      <c r="A69" s="269"/>
      <c r="B69" s="270" t="s">
        <v>281</v>
      </c>
      <c r="C69" s="238"/>
      <c r="D69" s="238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2"/>
      <c r="R69" s="265"/>
    </row>
    <row r="70" spans="1:18" ht="15" x14ac:dyDescent="0.25">
      <c r="A70" s="269"/>
      <c r="B70" s="270" t="s">
        <v>282</v>
      </c>
      <c r="C70" s="238"/>
      <c r="D70" s="238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2"/>
      <c r="R70" s="265"/>
    </row>
    <row r="71" spans="1:18" ht="42.75" x14ac:dyDescent="0.2">
      <c r="A71" s="263" t="s">
        <v>136</v>
      </c>
      <c r="B71" s="274" t="s">
        <v>302</v>
      </c>
      <c r="C71" s="238">
        <f>SUM(C72:C74)</f>
        <v>0</v>
      </c>
      <c r="D71" s="238">
        <f>SUM(D72:D74)</f>
        <v>0</v>
      </c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2">
        <f>SUM(Q72:Q74)</f>
        <v>0</v>
      </c>
      <c r="R71" s="265"/>
    </row>
    <row r="72" spans="1:18" ht="15" x14ac:dyDescent="0.25">
      <c r="A72" s="269"/>
      <c r="B72" s="270" t="s">
        <v>285</v>
      </c>
      <c r="C72" s="238"/>
      <c r="D72" s="238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2"/>
      <c r="R72" s="265"/>
    </row>
    <row r="73" spans="1:18" ht="15" x14ac:dyDescent="0.25">
      <c r="A73" s="269"/>
      <c r="B73" s="270" t="s">
        <v>286</v>
      </c>
      <c r="C73" s="238"/>
      <c r="D73" s="238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2"/>
      <c r="R73" s="265"/>
    </row>
    <row r="74" spans="1:18" ht="15" x14ac:dyDescent="0.25">
      <c r="A74" s="269"/>
      <c r="B74" s="270" t="s">
        <v>287</v>
      </c>
      <c r="C74" s="238"/>
      <c r="D74" s="238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2"/>
      <c r="R74" s="265"/>
    </row>
    <row r="75" spans="1:18" ht="15" x14ac:dyDescent="0.25">
      <c r="A75" s="269"/>
      <c r="B75" s="264" t="s">
        <v>303</v>
      </c>
      <c r="C75" s="238">
        <f>+C76+C80+C84+C88+C92</f>
        <v>59222734</v>
      </c>
      <c r="D75" s="238">
        <f>+D76+D80+D84+D88+D92</f>
        <v>85085468</v>
      </c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2">
        <f>+Q76+Q80+Q84+Q88+Q92</f>
        <v>23096</v>
      </c>
      <c r="R75" s="265"/>
    </row>
    <row r="76" spans="1:18" ht="14.25" x14ac:dyDescent="0.2">
      <c r="A76" s="263" t="s">
        <v>147</v>
      </c>
      <c r="B76" s="264" t="s">
        <v>304</v>
      </c>
      <c r="C76" s="238"/>
      <c r="D76" s="238"/>
      <c r="E76" s="265"/>
      <c r="F76" s="265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2"/>
      <c r="R76" s="265"/>
    </row>
    <row r="77" spans="1:18" ht="15" x14ac:dyDescent="0.25">
      <c r="A77" s="269"/>
      <c r="B77" s="270" t="s">
        <v>280</v>
      </c>
      <c r="C77" s="238"/>
      <c r="D77" s="238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2"/>
      <c r="R77" s="265"/>
    </row>
    <row r="78" spans="1:18" ht="15" x14ac:dyDescent="0.25">
      <c r="A78" s="269"/>
      <c r="B78" s="270" t="s">
        <v>281</v>
      </c>
      <c r="C78" s="238"/>
      <c r="D78" s="238"/>
      <c r="E78" s="265"/>
      <c r="F78" s="265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2"/>
      <c r="R78" s="265"/>
    </row>
    <row r="79" spans="1:18" ht="15" x14ac:dyDescent="0.25">
      <c r="A79" s="269"/>
      <c r="B79" s="270" t="s">
        <v>282</v>
      </c>
      <c r="C79" s="238"/>
      <c r="D79" s="238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2"/>
      <c r="R79" s="265"/>
    </row>
    <row r="80" spans="1:18" ht="14.25" x14ac:dyDescent="0.2">
      <c r="A80" s="263" t="s">
        <v>148</v>
      </c>
      <c r="B80" s="264" t="s">
        <v>305</v>
      </c>
      <c r="C80" s="238">
        <f>+C83</f>
        <v>23286520</v>
      </c>
      <c r="D80" s="238">
        <f>+D83</f>
        <v>22377494</v>
      </c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2">
        <f>+Q83</f>
        <v>0</v>
      </c>
      <c r="R80" s="265"/>
    </row>
    <row r="81" spans="1:18" ht="15" x14ac:dyDescent="0.25">
      <c r="A81" s="269"/>
      <c r="B81" s="270" t="s">
        <v>280</v>
      </c>
      <c r="C81" s="238"/>
      <c r="D81" s="238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2"/>
      <c r="R81" s="265"/>
    </row>
    <row r="82" spans="1:18" ht="15" x14ac:dyDescent="0.25">
      <c r="A82" s="269"/>
      <c r="B82" s="270" t="s">
        <v>281</v>
      </c>
      <c r="C82" s="238"/>
      <c r="D82" s="238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2"/>
      <c r="R82" s="265"/>
    </row>
    <row r="83" spans="1:18" ht="15" x14ac:dyDescent="0.25">
      <c r="A83" s="269"/>
      <c r="B83" s="270" t="s">
        <v>282</v>
      </c>
      <c r="C83" s="238">
        <v>23286520</v>
      </c>
      <c r="D83" s="238">
        <v>22377494</v>
      </c>
      <c r="E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2"/>
      <c r="R83" s="265"/>
    </row>
    <row r="84" spans="1:18" ht="14.25" x14ac:dyDescent="0.2">
      <c r="A84" s="263" t="s">
        <v>149</v>
      </c>
      <c r="B84" s="264" t="s">
        <v>306</v>
      </c>
      <c r="C84" s="238"/>
      <c r="D84" s="238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2"/>
      <c r="R84" s="265"/>
    </row>
    <row r="85" spans="1:18" ht="15" x14ac:dyDescent="0.25">
      <c r="A85" s="269"/>
      <c r="B85" s="270" t="s">
        <v>280</v>
      </c>
      <c r="C85" s="238"/>
      <c r="D85" s="238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2"/>
      <c r="R85" s="265"/>
    </row>
    <row r="86" spans="1:18" ht="15" x14ac:dyDescent="0.25">
      <c r="A86" s="269"/>
      <c r="B86" s="270" t="s">
        <v>281</v>
      </c>
      <c r="C86" s="238"/>
      <c r="D86" s="238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2"/>
      <c r="R86" s="265"/>
    </row>
    <row r="87" spans="1:18" ht="15" x14ac:dyDescent="0.25">
      <c r="A87" s="269"/>
      <c r="B87" s="270" t="s">
        <v>282</v>
      </c>
      <c r="C87" s="238"/>
      <c r="D87" s="238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2"/>
      <c r="R87" s="265"/>
    </row>
    <row r="88" spans="1:18" ht="14.25" x14ac:dyDescent="0.2">
      <c r="A88" s="263" t="s">
        <v>136</v>
      </c>
      <c r="B88" s="264" t="s">
        <v>307</v>
      </c>
      <c r="C88" s="238">
        <v>35936214</v>
      </c>
      <c r="D88" s="238">
        <f>+D91</f>
        <v>62707974</v>
      </c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2">
        <f>+Q91</f>
        <v>23096</v>
      </c>
      <c r="R88" s="265"/>
    </row>
    <row r="89" spans="1:18" ht="15" x14ac:dyDescent="0.25">
      <c r="A89" s="269"/>
      <c r="B89" s="270" t="s">
        <v>280</v>
      </c>
      <c r="C89" s="238"/>
      <c r="D89" s="238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2"/>
      <c r="R89" s="265"/>
    </row>
    <row r="90" spans="1:18" ht="15" x14ac:dyDescent="0.25">
      <c r="A90" s="269"/>
      <c r="B90" s="270" t="s">
        <v>281</v>
      </c>
      <c r="C90" s="238"/>
      <c r="D90" s="238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2"/>
      <c r="R90" s="265"/>
    </row>
    <row r="91" spans="1:18" ht="15" x14ac:dyDescent="0.25">
      <c r="A91" s="269"/>
      <c r="B91" s="270" t="s">
        <v>282</v>
      </c>
      <c r="C91" s="238">
        <v>35936214</v>
      </c>
      <c r="D91" s="238">
        <v>62707974</v>
      </c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2">
        <v>23096</v>
      </c>
      <c r="R91" s="265"/>
    </row>
    <row r="92" spans="1:18" ht="14.25" x14ac:dyDescent="0.2">
      <c r="A92" s="263" t="s">
        <v>137</v>
      </c>
      <c r="B92" s="264" t="s">
        <v>308</v>
      </c>
      <c r="C92" s="238">
        <f>+C95</f>
        <v>0</v>
      </c>
      <c r="D92" s="238">
        <f>+D95</f>
        <v>0</v>
      </c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2">
        <f>+Q95</f>
        <v>0</v>
      </c>
      <c r="R92" s="265"/>
    </row>
    <row r="93" spans="1:18" ht="15" x14ac:dyDescent="0.25">
      <c r="A93" s="269"/>
      <c r="B93" s="270" t="s">
        <v>280</v>
      </c>
      <c r="C93" s="238"/>
      <c r="D93" s="238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2"/>
      <c r="R93" s="265"/>
    </row>
    <row r="94" spans="1:18" ht="15" x14ac:dyDescent="0.25">
      <c r="A94" s="269"/>
      <c r="B94" s="270" t="s">
        <v>281</v>
      </c>
      <c r="C94" s="238"/>
      <c r="D94" s="238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2"/>
      <c r="R94" s="265"/>
    </row>
    <row r="95" spans="1:18" ht="15" x14ac:dyDescent="0.25">
      <c r="A95" s="269"/>
      <c r="B95" s="270" t="s">
        <v>282</v>
      </c>
      <c r="C95" s="238"/>
      <c r="D95" s="238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2"/>
      <c r="R95" s="265"/>
    </row>
    <row r="96" spans="1:18" ht="15" x14ac:dyDescent="0.25">
      <c r="A96" s="269"/>
      <c r="B96" s="270" t="s">
        <v>309</v>
      </c>
      <c r="C96" s="238">
        <v>44000</v>
      </c>
      <c r="D96" s="238">
        <v>52000</v>
      </c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2"/>
      <c r="R96" s="265"/>
    </row>
    <row r="97" spans="1:18" ht="15" x14ac:dyDescent="0.25">
      <c r="A97" s="269"/>
      <c r="B97" s="264" t="s">
        <v>310</v>
      </c>
      <c r="C97" s="266">
        <f>+C75+C6+C96</f>
        <v>2285354499</v>
      </c>
      <c r="D97" s="266">
        <f>+D75+D6+D96</f>
        <v>2420392731</v>
      </c>
      <c r="E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8">
        <f>+Q75+Q6</f>
        <v>2326609501</v>
      </c>
      <c r="R97" s="267"/>
    </row>
    <row r="98" spans="1:18" ht="15" x14ac:dyDescent="0.25">
      <c r="A98" s="269"/>
      <c r="B98" s="264" t="s">
        <v>311</v>
      </c>
      <c r="C98" s="238"/>
      <c r="D98" s="238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2"/>
      <c r="R98" s="265"/>
    </row>
    <row r="99" spans="1:18" ht="14.25" x14ac:dyDescent="0.2">
      <c r="A99" s="263" t="s">
        <v>147</v>
      </c>
      <c r="B99" s="264" t="s">
        <v>312</v>
      </c>
      <c r="C99" s="266">
        <f>SUM(C102:C107)</f>
        <v>2261767681</v>
      </c>
      <c r="D99" s="266">
        <f>SUM(D102:D107)</f>
        <v>2398116822</v>
      </c>
      <c r="E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8">
        <f>SUM(Q100:Q101)</f>
        <v>0</v>
      </c>
      <c r="R99" s="267"/>
    </row>
    <row r="100" spans="1:18" ht="14.25" x14ac:dyDescent="0.2">
      <c r="A100" s="263"/>
      <c r="B100" s="264" t="s">
        <v>313</v>
      </c>
      <c r="C100" s="266"/>
      <c r="D100" s="266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8"/>
      <c r="R100" s="267"/>
    </row>
    <row r="101" spans="1:18" ht="14.25" x14ac:dyDescent="0.2">
      <c r="A101" s="263"/>
      <c r="B101" s="264" t="s">
        <v>314</v>
      </c>
      <c r="C101" s="266"/>
      <c r="D101" s="266"/>
      <c r="E101" s="267"/>
      <c r="F101" s="267"/>
      <c r="G101" s="267"/>
      <c r="H101" s="267"/>
      <c r="I101" s="267"/>
      <c r="J101" s="267"/>
      <c r="K101" s="267"/>
      <c r="L101" s="267"/>
      <c r="M101" s="267"/>
      <c r="N101" s="267"/>
      <c r="O101" s="267"/>
      <c r="P101" s="267"/>
      <c r="Q101" s="268"/>
      <c r="R101" s="267"/>
    </row>
    <row r="102" spans="1:18" ht="15" x14ac:dyDescent="0.25">
      <c r="A102" s="269"/>
      <c r="B102" s="270" t="s">
        <v>315</v>
      </c>
      <c r="C102" s="238">
        <v>2411853144</v>
      </c>
      <c r="D102" s="238">
        <v>2411853144</v>
      </c>
      <c r="E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2"/>
      <c r="R102" s="265"/>
    </row>
    <row r="103" spans="1:18" ht="15" x14ac:dyDescent="0.25">
      <c r="A103" s="269"/>
      <c r="B103" s="270" t="s">
        <v>316</v>
      </c>
      <c r="C103" s="238">
        <v>-47590723</v>
      </c>
      <c r="D103" s="238">
        <v>127052406</v>
      </c>
      <c r="E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2"/>
      <c r="R103" s="265"/>
    </row>
    <row r="104" spans="1:18" ht="15" x14ac:dyDescent="0.25">
      <c r="A104" s="269"/>
      <c r="B104" s="113" t="s">
        <v>317</v>
      </c>
      <c r="C104" s="238">
        <v>24444537</v>
      </c>
      <c r="D104" s="238">
        <v>24444537</v>
      </c>
      <c r="E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2"/>
      <c r="R104" s="265"/>
    </row>
    <row r="105" spans="1:18" ht="15" x14ac:dyDescent="0.25">
      <c r="A105" s="269"/>
      <c r="B105" s="113" t="s">
        <v>318</v>
      </c>
      <c r="C105" s="238">
        <v>-510111904</v>
      </c>
      <c r="D105" s="238">
        <v>-552901128</v>
      </c>
      <c r="E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2"/>
      <c r="R105" s="265"/>
    </row>
    <row r="106" spans="1:18" ht="15" x14ac:dyDescent="0.25">
      <c r="A106" s="269"/>
      <c r="B106" s="113" t="s">
        <v>319</v>
      </c>
      <c r="C106" s="238">
        <v>425961851</v>
      </c>
      <c r="D106" s="238">
        <v>425961851</v>
      </c>
      <c r="E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2"/>
      <c r="R106" s="265"/>
    </row>
    <row r="107" spans="1:18" ht="15" x14ac:dyDescent="0.25">
      <c r="A107" s="269"/>
      <c r="B107" s="113" t="s">
        <v>320</v>
      </c>
      <c r="C107" s="238">
        <v>-42789224</v>
      </c>
      <c r="D107" s="238">
        <v>-38293988</v>
      </c>
      <c r="E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2"/>
      <c r="R107" s="265"/>
    </row>
    <row r="108" spans="1:18" ht="15" x14ac:dyDescent="0.25">
      <c r="A108" s="269"/>
      <c r="B108" s="264" t="s">
        <v>321</v>
      </c>
      <c r="C108" s="238"/>
      <c r="D108" s="238"/>
      <c r="E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2"/>
      <c r="R108" s="265"/>
    </row>
    <row r="109" spans="1:18" ht="14.25" x14ac:dyDescent="0.2">
      <c r="A109" s="263" t="s">
        <v>147</v>
      </c>
      <c r="B109" s="264" t="s">
        <v>322</v>
      </c>
      <c r="C109" s="238">
        <f>SUM(C110:C112)</f>
        <v>0</v>
      </c>
      <c r="D109" s="238">
        <f>SUM(D110:D112)</f>
        <v>0</v>
      </c>
      <c r="E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2">
        <f>SUM(Q110:Q112)</f>
        <v>0</v>
      </c>
      <c r="R109" s="265"/>
    </row>
    <row r="110" spans="1:18" ht="15" x14ac:dyDescent="0.25">
      <c r="A110" s="269"/>
      <c r="B110" s="270" t="s">
        <v>280</v>
      </c>
      <c r="C110" s="238"/>
      <c r="D110" s="238"/>
      <c r="E110" s="265"/>
      <c r="F110" s="265"/>
      <c r="G110" s="265"/>
      <c r="H110" s="265"/>
      <c r="I110" s="265"/>
      <c r="J110" s="265"/>
      <c r="K110" s="265"/>
      <c r="L110" s="265"/>
      <c r="M110" s="265"/>
      <c r="N110" s="265"/>
      <c r="O110" s="265"/>
      <c r="P110" s="265"/>
      <c r="Q110" s="262"/>
      <c r="R110" s="265"/>
    </row>
    <row r="111" spans="1:18" ht="15" x14ac:dyDescent="0.25">
      <c r="A111" s="269"/>
      <c r="B111" s="270" t="s">
        <v>281</v>
      </c>
      <c r="C111" s="238"/>
      <c r="D111" s="238"/>
      <c r="E111" s="265"/>
      <c r="F111" s="265"/>
      <c r="G111" s="26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2"/>
      <c r="R111" s="265"/>
    </row>
    <row r="112" spans="1:18" ht="15" x14ac:dyDescent="0.25">
      <c r="A112" s="269"/>
      <c r="B112" s="270" t="s">
        <v>282</v>
      </c>
      <c r="C112" s="238"/>
      <c r="D112" s="238"/>
      <c r="E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2"/>
      <c r="R112" s="265"/>
    </row>
    <row r="113" spans="1:18" ht="14.25" x14ac:dyDescent="0.2">
      <c r="A113" s="263" t="s">
        <v>148</v>
      </c>
      <c r="B113" s="264" t="s">
        <v>323</v>
      </c>
      <c r="C113" s="238"/>
      <c r="D113" s="238"/>
      <c r="E113" s="265"/>
      <c r="F113" s="265"/>
      <c r="G113" s="265"/>
      <c r="H113" s="265"/>
      <c r="I113" s="265"/>
      <c r="J113" s="265"/>
      <c r="K113" s="265"/>
      <c r="L113" s="265"/>
      <c r="M113" s="265"/>
      <c r="N113" s="265"/>
      <c r="O113" s="265"/>
      <c r="P113" s="265"/>
      <c r="Q113" s="262"/>
      <c r="R113" s="265"/>
    </row>
    <row r="114" spans="1:18" ht="15" x14ac:dyDescent="0.25">
      <c r="A114" s="269"/>
      <c r="B114" s="270" t="s">
        <v>280</v>
      </c>
      <c r="C114" s="238"/>
      <c r="D114" s="238"/>
      <c r="E114" s="265"/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2"/>
      <c r="R114" s="265"/>
    </row>
    <row r="115" spans="1:18" ht="15" x14ac:dyDescent="0.25">
      <c r="A115" s="269"/>
      <c r="B115" s="270" t="s">
        <v>281</v>
      </c>
      <c r="C115" s="238"/>
      <c r="D115" s="238"/>
      <c r="E115" s="265"/>
      <c r="F115" s="265"/>
      <c r="G115" s="265"/>
      <c r="H115" s="265"/>
      <c r="I115" s="265"/>
      <c r="J115" s="265"/>
      <c r="K115" s="265"/>
      <c r="L115" s="265"/>
      <c r="M115" s="265"/>
      <c r="N115" s="265"/>
      <c r="O115" s="265"/>
      <c r="P115" s="265"/>
      <c r="Q115" s="262"/>
      <c r="R115" s="265"/>
    </row>
    <row r="116" spans="1:18" ht="15" x14ac:dyDescent="0.25">
      <c r="A116" s="269"/>
      <c r="B116" s="270" t="s">
        <v>282</v>
      </c>
      <c r="C116" s="238"/>
      <c r="D116" s="238"/>
      <c r="E116" s="265"/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5"/>
      <c r="Q116" s="262"/>
      <c r="R116" s="265"/>
    </row>
    <row r="117" spans="1:18" ht="15" x14ac:dyDescent="0.25">
      <c r="A117" s="269"/>
      <c r="B117" s="264" t="s">
        <v>324</v>
      </c>
      <c r="C117" s="238">
        <f>+C118+C122+C126</f>
        <v>23586818</v>
      </c>
      <c r="D117" s="238">
        <f>+D118+D122+D126</f>
        <v>22275909</v>
      </c>
      <c r="E117" s="265"/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2">
        <f>+Q118+Q122+Q126</f>
        <v>0</v>
      </c>
      <c r="R117" s="265"/>
    </row>
    <row r="118" spans="1:18" ht="14.25" x14ac:dyDescent="0.2">
      <c r="A118" s="263" t="s">
        <v>147</v>
      </c>
      <c r="B118" s="264" t="s">
        <v>325</v>
      </c>
      <c r="C118" s="238"/>
      <c r="D118" s="238"/>
      <c r="E118" s="265"/>
      <c r="F118" s="26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262"/>
      <c r="R118" s="265"/>
    </row>
    <row r="119" spans="1:18" ht="15" x14ac:dyDescent="0.25">
      <c r="A119" s="269"/>
      <c r="B119" s="270" t="s">
        <v>280</v>
      </c>
      <c r="C119" s="238"/>
      <c r="D119" s="238"/>
      <c r="E119" s="265"/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265"/>
      <c r="Q119" s="262"/>
      <c r="R119" s="265"/>
    </row>
    <row r="120" spans="1:18" ht="15" x14ac:dyDescent="0.25">
      <c r="A120" s="269"/>
      <c r="B120" s="270" t="s">
        <v>281</v>
      </c>
      <c r="C120" s="238"/>
      <c r="D120" s="238"/>
      <c r="E120" s="265"/>
      <c r="F120" s="265"/>
      <c r="G120" s="26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2"/>
      <c r="R120" s="265"/>
    </row>
    <row r="121" spans="1:18" ht="15" x14ac:dyDescent="0.25">
      <c r="A121" s="269"/>
      <c r="B121" s="270" t="s">
        <v>282</v>
      </c>
      <c r="C121" s="238"/>
      <c r="D121" s="238"/>
      <c r="E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2"/>
      <c r="R121" s="265"/>
    </row>
    <row r="122" spans="1:18" ht="14.25" x14ac:dyDescent="0.2">
      <c r="A122" s="263" t="s">
        <v>148</v>
      </c>
      <c r="B122" s="264" t="s">
        <v>326</v>
      </c>
      <c r="C122" s="238">
        <v>12147768</v>
      </c>
      <c r="D122" s="238">
        <v>12003471</v>
      </c>
      <c r="E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2">
        <f>+Q125</f>
        <v>0</v>
      </c>
      <c r="R122" s="265"/>
    </row>
    <row r="123" spans="1:18" ht="15" x14ac:dyDescent="0.25">
      <c r="A123" s="269"/>
      <c r="B123" s="270" t="s">
        <v>280</v>
      </c>
      <c r="C123" s="238"/>
      <c r="D123" s="238"/>
      <c r="E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2"/>
      <c r="R123" s="265"/>
    </row>
    <row r="124" spans="1:18" ht="15" x14ac:dyDescent="0.25">
      <c r="A124" s="269"/>
      <c r="B124" s="270" t="s">
        <v>281</v>
      </c>
      <c r="C124" s="238"/>
      <c r="D124" s="238"/>
      <c r="E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2"/>
      <c r="R124" s="265"/>
    </row>
    <row r="125" spans="1:18" ht="15" x14ac:dyDescent="0.25">
      <c r="A125" s="269"/>
      <c r="B125" s="270" t="s">
        <v>282</v>
      </c>
      <c r="C125" s="238">
        <v>12147768</v>
      </c>
      <c r="D125" s="238">
        <v>12003471</v>
      </c>
      <c r="E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2"/>
      <c r="R125" s="265"/>
    </row>
    <row r="126" spans="1:18" ht="14.25" x14ac:dyDescent="0.2">
      <c r="A126" s="263" t="s">
        <v>149</v>
      </c>
      <c r="B126" s="264" t="s">
        <v>327</v>
      </c>
      <c r="C126" s="238">
        <v>11439050</v>
      </c>
      <c r="D126" s="238">
        <v>10272438</v>
      </c>
      <c r="E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2"/>
      <c r="R126" s="265"/>
    </row>
    <row r="127" spans="1:18" ht="15" thickBot="1" x14ac:dyDescent="0.25">
      <c r="A127" s="275"/>
      <c r="B127" s="276" t="s">
        <v>328</v>
      </c>
      <c r="C127" s="277">
        <f>+C99+C109+C117</f>
        <v>2285354499</v>
      </c>
      <c r="D127" s="277">
        <f>+D99+D109+D117</f>
        <v>2420392731</v>
      </c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8">
        <f>+Q99+Q109+Q117</f>
        <v>0</v>
      </c>
      <c r="R127" s="267"/>
    </row>
    <row r="128" spans="1:18" ht="14.25" x14ac:dyDescent="0.2">
      <c r="A128" s="278"/>
      <c r="B128" s="279"/>
      <c r="C128" s="280">
        <f>+C97-C127</f>
        <v>0</v>
      </c>
      <c r="D128" s="281"/>
      <c r="E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73">
        <f>+Q97-Q127</f>
        <v>2326609501</v>
      </c>
      <c r="R128" s="265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12</vt:i4>
      </vt:variant>
    </vt:vector>
  </HeadingPairs>
  <TitlesOfParts>
    <vt:vector size="26" baseType="lpstr">
      <vt:lpstr>2</vt:lpstr>
      <vt:lpstr>14</vt:lpstr>
      <vt:lpstr>4</vt:lpstr>
      <vt:lpstr>5</vt:lpstr>
      <vt:lpstr>3</vt:lpstr>
      <vt:lpstr>6</vt:lpstr>
      <vt:lpstr>7</vt:lpstr>
      <vt:lpstr>8</vt:lpstr>
      <vt:lpstr>9</vt:lpstr>
      <vt:lpstr>10</vt:lpstr>
      <vt:lpstr>11</vt:lpstr>
      <vt:lpstr>12</vt:lpstr>
      <vt:lpstr>13</vt:lpstr>
      <vt:lpstr>1</vt:lpstr>
      <vt:lpstr>'3'!Nyomtatási_cím</vt:lpstr>
      <vt:lpstr>'4'!Nyomtatási_cím</vt:lpstr>
      <vt:lpstr>'5'!Nyomtatási_cím</vt:lpstr>
      <vt:lpstr>'9'!Nyomtatási_cím</vt:lpstr>
      <vt:lpstr>'1'!Nyomtatási_terület</vt:lpstr>
      <vt:lpstr>'12'!Nyomtatási_terület</vt:lpstr>
      <vt:lpstr>'14'!Nyomtatási_terület</vt:lpstr>
      <vt:lpstr>'3'!Nyomtatási_terület</vt:lpstr>
      <vt:lpstr>'4'!Nyomtatási_terület</vt:lpstr>
      <vt:lpstr>'5'!Nyomtatási_terület</vt:lpstr>
      <vt:lpstr>'6'!Nyomtatási_terület</vt:lpstr>
      <vt:lpstr>'9'!Nyomtatási_terület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</cp:lastModifiedBy>
  <cp:lastPrinted>2017-05-08T13:36:07Z</cp:lastPrinted>
  <dcterms:created xsi:type="dcterms:W3CDTF">1997-01-17T14:02:09Z</dcterms:created>
  <dcterms:modified xsi:type="dcterms:W3CDTF">2017-05-23T09:18:24Z</dcterms:modified>
</cp:coreProperties>
</file>