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táj.1." sheetId="15" r:id="rId15"/>
    <sheet name="táj.2." sheetId="16" r:id="rId16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'12'!$A$1:$Q$154</definedName>
    <definedName name="_xlnm.Print_Area" localSheetId="2">'3'!$A$1:$M$70</definedName>
  </definedNames>
  <calcPr fullCalcOnLoad="1"/>
</workbook>
</file>

<file path=xl/sharedStrings.xml><?xml version="1.0" encoding="utf-8"?>
<sst xmlns="http://schemas.openxmlformats.org/spreadsheetml/2006/main" count="1874" uniqueCount="1108">
  <si>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</si>
  <si>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</si>
  <si>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</si>
  <si>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</si>
  <si>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</si>
  <si>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 bölcsődében ingyenes</t>
  </si>
  <si>
    <t xml:space="preserve">   - óvodában ingyenes</t>
  </si>
  <si>
    <t>1./8</t>
  </si>
  <si>
    <t>Térítésmentes közmű átadás</t>
  </si>
  <si>
    <t>LÉSZ Kft. bérlemény üzemeltetés</t>
  </si>
  <si>
    <t xml:space="preserve"> - ZALA-DEPO Kft.által fizetett haszn. díj </t>
  </si>
  <si>
    <t>1./6</t>
  </si>
  <si>
    <t>1./7</t>
  </si>
  <si>
    <t>Csácsi u. 1/a. előtti csapadékvízelvezetés</t>
  </si>
  <si>
    <t>Bozsoki utca melletti csapadékvíz  elvezetése</t>
  </si>
  <si>
    <t xml:space="preserve">   - óvodában kedvezményes</t>
  </si>
  <si>
    <t xml:space="preserve">   - iskolában ingyenes</t>
  </si>
  <si>
    <t xml:space="preserve">   - iskolában kedvezményes</t>
  </si>
  <si>
    <t>III. Települési önkormányzatok szociális és gyermekjóléti feladatainak támogatása</t>
  </si>
  <si>
    <t>1. Egyes jövedelempótló támogatások (évközi igénylés alapján)</t>
  </si>
  <si>
    <t>2. Hozzájárulás a pénzbeli szociális ellátásokhoz ( egyösszegű)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</si>
  <si>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</si>
  <si>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</si>
  <si>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</si>
  <si>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</si>
  <si>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</si>
  <si>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</si>
  <si>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</si>
  <si>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</si>
  <si>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</si>
  <si>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</si>
  <si>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>3./5</t>
  </si>
  <si>
    <t>3./6</t>
  </si>
  <si>
    <t>3./7</t>
  </si>
  <si>
    <t>3./8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</si>
  <si>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</si>
  <si>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</si>
  <si>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</si>
  <si>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</si>
  <si>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      Bölcsődei ellátás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</si>
  <si>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</si>
  <si>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</si>
  <si>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</si>
  <si>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</si>
  <si>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</si>
  <si>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</si>
  <si>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>680002 Nem lakóingatlan bérbeadása, üzem.</t>
  </si>
  <si>
    <t xml:space="preserve"> - egyéb ingatlanhasznosítás (nem lakáscélú helyiségek)</t>
  </si>
  <si>
    <t xml:space="preserve"> - hóeltakarítás, sikosságmentesítés</t>
  </si>
  <si>
    <t xml:space="preserve"> -Áfa visszaigénylés</t>
  </si>
  <si>
    <t xml:space="preserve"> - fordított áfa</t>
  </si>
  <si>
    <t>21.</t>
  </si>
  <si>
    <t>Göcseji Múzeum részére pályázati önrészhez pe. átadás</t>
  </si>
  <si>
    <t>581400 Folyóirat, időszaki kiadvány kiadása</t>
  </si>
  <si>
    <t xml:space="preserve"> - városi újság támogatása</t>
  </si>
  <si>
    <t>Sportcsarnokban TAO-s pályázaton kívüli felújítások</t>
  </si>
  <si>
    <t xml:space="preserve"> - közfoglalkoztatás anyag- és eszközigény biztosítása</t>
  </si>
  <si>
    <t>Vis maior pályázat árvízvédelem és partfalomlás helyreállítás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</si>
  <si>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</si>
  <si>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</si>
  <si>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</si>
  <si>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</si>
  <si>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2.a) színházművészeti szervezetek támogatása</t>
  </si>
  <si>
    <t xml:space="preserve">       Hevesi Sándor Színház és Griff Bábszínház állami támogatása</t>
  </si>
  <si>
    <t>Központosított előirányzatok</t>
  </si>
  <si>
    <t>1. Üdülőhelyi feladatok</t>
  </si>
  <si>
    <t>2. Lakott külterülettel kapcsolatos feladatok</t>
  </si>
  <si>
    <t>Állami hozzájárulás összesen:</t>
  </si>
  <si>
    <t>Módosítás összege</t>
  </si>
  <si>
    <t>Működési költségvetés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</si>
  <si>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</si>
  <si>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</si>
  <si>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</si>
  <si>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</si>
  <si>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</si>
  <si>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</si>
  <si>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</si>
  <si>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</si>
  <si>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</si>
  <si>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</si>
  <si>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</si>
  <si>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</si>
  <si>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</si>
  <si>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</si>
  <si>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</si>
  <si>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</si>
  <si>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</si>
  <si>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>Zalaegerszegi GESZ</t>
  </si>
  <si>
    <t>Petőfi S.Iskola mögötti tömbbelsőben parkolóépítés</t>
  </si>
  <si>
    <t>Zalaegerszeg szennyvíz-elvezetés és tisztítás fejlesztése</t>
  </si>
  <si>
    <t>Mező u. lakótelkek infrastrukturális fejlesztése</t>
  </si>
  <si>
    <t>Fenyő u. korszerűsítés, burkolat szélesítés tervezése</t>
  </si>
  <si>
    <t xml:space="preserve">Körzeti megbízotti iroda céljára ingatlan vásárlás </t>
  </si>
  <si>
    <t>7.a./1</t>
  </si>
  <si>
    <t>"Szennyezés lokalizációja települési szilárd hulladék-lerakók területén " KEOP-7.2.4.0/B/10-2010-0007 (Buslakpuszta)</t>
  </si>
  <si>
    <t>Látványcsapatsport Kosárlabda önrész</t>
  </si>
  <si>
    <t xml:space="preserve"> Felújítási célú pénzeszköz átadás Sportcsarnok részére szezon előtti felkészítésre</t>
  </si>
  <si>
    <t>Domb u.- Csácsi u. gyalogátkelőhely létesítése</t>
  </si>
  <si>
    <t>Kodály úti kispark és sportpálya építése</t>
  </si>
  <si>
    <t>Erdészeti szakirányításkeretében tárgyi eszköz beszerzése</t>
  </si>
  <si>
    <t>Közhatalmi bevételek</t>
  </si>
  <si>
    <t xml:space="preserve"> - helyi önkormányzatok általános működésének és ágazati feladatainak támogatása</t>
  </si>
  <si>
    <t>Közhatalmi bevétel</t>
  </si>
  <si>
    <t>Szociális és igazgatási feladatok</t>
  </si>
  <si>
    <t>Humánigazgatási feladatok</t>
  </si>
  <si>
    <t>műk. célú átvett pe.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</si>
  <si>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</si>
  <si>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</si>
  <si>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</si>
  <si>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</si>
  <si>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</si>
  <si>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</si>
  <si>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</si>
  <si>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</si>
  <si>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Munkaadót terhelő járulékok és szociális hj.adó</t>
  </si>
  <si>
    <t>Hitelek, kölcsönök kiadása</t>
  </si>
  <si>
    <t>Önkormányzat összesen költségvetési szervek nélkül</t>
  </si>
  <si>
    <t>Szociális és igazgatási fa. működési kiadás összesen: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</si>
  <si>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</si>
  <si>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</si>
  <si>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</si>
  <si>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</si>
  <si>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</si>
  <si>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</si>
  <si>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</si>
  <si>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</si>
  <si>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841325 Építésügy, területpolitika területi igazgatása és szabályozása</t>
  </si>
  <si>
    <t>Beruházási célú pénzeszk. átadás és egyéb felhalmozási kiadás</t>
  </si>
  <si>
    <t>Összes beruh. célú kiadás</t>
  </si>
  <si>
    <t>Szent Lászó úti Óvoda, belső udvarának térkövezésére, zöldfelület</t>
  </si>
  <si>
    <t>Bazitai Óvodában  szekrények  beszerzése</t>
  </si>
  <si>
    <t>Andráshidai óvoda fejlesztése (NYDOP-5.3.1/B-12) önrész</t>
  </si>
  <si>
    <t>Landorhegyi Óvoda energetikai beruházáshoz kapcsolódó kiegészítő építések</t>
  </si>
  <si>
    <t>Mikes Óvoda energetikai beruházáshoz kapcsolódó kiegészítő építések</t>
  </si>
  <si>
    <t>Belvárosi Általános Iskola, Dózsa György Tagiskola, kert kialakítása</t>
  </si>
  <si>
    <t>Izsák ÁMK-ban fejlesztési feladatok és pályázati önrész</t>
  </si>
  <si>
    <t>Természettudományos oktatás eszközrendszerének és módszertanának fejlesztése a Kölcsey F. Gimnáziumban TÁMOP 3.1.3.-11/2-2012-0023</t>
  </si>
  <si>
    <t>Városi Középiskolai Kollégium udvari pihenő kialakítása</t>
  </si>
  <si>
    <t>Zsinagóga fűtési rendszer korszerűsítése</t>
  </si>
  <si>
    <t>Hevesi Sándor Színház tűzjelző rendszer kiépítése II. ütem</t>
  </si>
  <si>
    <t>Ovifoci pályázattal megvalósuló műfüves pályák építése Kis utcai és Űrhajós utcai óvodákban</t>
  </si>
  <si>
    <t>Szivárvány téri műfüves labdarúgó pálya építés pályázati önerő és kiegészítő feladatok</t>
  </si>
  <si>
    <t>Várberki utcában felépülő műfüves labdarúgó pálya építés pályázati önerő</t>
  </si>
  <si>
    <t>16.</t>
  </si>
  <si>
    <t>Sportcsarnok mögött lévő 2 db műfüves sportpályához vezető szilárd burkolatú járda építése</t>
  </si>
  <si>
    <t>17.</t>
  </si>
  <si>
    <t>Sportcsarnok mögött lévő 2 db műfüves sportpálya villanybetáplálás kialakítása</t>
  </si>
  <si>
    <t>18.</t>
  </si>
  <si>
    <t>Hegyi u. aszfaltos focipálya labdafogó háló építése</t>
  </si>
  <si>
    <t>19.</t>
  </si>
  <si>
    <t>Zalaegerszeg Jégsportjáért Alapítvány fejlesztési célú támogatása Jégcsarnok végtörlesztéshez</t>
  </si>
  <si>
    <t>2012. évről áthúzódó feladatok</t>
  </si>
  <si>
    <t>22.</t>
  </si>
  <si>
    <t>Izsák I. Általános Iskola balesetveszélyes tornatermi mennyezet burkolat felúj.</t>
  </si>
  <si>
    <t>Buszváró létesítése Kaszaházán</t>
  </si>
  <si>
    <t xml:space="preserve"> - Zeg.Felsőfokú Oktatásáért Közalapítvány támogatása</t>
  </si>
  <si>
    <t>Teljesítmény ösztönző keret</t>
  </si>
  <si>
    <t xml:space="preserve"> - Járulékcsökkenésből eredő magtakarítás befizetési kötelezettség</t>
  </si>
  <si>
    <t xml:space="preserve"> - Gébárti kemping földhasználati díj</t>
  </si>
  <si>
    <t xml:space="preserve"> - Gébárti fürdő lét. üzemelt. (Termál és Tóstrand)</t>
  </si>
  <si>
    <t xml:space="preserve">Zalaegerszeg, Űrhajós úti tagbölcsőde fejlesztése ( NYDOP-5.1.1/B-2012-0001) </t>
  </si>
  <si>
    <t>1.a/5</t>
  </si>
  <si>
    <t>1.a/6</t>
  </si>
  <si>
    <t xml:space="preserve"> - OGESZ</t>
  </si>
  <si>
    <t>Andráshidai LSC sportfejlesztési feladatok támogatása</t>
  </si>
  <si>
    <t>Humánigazgatási  feladatok összesen:</t>
  </si>
  <si>
    <t>Köztársaság út 92.-102. sz t.ház K.-i oldalán lévő terület vízelvezetése</t>
  </si>
  <si>
    <t>Bartók B. u. 46. környezetében csapadékvíz elvezetése</t>
  </si>
  <si>
    <t>Zalaegerszegi Gondozási Központ</t>
  </si>
  <si>
    <t>ebből:  - ZalaegerszegiEgyesített Bölcsődék</t>
  </si>
  <si>
    <t xml:space="preserve"> - Zalaegerszegi Családsegítő Szolgálat és Gyermekjóléti Központ</t>
  </si>
  <si>
    <t xml:space="preserve"> - Zalaegerszegi Egészségügyi Alapellátás</t>
  </si>
  <si>
    <t xml:space="preserve"> - Zalaegerszegi Belvárosi I. sz. Óvoda</t>
  </si>
  <si>
    <t xml:space="preserve"> - Zalaegerszegi Belvárosi II. sz . Óvoda</t>
  </si>
  <si>
    <t xml:space="preserve">  - Zalaegerszegi Kertvárosi Óvoda</t>
  </si>
  <si>
    <t xml:space="preserve"> - Zalaegerszegi Landorhegyi Óvoda</t>
  </si>
  <si>
    <t xml:space="preserve"> - GESZ</t>
  </si>
  <si>
    <t>ebből:  - Zalaegerszegi Belvárosi I. sz.Óvoda</t>
  </si>
  <si>
    <t xml:space="preserve"> - Zalaegerszegi Belvárosi  II.sz.Óvoda</t>
  </si>
  <si>
    <t xml:space="preserve"> - Zalaegerszegi Kertvárosi Óvoda</t>
  </si>
  <si>
    <t>ebből: - Városi Művelődési Központ</t>
  </si>
  <si>
    <t xml:space="preserve"> - Tourinform Iroda</t>
  </si>
  <si>
    <t>Zalaegerszegi Városrészek Művelődési Központja (volt Apáczai Csere János VMK)</t>
  </si>
  <si>
    <t>"Ivóvízminőség javítása" KEOP pályázat kapcsán felmerülő nem támogatott tartalom tervezési költségei</t>
  </si>
  <si>
    <t>Göcseji úti temető világítás bővítése</t>
  </si>
  <si>
    <t>Járdaburkolat építés Andráshidán</t>
  </si>
  <si>
    <t>Köztársaság útja - Czobor M. u. csomópont (Szentcsalád Óvoda) korrekció és gyalogos átkelőhely létesítése</t>
  </si>
  <si>
    <t>Becsali u. gyalogosátkelőhely létesítése</t>
  </si>
  <si>
    <t>Rozmaring utca burkolatépítés, tulajdonrendezéssel</t>
  </si>
  <si>
    <t>Andráshida temető melletti parkoló kialakítása</t>
  </si>
  <si>
    <t>Alkotmány u. 2-6. mögötti garázsok útépítés</t>
  </si>
  <si>
    <t>Játszótér kialakítása Bozsokon I. ütem</t>
  </si>
  <si>
    <t>Május 1 liget játszótér</t>
  </si>
  <si>
    <t>Városi Középiskolai Kollégium udvari pihenő kialakítás</t>
  </si>
  <si>
    <t>Vizslapark utcabútorok (padok, szeméttároló stb. ) cseréje, fejlesztése</t>
  </si>
  <si>
    <t>5.a./4</t>
  </si>
  <si>
    <t>5.a./5</t>
  </si>
  <si>
    <t>Parkerdő fejlesztés( Tanösvény II.)</t>
  </si>
  <si>
    <t>Zalabesenyő temető bekerítésének folytatása</t>
  </si>
  <si>
    <t xml:space="preserve">Bekeháza temető környezetének rendezése, temetőt megközelítő út kialakítása </t>
  </si>
  <si>
    <t>8./3</t>
  </si>
  <si>
    <t>Göcsej úti temető teljes nyírfa állományának cseréje</t>
  </si>
  <si>
    <t>8./4</t>
  </si>
  <si>
    <t>Botfa ravatalozó nyilászáróinak cseréje, térburkolat cseréje</t>
  </si>
  <si>
    <t>Búslakpuszta bezárt hulladéklerakó szennyezés lokalizáció KEOP projekt járulékos feladatok</t>
  </si>
  <si>
    <t xml:space="preserve"> Bio és megújuló energiafelhasználás startmunka mintaprogram  BM támogatással</t>
  </si>
  <si>
    <t>Térfigyelő kamerarendszer kiépítése a Csácsbozsoki városrészben</t>
  </si>
  <si>
    <t>Tüttő u. vízelvezető árok építése I. ütem</t>
  </si>
  <si>
    <t>Vízjogi engedélyezési eljárások díja</t>
  </si>
  <si>
    <t>Beruházásokhoz kapcsolódó csatornadiagnosztikák költsége</t>
  </si>
  <si>
    <t>Szennyvíz- és csapadékvízelvezetés építési kisebb munkák</t>
  </si>
  <si>
    <t>1.a/7</t>
  </si>
  <si>
    <t>1.a/8</t>
  </si>
  <si>
    <t>Barnamezős területek rehabilitációja</t>
  </si>
  <si>
    <t>Ivóvízvezeték építési munkák</t>
  </si>
  <si>
    <t>Közvilágítás korszerűsítés Zalaegerszeg I. (KEOP-5.5.0/A) önrész, előkészítés</t>
  </si>
  <si>
    <t>Közvilágítás korszerűsítés Zalaegerszeg II. (KEOP-5.5.0/A) önrész, előkészítés</t>
  </si>
  <si>
    <t>Pózván Külsőkórház alsó és felső kapuja között járdaburkolat építés</t>
  </si>
  <si>
    <t>Kaszaházi u. - Gólyadomb között összekötőjárda építés</t>
  </si>
  <si>
    <t>Sas u. járdaépítés</t>
  </si>
  <si>
    <t>Újtemető parkoló bővítés I. ütem</t>
  </si>
  <si>
    <t xml:space="preserve">Útterületek rendezése, területvásárlás </t>
  </si>
  <si>
    <t>Kerékpárutak (4 nyomvonal) területvásárlás</t>
  </si>
  <si>
    <t>Fenyő utca útépítés, közműfejlesztés, bővítés</t>
  </si>
  <si>
    <t>Kölcsey u. északi szakasz átépítése</t>
  </si>
  <si>
    <t>Vorhotán Újhegyi u. járdaépítés és kapcsolódó árok zárttá tétele II. ütem</t>
  </si>
  <si>
    <t>Október 6. tér - Batthyány u. csomópont jelzőlámpásítása</t>
  </si>
  <si>
    <t>Malom u. járdaépítés előkészítő munkái</t>
  </si>
  <si>
    <t>Zalaegerszeg belváros közlekedési rendszere komplex átalakítása I.ütem</t>
  </si>
  <si>
    <t xml:space="preserve"> -  Botfai földvár régészeti feltárása pályázati önrész és pénztárgépek cseréje Göcseji Múzeum részére</t>
  </si>
  <si>
    <t>megnevezés kiegészítése</t>
  </si>
  <si>
    <t>Intézményekkel kapcsolatos elszámolások</t>
  </si>
  <si>
    <t>856099 Egyéb oktatást kiegészítő tevkenység</t>
  </si>
  <si>
    <t xml:space="preserve"> - Z.M.Közoktatási Közalapítvány megszűntetése utáni átutalás</t>
  </si>
  <si>
    <t xml:space="preserve"> - Aquapark jótékonysági nap bevétele</t>
  </si>
  <si>
    <t xml:space="preserve"> - virágosítás Aqua jótékonysági nap bevételéből</t>
  </si>
  <si>
    <t xml:space="preserve"> - MOL Nyrt-től adomány oktatási célra</t>
  </si>
  <si>
    <t xml:space="preserve"> - Ispita Alapítvány támogatása</t>
  </si>
  <si>
    <t xml:space="preserve"> - peremkerületről bejáró tanulók bérlettámogatása </t>
  </si>
  <si>
    <t xml:space="preserve"> - Intézményi pályázatokhoz megelőlegezett pe. </t>
  </si>
  <si>
    <t xml:space="preserve"> - közbeszerzési eljárásokkal és jogi feladatokkal  kapcsolatos díjak</t>
  </si>
  <si>
    <t>Közterületi kamerarendszer bővítése</t>
  </si>
  <si>
    <t>862101 Háziorvosi alapellátás</t>
  </si>
  <si>
    <t xml:space="preserve"> - Körzeti orvosi rendelő építéséhez pályázati támogatás</t>
  </si>
  <si>
    <t xml:space="preserve"> - Hálózat az Integrációért Alapítvány támogatása</t>
  </si>
  <si>
    <t>Bazita u. járdafelújítás II. ütem és buszmegálló gyalogosfelület kial.</t>
  </si>
  <si>
    <t>4./41</t>
  </si>
  <si>
    <t xml:space="preserve">23. </t>
  </si>
  <si>
    <t>2./4</t>
  </si>
  <si>
    <t>ky,pm</t>
  </si>
  <si>
    <t>1./9</t>
  </si>
  <si>
    <t xml:space="preserve"> - Kontakt Humán foglalkoztatási program</t>
  </si>
  <si>
    <t>2013.évi bevétel módosított ei.</t>
  </si>
  <si>
    <t xml:space="preserve"> - egyszeri gyermekvédelmi  pénzbeni támogatás Erzsébet utalvány</t>
  </si>
  <si>
    <t xml:space="preserve"> - 2013. évi bérkompenzáció</t>
  </si>
  <si>
    <t xml:space="preserve"> - adósságkonszolídáció</t>
  </si>
  <si>
    <t>Többcélú Kistérségi Társulás megszűnéséből eredő összeg</t>
  </si>
  <si>
    <t>Vis maior támogatás</t>
  </si>
  <si>
    <t>Szerkezetátalakítási tartalékból nyújtott támogatás ( helyi közösségi közlekedés támogatása)</t>
  </si>
  <si>
    <t>6. Önkorm. és társulásaik Európai Uniós fejlesztési pályázatai saját forrás kiegészítésének támogatása</t>
  </si>
  <si>
    <t>4. Közművelődési érdekeltségnövelő támogatás</t>
  </si>
  <si>
    <t>7. Könyvtári érdekeltségnövelő támogatás</t>
  </si>
  <si>
    <t>8.Közműfejlesztési hozzájárulás</t>
  </si>
  <si>
    <t>2013.évi módosított ei.-ból a Zalaegerszeg és környéke Többcélú Kistérségi Társulást illető</t>
  </si>
  <si>
    <t>869047 Komplex egészségfejlesztő, prevenciós programok</t>
  </si>
  <si>
    <t xml:space="preserve"> - HPV védőoltás</t>
  </si>
  <si>
    <t xml:space="preserve"> - városrészek környezetrendezési feladataira</t>
  </si>
  <si>
    <t xml:space="preserve"> - önkormányzati utak szakági nyilvántartása</t>
  </si>
  <si>
    <t>841906 Finanszírozási műveletek</t>
  </si>
  <si>
    <t xml:space="preserve"> - Landorhegyi utcanévtáblák</t>
  </si>
  <si>
    <t>6./24.</t>
  </si>
  <si>
    <t xml:space="preserve">"Komplex belváros rehabilitációs program Zalaegerszegn" projekt pályázati támogatással NYDOP-3.1.1/B1-13-k-2013-0005 </t>
  </si>
  <si>
    <t xml:space="preserve">"Komplex belváros rehabilitációs program Zalaegerszegn" projekt pályázati támogatása NYDOP-3.1.1/B1-13-k-2013-0005 </t>
  </si>
  <si>
    <t>9./10.</t>
  </si>
  <si>
    <t>Aranyeső u. magánerős felújítása</t>
  </si>
  <si>
    <t xml:space="preserve"> - lakossági befizetés Cimpóhegy magánerős útépítéshez</t>
  </si>
  <si>
    <t xml:space="preserve"> - lakossági befizetés Kispesti u.2-6.magánerős járdaépítéshez</t>
  </si>
  <si>
    <t>"Ivóvízminőség javítása" KEOP pályázathoz Önerő alap támogatás átadása</t>
  </si>
  <si>
    <t xml:space="preserve"> - Vis maior támogatás</t>
  </si>
  <si>
    <t xml:space="preserve"> - szerkezetátalakítási tartalékból nyújtott támogatás</t>
  </si>
  <si>
    <t>Közműfejlesztési berzházás (állami támogatás rész)</t>
  </si>
  <si>
    <t xml:space="preserve"> - Többcélú Kistérségi Társulás állami támogatásának továbbadása</t>
  </si>
  <si>
    <t xml:space="preserve"> - Zalaegerszegi Szociális és Gyermekjóléti Alapszolgáltatási Társulás működési hozzájárulás</t>
  </si>
  <si>
    <t xml:space="preserve"> - adósságkonszolídáció keretében tőketörlesztés és  és kamatkiadás</t>
  </si>
  <si>
    <t xml:space="preserve"> - egyszeri gyermekvédelmi pénzbeli támogatás</t>
  </si>
  <si>
    <t xml:space="preserve"> - térinformatika</t>
  </si>
  <si>
    <t>9./6.</t>
  </si>
  <si>
    <t>Térinformatika</t>
  </si>
  <si>
    <t>7./2.</t>
  </si>
  <si>
    <t>"Települési szilárdhulladék-gazdálkodási rendszerek eszközparkjának fejlesztése, informatikai korszerűsítése" pályázati önrész és Áfa  kiadás megelőlegezése KEOP-1.1.1/C/13.</t>
  </si>
  <si>
    <t>Posta út csatornázása</t>
  </si>
  <si>
    <t>6./25.</t>
  </si>
  <si>
    <t>Barnamezős vásárlás/fejlesztés</t>
  </si>
  <si>
    <t xml:space="preserve"> - Zalavíz Zrt. részvény értékesítés</t>
  </si>
  <si>
    <t>Zalavíz Zrt. részvény vásárlás</t>
  </si>
  <si>
    <t>Kis utcai óvoda kazánház ablakcsere</t>
  </si>
  <si>
    <t>Kerékpárút építésekhez kapcsolódó fásítások és területrendezések</t>
  </si>
  <si>
    <t>6./1.1.</t>
  </si>
  <si>
    <t>Béke utca felújításának előkészítése, tervezése</t>
  </si>
  <si>
    <t>Rákóczi u. felújításához kapcsolódó vízi-közmű kiváltások előkészítése, tervezése</t>
  </si>
  <si>
    <t>Vizslapark funkcióbővítés és fejlesztés előkészítése, tervezése</t>
  </si>
  <si>
    <t>Gébárti fürdőlétesítmények (Aquacity) fejlesztési koncepció terv készítés</t>
  </si>
  <si>
    <t>6./1.2.</t>
  </si>
  <si>
    <t>6./1.3.</t>
  </si>
  <si>
    <t>6./1.4.</t>
  </si>
  <si>
    <t xml:space="preserve"> - VERSO projekt pályázat önrész</t>
  </si>
  <si>
    <t>Állami támogatások  évközi visszafizetésére</t>
  </si>
  <si>
    <t>Elmaradt bevételek pótlására</t>
  </si>
  <si>
    <t>882203 Köztemetés</t>
  </si>
  <si>
    <t xml:space="preserve"> - VI. Zalaegerszegi Gyermekkórus Fesztivál</t>
  </si>
  <si>
    <t>842155 Önkormányzatok m.n.s.nemzetközi kapcsolatai</t>
  </si>
  <si>
    <t xml:space="preserve"> - Nemzetközi kapcsolatokra</t>
  </si>
  <si>
    <t xml:space="preserve">Intézményi vizesblokk felújítás 2013. évben </t>
  </si>
  <si>
    <t xml:space="preserve"> - közművesítési hozzájárulás</t>
  </si>
  <si>
    <t>9./9.</t>
  </si>
  <si>
    <t>Béke ligeti Iskolában kapu építése</t>
  </si>
  <si>
    <t>862301 Fogorvosi alapellátás</t>
  </si>
  <si>
    <t xml:space="preserve"> - fogászati alapellátás 2013. évi önkormányzati támogatása</t>
  </si>
  <si>
    <t>Hiányzó kerékpárút-kapcsolati elemek létrehozása Zalaegerszegen (NYDOP-4.3.I/B-11-2011-0006)</t>
  </si>
  <si>
    <t xml:space="preserve">Mátyás király utcai orvosi rendelő járulékos út és járdaépítések </t>
  </si>
  <si>
    <t>Játszótér és park kialakításának előkészítése  Hatházán</t>
  </si>
  <si>
    <t>Előtervezésekből 2012. évről áthúzódó feladatok</t>
  </si>
  <si>
    <t>Pályázati műszaki előkészítés</t>
  </si>
  <si>
    <t>Ingatlanvásárlás (Fejlesztésekhez kapcsolódó)</t>
  </si>
  <si>
    <t>Hadkieg. Parancsnokság rekonstrukció előkészítése + támogatás</t>
  </si>
  <si>
    <t xml:space="preserve"> Állami ingatlanok tulajdonszerzésével kapcs. kiadások </t>
  </si>
  <si>
    <t>Egyéb területrendezések, bontások</t>
  </si>
  <si>
    <t>Szoc. városrehab. területszerzés, -rendezés, bontás</t>
  </si>
  <si>
    <t>Egyéb 2013. évi pályázatok területszerzés, -rendezés</t>
  </si>
  <si>
    <t>6./10</t>
  </si>
  <si>
    <t>Botfa sportpálya fejlesztés területrendezés, kompenzáció</t>
  </si>
  <si>
    <t>6./12</t>
  </si>
  <si>
    <t>4./10.</t>
  </si>
  <si>
    <t>100 %-os támogatottságú pályázatok előkészítésének költségei</t>
  </si>
  <si>
    <t>6./14</t>
  </si>
  <si>
    <t>6./15</t>
  </si>
  <si>
    <t>Inkubátorház bővítéshez Városfejlesztő Zrt-nek önrész kiegészítés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</si>
  <si>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</si>
  <si>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</si>
  <si>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</si>
  <si>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</si>
  <si>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</si>
  <si>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Agóra - multifunkcionális közösségi központ - létrehozása Zalaegerszegen - Ady Mozi (TIOP-1.2.1/A-12/1) előkészítés</t>
  </si>
  <si>
    <t>6./19</t>
  </si>
  <si>
    <t>Inkubátorház villamos energia ellátásának bővítése</t>
  </si>
  <si>
    <t xml:space="preserve"> Városrehab-hoz kapcsolódó projektköltségekre</t>
  </si>
  <si>
    <t>Közösségi közl.fejlesztése pályázat</t>
  </si>
  <si>
    <t>Ökováros projekt</t>
  </si>
  <si>
    <t>Rendőrség részére gépkocsibeszerzésre pe.átadás</t>
  </si>
  <si>
    <t>Gébárti tó és környéke területrendezése</t>
  </si>
  <si>
    <t>Vagyonkezelési feladatok :</t>
  </si>
  <si>
    <t>Városrehabilitáció II. ütem folytatása Lakásalapból</t>
  </si>
  <si>
    <t>Lakóövezetbe sorolt építési telek kialakítása Andráshida keleti külterület, közművesítés Flórián u. épületbontás területrendezés Lakásalapból</t>
  </si>
  <si>
    <t>Jogi Igazgatási feladatok</t>
  </si>
  <si>
    <t>Jogi Igazgatási feladatok összesen:</t>
  </si>
  <si>
    <t>Zalai Közszolgáltató Nonprofit Kft. törzstőke</t>
  </si>
  <si>
    <t>Kvártélyház Kft. részére támogatás eszközfejlesztési pályázat önrészéhez</t>
  </si>
  <si>
    <t>Nyugat-Pannon Járműipari és Mehatronikai Központ Szolgáltató Nonprofit Kft. törzstőke</t>
  </si>
  <si>
    <t>Önkormányzat összesen költségetési szervek nélkül</t>
  </si>
  <si>
    <t>A *-gal jelzett fejlesztési feladatok megvalósításához hitelfelvétel szükséges</t>
  </si>
  <si>
    <t>Izsák ÁMK motoros térelválasztó felújítás</t>
  </si>
  <si>
    <t>Szent László utcai óvoda gázfogadó rekultiváció</t>
  </si>
  <si>
    <t>Széchenyi SZKI fűtési rendszer felújítása</t>
  </si>
  <si>
    <t>Petőfi Ált. Iskola sportudvar fejlesztés, műfüves pálya körüli kerítés építése</t>
  </si>
  <si>
    <t>Petőfi u-i óvoda bejárat átépítéséhez támogatás</t>
  </si>
  <si>
    <t>Ady E. Gimnázium és Általános Iskola felújítás</t>
  </si>
  <si>
    <t>Napsugár úti Óvoda veszélyes udvari berendezéseinek felújítása</t>
  </si>
  <si>
    <t>Napsugár úti Bölcsőde veszélyes udvari berendezéseinek felújítása</t>
  </si>
  <si>
    <t>Gyermekjóléti Központ Apáczai téri telephelyén akadálymentes vizesblokk kialakítása</t>
  </si>
  <si>
    <t>Bölcsődékben nyílászáró csere</t>
  </si>
  <si>
    <t>Mikes Kelemen utcai Tagóvoda gyermekmosdó keverőszelepek beépítése</t>
  </si>
  <si>
    <t>Ságodi Óvoda gyermekmosdó felújítása</t>
  </si>
  <si>
    <t>Tipegő bölcsőde udvar felújítás</t>
  </si>
  <si>
    <t>Belvárosi Iskola Dózsa tagiskola udvarának felújítása</t>
  </si>
  <si>
    <t>Radnóti u. óvoda homlokzatfelújítás</t>
  </si>
  <si>
    <t xml:space="preserve">Mártírok u. csapadékcsatorna Kisfaludy u. - Eötvös u. közötti szakaszának felújítása </t>
  </si>
  <si>
    <t>Mátyás k. u. csapadékcsatorna felújítása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</si>
  <si>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</si>
  <si>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</si>
  <si>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</si>
  <si>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Virágzómező u. burkolat felújítás III. ütem</t>
  </si>
  <si>
    <t>Takarékköz útfelújítás</t>
  </si>
  <si>
    <t>Alsóerdő  Aranyoslapi u.felújítás</t>
  </si>
  <si>
    <t>Landorhegyi u. 24. parkoló felújítás</t>
  </si>
  <si>
    <t>Platán sor 12. előtt 3 db parkoló felújítás</t>
  </si>
  <si>
    <t>Gasparich M. u. parkoló felújítás</t>
  </si>
  <si>
    <t>Hegybíró u. aszfaltozása</t>
  </si>
  <si>
    <t>Olajmunkás u. felújítása</t>
  </si>
  <si>
    <t>Bozsok Hegy út</t>
  </si>
  <si>
    <t>Gébárti u. járda felújítás</t>
  </si>
  <si>
    <t>Rákóczi u. 3-9. járdaszakasz felújítása</t>
  </si>
  <si>
    <t>Kertész u. járdafelújítás</t>
  </si>
  <si>
    <t>Szilágyi E. u. járdafelújítás</t>
  </si>
  <si>
    <t>Járdafelújítások Zalabesenyőben (Szövetkezet u.)</t>
  </si>
  <si>
    <t>Landorhegyi u. 20. lépcső felújítás</t>
  </si>
  <si>
    <t>Madách I. u. lépcsőfelújítás</t>
  </si>
  <si>
    <t>Erkel F. u. 23/1 szűk átjáró</t>
  </si>
  <si>
    <t>Szőlőskerti u. aszfaltozása II. ütem</t>
  </si>
  <si>
    <t>Átalszegett u. 35-155. között járdafelújítási, javítási feladatok</t>
  </si>
  <si>
    <t>Bozsoki u. járdaburkolat felújítás</t>
  </si>
  <si>
    <t>Arany J. u-tól nyugatra lévő lakóövezet út felújítás</t>
  </si>
  <si>
    <t>Köztársaság u. burkolatfelújítás II. ütem</t>
  </si>
  <si>
    <t>Mártírok u. burkolatfelújítás I. ütem, ivóvízvezeték rekonstrukció</t>
  </si>
  <si>
    <t>Gárdonyi G. u. felújítása II. ütem</t>
  </si>
  <si>
    <t>Ady E. u.-Kazinczy tér csomópont felújítás</t>
  </si>
  <si>
    <t>Mátyás király u. felújítása orvosi rendelő mellett</t>
  </si>
  <si>
    <t>Csertán S .u. csomópont felújítása</t>
  </si>
  <si>
    <t>Muskátli u. kontrás szennyvízcsatorna helyreállítás útburkolat felújítással</t>
  </si>
  <si>
    <t>Buszöblök felújítása</t>
  </si>
  <si>
    <t>Stadion u. felújítása buszmegálló melletti szakaszon</t>
  </si>
  <si>
    <t>Belvárosi járdák felújítása (Kazinczy tér É-i oldal)</t>
  </si>
  <si>
    <t>Kovács K. tér buszmegálló járdaburkolat felújítás</t>
  </si>
  <si>
    <t>Alsóerdei kerékpárút híd felújítás</t>
  </si>
  <si>
    <t>Kertvárosban járdák, lépcsők felújítása</t>
  </si>
  <si>
    <t>Alkotmány utca burkolatmegerősítés II. ütem</t>
  </si>
  <si>
    <t>Mezőgazdasági utak felújításához pályázati támogatással</t>
  </si>
  <si>
    <t>Kodály utcai óvoda pihenőpark</t>
  </si>
  <si>
    <t>Szt. András park játszótér</t>
  </si>
  <si>
    <t>Zalabesenyő temető kápolna állagmegóvás (építészeti érték)</t>
  </si>
  <si>
    <t>Ebergényi temető kapu</t>
  </si>
  <si>
    <t>Pózva temető ravatalozó épület javítási munkái</t>
  </si>
  <si>
    <t>Pózvai Közösségi Ház külső festése</t>
  </si>
  <si>
    <t>Vorhota: Közösségi Ház</t>
  </si>
  <si>
    <t>Erzsébethegy: Közösségi tér kialakítás</t>
  </si>
  <si>
    <t>Termálmedence csempeburkolat felújítás</t>
  </si>
  <si>
    <t>Városépítészeti  feladatok</t>
  </si>
  <si>
    <t>Landorhegyi u. kerékpárút létesítés miatti járdafelújítások</t>
  </si>
  <si>
    <t>5./1.</t>
  </si>
  <si>
    <t>Ebergényi sport park</t>
  </si>
  <si>
    <t>6.a/1.</t>
  </si>
  <si>
    <t>Jézus Szíve plébánia támogatása</t>
  </si>
  <si>
    <t xml:space="preserve"> Református Egyház részére orgona felújításhoz támogatás</t>
  </si>
  <si>
    <t>Óvodák felújítására</t>
  </si>
  <si>
    <t>Rákóczi F. u. útátadással összefüggő járdaépítés és csapadékvízelvezetés (76-os út átvétele) rekonstrukció (közbeszerzés)</t>
  </si>
  <si>
    <t>Általános iskolák felújítására</t>
  </si>
  <si>
    <t>A *-gal jelzett felújítási feladatok megvalósításához hitel felvétel szükséges</t>
  </si>
  <si>
    <t>Űrhajós úti bölcsőde járulékos  felújítási munkák</t>
  </si>
  <si>
    <t>Általános tartalék</t>
  </si>
  <si>
    <t>Bio-hőerőmű megvalósíthatósági tanulmány</t>
  </si>
  <si>
    <t>Városrehabilitációra, valamint lakóövezetbe sorolt építési telek kialakítása Lakásalapból</t>
  </si>
  <si>
    <t>1.a./1</t>
  </si>
  <si>
    <t>1.a./2</t>
  </si>
  <si>
    <t>1.a./3</t>
  </si>
  <si>
    <t xml:space="preserve">Pályázati önrész 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</si>
  <si>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</si>
  <si>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</si>
  <si>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</si>
  <si>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</si>
  <si>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</si>
  <si>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 xml:space="preserve">   1.5 Vis maior támogatás</t>
  </si>
  <si>
    <t xml:space="preserve">   1.6  Szerkezetátalakítási tartalékból nyújtott támogatás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</si>
  <si>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</si>
  <si>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</si>
  <si>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</si>
  <si>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</si>
  <si>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</si>
  <si>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</si>
  <si>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</si>
  <si>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Cím                    szám</t>
  </si>
  <si>
    <t>Alcím                   szám</t>
  </si>
  <si>
    <t>Intézm. műk.bev.</t>
  </si>
  <si>
    <t>TB. alaptól átvett pe.</t>
  </si>
  <si>
    <t>Működ. célra</t>
  </si>
  <si>
    <t>Felhalm. célra</t>
  </si>
  <si>
    <t>Hitelek, ért. pap. és kölcsönök</t>
  </si>
  <si>
    <t>Pénzforg. nélk. bevét.</t>
  </si>
  <si>
    <t>Jogi és közig. feladatok</t>
  </si>
  <si>
    <t>Városépítészeti feladatok</t>
  </si>
  <si>
    <t>Cím- szám</t>
  </si>
  <si>
    <t>Alcím- szám</t>
  </si>
  <si>
    <t>Sor-                              szám</t>
  </si>
  <si>
    <t>Feladat megnevezése</t>
  </si>
  <si>
    <t>Beruházási célú kiadás</t>
  </si>
  <si>
    <t>15.</t>
  </si>
  <si>
    <t>Petőfi tagiskola tornaterem padlóburkolat és világítás korszerűsítés BM pályázati támogatással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</si>
  <si>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</si>
  <si>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</si>
  <si>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</si>
  <si>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</si>
  <si>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</si>
  <si>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</si>
  <si>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Felúj. célú pénzeszk. átad.</t>
  </si>
  <si>
    <t>Felújítás összesen</t>
  </si>
  <si>
    <t>Cím-    szám</t>
  </si>
  <si>
    <t>Alcím   szám</t>
  </si>
  <si>
    <t>Munkaadót       terhelő járulékok</t>
  </si>
  <si>
    <t>Dologi kiadások</t>
  </si>
  <si>
    <t>Ktgv-i kiad. összesen</t>
  </si>
  <si>
    <t>Óvodai GESZ</t>
  </si>
  <si>
    <t>Vásárcsarnok</t>
  </si>
  <si>
    <t>2.) Működési  célú pénzeszköz átvétel államháztartáson kívülről</t>
  </si>
  <si>
    <t>3.) Támogatásértékű működési bevételek</t>
  </si>
  <si>
    <t>4.) Átengedett bevételek</t>
  </si>
  <si>
    <t>5.) Állami hozzájárulás, támogatás</t>
  </si>
  <si>
    <t>6.) Egészségbiztosítási Alaptól  átvett pe.</t>
  </si>
  <si>
    <t>2.) Felhalmozási célú pénzeszköz átvétel államháztartáson kívülről</t>
  </si>
  <si>
    <t>3.) Támogatásértékű felhalmozási bevételek</t>
  </si>
  <si>
    <t>5.) Kölcsönök visszatérülése,igénybevétele</t>
  </si>
  <si>
    <t xml:space="preserve">7.) Hitel- és kölcsön törlesztések </t>
  </si>
  <si>
    <t>2./2</t>
  </si>
  <si>
    <t>Magánerős ivóvíz bekötések</t>
  </si>
  <si>
    <t>Idősek Otthona lízingdíj</t>
  </si>
  <si>
    <t>6./22.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</si>
  <si>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</si>
  <si>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</si>
  <si>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</si>
  <si>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Aquaparkban tárgyi eszköz beszerzés</t>
  </si>
  <si>
    <t>932911 Szabadidős park, fürdő és strandszolgáltatás</t>
  </si>
  <si>
    <t xml:space="preserve"> - Aquaparkba kisértékű eszközök beszerzése</t>
  </si>
  <si>
    <t xml:space="preserve">22. </t>
  </si>
  <si>
    <t>"Egymásra hangolva" projekt eszközbeszerzés</t>
  </si>
  <si>
    <t>Egészségügyi és humánigazgatási feladatok</t>
  </si>
  <si>
    <t>Oktatási feladatok</t>
  </si>
  <si>
    <t>Kulturális és ifjúsági feladatok</t>
  </si>
  <si>
    <t>Sport feladatok</t>
  </si>
  <si>
    <t xml:space="preserve"> - Magyar Bowling és Teke Szövetség támogatása világbajnokság rendezéséhez</t>
  </si>
  <si>
    <t xml:space="preserve"> - eredményességi támogatás</t>
  </si>
  <si>
    <t>feladat jellege</t>
  </si>
  <si>
    <t>5. Nyári étkeztetés támogatása</t>
  </si>
  <si>
    <t>Intézményi fejlesztések előkészítési munkái (tervezési, bonyolítási és műszaki ellenőrzési díjak)</t>
  </si>
  <si>
    <t>76-os út átvételéhez kapcsolódó csapadékcsatorna rekonstrukciók (Rákóczi út)</t>
  </si>
  <si>
    <t>Kaszaházi telekalakítás csapadékvíz befogadó építése</t>
  </si>
  <si>
    <t>Projekt előkészítések, tervezések</t>
  </si>
  <si>
    <t>3./4</t>
  </si>
  <si>
    <t>Gorkij u. - Göcseji u. jobbra kanyarodó sáv kialakítási munkái pályázati önrész</t>
  </si>
  <si>
    <t>Borostyán út rézsű támfal építéstervezés, kivitelezés</t>
  </si>
  <si>
    <t>1. Felhalmozási célú hitel felvétele</t>
  </si>
  <si>
    <t>Önkormányzat</t>
  </si>
  <si>
    <t>Költségvetési szervek</t>
  </si>
  <si>
    <t>Felhalmozási bevételek</t>
  </si>
  <si>
    <t>felhalm.célú átvett pe.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</si>
  <si>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</si>
  <si>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</si>
  <si>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</si>
  <si>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</si>
  <si>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 xml:space="preserve">Kerékpárutakhoz területvásárlás </t>
  </si>
  <si>
    <t>Termál utca járdaépítés</t>
  </si>
  <si>
    <t>Toposházi u.buszforduló és  útépítés II. ütem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</si>
  <si>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</si>
  <si>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</si>
  <si>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</si>
  <si>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</si>
  <si>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</si>
  <si>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Belváros rehabilitációs program pályázati támogatással</t>
  </si>
  <si>
    <t>Patkó u.csapadékvízelvezetés</t>
  </si>
  <si>
    <t>Önkormányzati erdősítések és ápolási munkálatok</t>
  </si>
  <si>
    <t>Építési telek kialakítása, közművesítése (Flórián u. , Andráshida ) Lakásalap</t>
  </si>
  <si>
    <t>kgy</t>
  </si>
  <si>
    <t>"Ivóvízminőség javítása" KEOP pályázathoz önrész (KEOP-7.1.3.0/09-201-0017 )</t>
  </si>
  <si>
    <t>10.</t>
  </si>
  <si>
    <t>11.</t>
  </si>
  <si>
    <t>Elővásárlási jog gyakorlásával történő lakóingatlan vásárlása (Lakásalap)</t>
  </si>
  <si>
    <t>841908 Fejezeti és általános tartalékok elszámolása</t>
  </si>
  <si>
    <t>Csipke Kft-vel kötött szerződés a 178/2008. Kgy.hat.alapján</t>
  </si>
  <si>
    <t>1.a/1.</t>
  </si>
  <si>
    <t>1.a/1</t>
  </si>
  <si>
    <t>Intézm. műk. bevétele</t>
  </si>
  <si>
    <t>Támogatás értékű bevétel</t>
  </si>
  <si>
    <t>Felhalmozási  bevétel</t>
  </si>
  <si>
    <t>Pénzfor. nélküli  bevétel</t>
  </si>
  <si>
    <t>Ktgv-i bevétel  összesen</t>
  </si>
  <si>
    <t>Kapott támogatás</t>
  </si>
  <si>
    <t>TB. alaptól  átvett</t>
  </si>
  <si>
    <t>Felhalm.               célra</t>
  </si>
  <si>
    <t>Izsák Imre ÁMK</t>
  </si>
  <si>
    <t>Öveges József ÁMK</t>
  </si>
  <si>
    <t>Keresztury Dezső Városi Művelődési Központ</t>
  </si>
  <si>
    <t>8./1.</t>
  </si>
  <si>
    <t>8./2.</t>
  </si>
  <si>
    <t>Deák Ferenc Megyei és Városi Könyvtár</t>
  </si>
  <si>
    <t>Göcseji Múzeum</t>
  </si>
  <si>
    <t>Városi Sportlétesítmények Gondnoksága</t>
  </si>
  <si>
    <t>Személyi jellegű kiadások</t>
  </si>
  <si>
    <t>2013. eredeti előirányzat</t>
  </si>
  <si>
    <t>Griff Bábszínház</t>
  </si>
  <si>
    <t xml:space="preserve">Hevesi Sándor Színház </t>
  </si>
  <si>
    <t>Lakossági-civil kezdeményezések keretből felhalmozási célú átadás</t>
  </si>
  <si>
    <t>6./4</t>
  </si>
  <si>
    <t>6./5</t>
  </si>
  <si>
    <t>Csatornarendszer (szennyvíz-csapadékvíz)</t>
  </si>
  <si>
    <t>I. Működési célú bevételek</t>
  </si>
  <si>
    <t>I. Működési célú kiadások</t>
  </si>
  <si>
    <t>1.) Saját bevételek</t>
  </si>
  <si>
    <t>Hangverseny- és Kiállítóterem előtér felújításhoz pe. átadás</t>
  </si>
  <si>
    <t xml:space="preserve">     - Nyugat-Pannon Járműipari és Mechanikai Kp.szolgáltató Kp. működési hozzájárulás</t>
  </si>
  <si>
    <t>890441 Közcélú  foglalkoztatás</t>
  </si>
  <si>
    <t xml:space="preserve"> - Fejlesztési célú hitel igénybevételi díj, törlesztés és   kamatfizetési kötelezettség</t>
  </si>
  <si>
    <t>Szt. András parkban játszótér létesítése</t>
  </si>
  <si>
    <t>"Zalaegerszeg 2020-Integrált településfejlesztési startégia megalkotása" projekt pályázati támogatás NYDOP-3.1.1/F-13-2013-0001</t>
  </si>
  <si>
    <t>6./23.</t>
  </si>
  <si>
    <t>"Zalaegerszeg 2020-Integrált településfejlesztési startégia megalkotása" projekt pályázati támogatással  NYDOP-3.1.1/F-13-2013-0001</t>
  </si>
  <si>
    <t>Öveges J.Általános Iskola balesetveszélyes tornatermi mennyezet felúj.</t>
  </si>
  <si>
    <t xml:space="preserve"> - Főépítészi keret</t>
  </si>
  <si>
    <t>4.) Céltartalékból működésre</t>
  </si>
  <si>
    <t>5.) Általános tartalék</t>
  </si>
  <si>
    <t>4.) Állami hozzájárulás, támogatás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</si>
  <si>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</si>
  <si>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</si>
  <si>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</si>
  <si>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</si>
  <si>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</si>
  <si>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</si>
  <si>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</si>
  <si>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</si>
  <si>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</si>
  <si>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</si>
  <si>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</si>
  <si>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 xml:space="preserve">   2.4 Bírságok, pótlékok és egyéb sajátos bevételek</t>
  </si>
  <si>
    <t>4.) Céltartalék</t>
  </si>
  <si>
    <t>5.) Kölcsönnyújtás</t>
  </si>
  <si>
    <t>6.)Fejlesztési hitel kamata</t>
  </si>
  <si>
    <t xml:space="preserve">     Költségvetési felhalm. bevételei összesen:</t>
  </si>
  <si>
    <t xml:space="preserve">      Költségvetési felh.célú kiadásai összesen:</t>
  </si>
  <si>
    <t xml:space="preserve"> Finanszírozási műveletek</t>
  </si>
  <si>
    <t>Csáfordi u. aszfaltozása</t>
  </si>
  <si>
    <t>Hevesi Sándor Színház</t>
  </si>
  <si>
    <t>FELHALMOZÁSI CÉLÚ BEVÉTELEK  ÖSSZESEN:</t>
  </si>
  <si>
    <t>FELHALMOZÁSI CÉLÚ KIADÁSOK ÖSSZESEN:</t>
  </si>
  <si>
    <t>Sor- szám</t>
  </si>
  <si>
    <t>BEVÉTELEK</t>
  </si>
  <si>
    <t>I.</t>
  </si>
  <si>
    <t>Működési  bevételek</t>
  </si>
  <si>
    <t>1. Intézményi működési bevételek</t>
  </si>
  <si>
    <t xml:space="preserve">   2.2  Helyi adók</t>
  </si>
  <si>
    <t xml:space="preserve">   2.3 Átengedett központi adók</t>
  </si>
  <si>
    <t>MŰKÖDÉSI BEVÉTELEK ÖSSZESEN:</t>
  </si>
  <si>
    <t>II.</t>
  </si>
  <si>
    <t>1. Önkormányzatok költségvetési támogatása</t>
  </si>
  <si>
    <t xml:space="preserve">   1.2 Központosított előirányzatok</t>
  </si>
  <si>
    <t xml:space="preserve">   1.3 Helyi önkormányzatok színházi  támogatása</t>
  </si>
  <si>
    <t>TÁMOGATÁSOK ÖSSZESEN:</t>
  </si>
  <si>
    <t>III.</t>
  </si>
  <si>
    <t>1. Tárgyi eszközök és immateriális javak értékesítése</t>
  </si>
  <si>
    <t>6./9</t>
  </si>
  <si>
    <t>2. Önkormányzatok sajátos felhalmozási és tőkebevételei</t>
  </si>
  <si>
    <t>3. Pénzügyi befektetések bevételei</t>
  </si>
  <si>
    <t xml:space="preserve">IV. </t>
  </si>
  <si>
    <t xml:space="preserve"> Támogatásértékű bevétel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</si>
  <si>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</si>
  <si>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</si>
  <si>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</si>
  <si>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</si>
  <si>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</si>
  <si>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</si>
  <si>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</si>
  <si>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</si>
  <si>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</si>
  <si>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</si>
  <si>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</si>
  <si>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</si>
  <si>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</si>
  <si>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HITELEK ÖSSZESEN:</t>
  </si>
  <si>
    <t>VIII.</t>
  </si>
  <si>
    <t>Gógánhegyi közvilágítás bővítés</t>
  </si>
  <si>
    <t>Zala utcában árvízkapu létesítése</t>
  </si>
  <si>
    <t>3.a/2.</t>
  </si>
  <si>
    <t>1.a/9</t>
  </si>
  <si>
    <t>Pénzforgalom nélküli bevételek</t>
  </si>
  <si>
    <t>1. Előző évi előirányzat-maradvány, pénzmaradvány igénybevétele</t>
  </si>
  <si>
    <t>2. Előző évi vállalkozási eredmény igénybevétele</t>
  </si>
  <si>
    <t>PÉNZFORGALOM NÉLKÜLI BEVÉTELEK ÖSSZESEN:</t>
  </si>
  <si>
    <t>BEVÉTELEK MINDÖSSZESEN:</t>
  </si>
  <si>
    <t xml:space="preserve">saját 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</si>
  <si>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</si>
  <si>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</si>
  <si>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</si>
  <si>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</si>
  <si>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</si>
  <si>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</si>
  <si>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</si>
  <si>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</si>
  <si>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3. Helyi szervezési intézkedésekhez kapcsolódó többletkiadások támogatása</t>
  </si>
  <si>
    <t>Egyéb központi támogatás</t>
  </si>
  <si>
    <t xml:space="preserve">   1.4 Egyéb központi támogatás</t>
  </si>
  <si>
    <t>1.) Támogatásértékű kiadás és végleges pénzeszköz átadás felhalm.célra és egyéb felhalmozási kiadás</t>
  </si>
  <si>
    <t>Ellátottak pénzbeli  juttatásai</t>
  </si>
  <si>
    <t>4.a/4</t>
  </si>
  <si>
    <t>4.a/5</t>
  </si>
  <si>
    <t>4.a/6</t>
  </si>
  <si>
    <t>4.a/7</t>
  </si>
  <si>
    <t>4.a/8</t>
  </si>
  <si>
    <t>4.a/9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</si>
  <si>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</si>
  <si>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</si>
  <si>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</si>
  <si>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</si>
  <si>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</si>
  <si>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</si>
  <si>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</si>
  <si>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</si>
  <si>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</si>
  <si>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</si>
  <si>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</si>
  <si>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</si>
  <si>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</si>
  <si>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</si>
  <si>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>12.</t>
  </si>
  <si>
    <t>A lakáscélú állami támogatásokról szóló külön jogszabály szerinti pályázati önrész finanszírozása (egycsatornás gyűjtőkémények felújítása) Lakásalapból</t>
  </si>
  <si>
    <t>841901 Önkormányzatok, valamint többcélú kistérségi társulások elszámolásai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</si>
  <si>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</si>
  <si>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</si>
  <si>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</si>
  <si>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</si>
  <si>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</si>
  <si>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</si>
  <si>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</si>
  <si>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Módosítás
hatáskör
szerint **</t>
  </si>
  <si>
    <t>Landorhegyi u.8. szám alatti gyermekorvosi rendelők felújítása</t>
  </si>
  <si>
    <t>Napsugár u. óvoda kültéri berendezéseinek felújítása</t>
  </si>
  <si>
    <t>Öveges Óvoda süllyedés miatti talajstabilizálás</t>
  </si>
  <si>
    <t>Vörösmarty u. gázvezeték rekonstukciót követően a másik fél pálya helyreállítása</t>
  </si>
  <si>
    <t>Széchenyi tér buszmegálló felújítása szigeteléssel együtt, nyilvános WC felúj.</t>
  </si>
  <si>
    <t>Botfy L. u. felújítás Vizslaparki u. - Mártírok u. közötti szakaszon</t>
  </si>
  <si>
    <t xml:space="preserve"> - bírói letét visszautalása</t>
  </si>
  <si>
    <t xml:space="preserve"> - cserével vegyes ingatlanszerződések</t>
  </si>
  <si>
    <t>Hitelező</t>
  </si>
  <si>
    <t>Lejárat éve</t>
  </si>
  <si>
    <t>Hitelkeret</t>
  </si>
  <si>
    <t>önkormányzat hitel állománya</t>
  </si>
  <si>
    <t>2013. évi adósságszolg.</t>
  </si>
  <si>
    <t>2014. évi adósságszolg.</t>
  </si>
  <si>
    <t>2015. évi adósságszolg.</t>
  </si>
  <si>
    <t>Későbbi évek tőketörlesztése</t>
  </si>
  <si>
    <t>Hitelek állománya  2012. XII. 31-én</t>
  </si>
  <si>
    <t>2012. évi áthuzódó  feladatokhoz hitel igénybe vétel</t>
  </si>
  <si>
    <t>2013. évi feladatokhoz hitel igénybevétel</t>
  </si>
  <si>
    <t>Adósságkonsz. során állami törlesztés</t>
  </si>
  <si>
    <t>Kamat és egyéb ktg.</t>
  </si>
  <si>
    <t>Tőketörlesztés</t>
  </si>
  <si>
    <t>1. PHARE kölcsön szennyvíztisztító     rekonstrukcióra</t>
  </si>
  <si>
    <t>Körny.véd. és Vízügyi Min.</t>
  </si>
  <si>
    <t>2013.</t>
  </si>
  <si>
    <t xml:space="preserve">2. MFB fejlesztési célú hitel igénybevétele     ( 10 éves futamidővel) </t>
  </si>
  <si>
    <t>OTP</t>
  </si>
  <si>
    <t>2015.</t>
  </si>
  <si>
    <t xml:space="preserve">3. Fejlesztési célú hitelfelvétel "Panel Plusz" program  </t>
  </si>
  <si>
    <t>CIB</t>
  </si>
  <si>
    <t>2021.</t>
  </si>
  <si>
    <t>4. Fejlesztési célú hitelfelvétel "Panel Plusz" program</t>
  </si>
  <si>
    <t>ERSTE Bank</t>
  </si>
  <si>
    <t xml:space="preserve">5. MFB Fejlesztési célú hitel felvétel 2006. évi  beruházásokhoz </t>
  </si>
  <si>
    <t>K&amp;H</t>
  </si>
  <si>
    <t>2026.</t>
  </si>
  <si>
    <t xml:space="preserve">6. MFB Fejlesztési célú hitel felvétel 2007. évi  beruházásokhoz </t>
  </si>
  <si>
    <t>2027.</t>
  </si>
  <si>
    <t xml:space="preserve">7. MFB  Fejlesztési célú hitel felvétel 74-es út körforgalom építéshez </t>
  </si>
  <si>
    <t>Unicredit Bank</t>
  </si>
  <si>
    <t>8. MFB  Fejlesztési célú hitel felvétel   2008. évi beruházásokhoz és Kosztolányi u.</t>
  </si>
  <si>
    <t>2028.</t>
  </si>
  <si>
    <t>9. MFB  Fejlesztési célú hitel felvétel   2008. évi kerékpárút pályázat önrészéhez</t>
  </si>
  <si>
    <t>10. MFB Fejlesztési célú hitel felvétel   2009. évi intézményi felújításokhoz</t>
  </si>
  <si>
    <t>2029.</t>
  </si>
  <si>
    <t>10.Új Magyarország Fejl.Terv  Operatív Programra benyújtott pályázatok önrészéhez  hitel</t>
  </si>
  <si>
    <t>2034.</t>
  </si>
  <si>
    <t>11. MFB  Fejlesztési célú hitelfelvétel 2010. évben elnyert pályázatok önrészéhez ( Önkorm. Infratrukturális Hitelprogram)</t>
  </si>
  <si>
    <t>Raiffeisen Bank Zrt.</t>
  </si>
  <si>
    <t>2035.</t>
  </si>
  <si>
    <t>12. MFB  Fejlesztési célú hitelfelvétel 2011. évi fejlesztési célokhoz</t>
  </si>
  <si>
    <t>13. MFB  Fejlesztési célú hitelfelvétel 2012. évi fejlesztési célokhoz</t>
  </si>
  <si>
    <t xml:space="preserve">14. ZTE Kosárlabda Klubtól átvállalt hitel </t>
  </si>
  <si>
    <t>2014.</t>
  </si>
  <si>
    <t>15. 2013. évi új feladatokhoz tervezett fejlesztési célú hitelfelvétel</t>
  </si>
  <si>
    <t>Mindösszesen:</t>
  </si>
  <si>
    <t>Bruttó lízingdíj  állománya   ezerFt-ban 2012.XII.31-én</t>
  </si>
  <si>
    <t>2013.évi                                           eFt-ban</t>
  </si>
  <si>
    <t>2014. évi                              eFt-ban</t>
  </si>
  <si>
    <t>2015. évi                              eFt-ban</t>
  </si>
  <si>
    <t>Későbbi évek terhe ezerFt-ban</t>
  </si>
  <si>
    <t>tőke</t>
  </si>
  <si>
    <t>kamat</t>
  </si>
  <si>
    <t>Tőke-   törlesztés</t>
  </si>
  <si>
    <t>Tőke- törlesztés</t>
  </si>
  <si>
    <t xml:space="preserve">Batthyány L. u.  járdaburkolat felújítása </t>
  </si>
  <si>
    <t>Zárda u. - Alsójánkahegyi u. közötti tereplécső felújítása</t>
  </si>
  <si>
    <t>Zrínyi u., Vasútállomás - Bartók közötti kerékpárút burkolat és kiemelt szegély felújítás</t>
  </si>
  <si>
    <t>Ola utcai és Rákóczi utcai járda felújítása, zöldfelület rendezése</t>
  </si>
  <si>
    <t>Járdafelújítások Páterdombon</t>
  </si>
  <si>
    <t>4./25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</si>
  <si>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</si>
  <si>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</si>
  <si>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</si>
  <si>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</si>
  <si>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</si>
  <si>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</si>
  <si>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</si>
  <si>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</si>
  <si>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</si>
  <si>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</si>
  <si>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</si>
  <si>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</si>
  <si>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</si>
  <si>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</si>
  <si>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</si>
  <si>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Hosszú-hegyi út felújítása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</si>
  <si>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</si>
  <si>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</si>
  <si>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</si>
  <si>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</si>
  <si>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</si>
  <si>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</si>
  <si>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</si>
  <si>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</si>
  <si>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</si>
  <si>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</si>
  <si>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</si>
  <si>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</si>
  <si>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</si>
  <si>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</si>
  <si>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</si>
  <si>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</si>
  <si>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>ebből: átvállalt működési célú hitel törlesztése</t>
  </si>
  <si>
    <t>3.) Támogatásértékű kiadás és végleges pe.átadás műk.célra (költségvetési szervek nélkül)</t>
  </si>
  <si>
    <t>7.) Működési hitel felvétele</t>
  </si>
  <si>
    <t>7.) Pénzforgalom nélküli kiadás</t>
  </si>
  <si>
    <t>8.) Előző évek pénzmaradványa</t>
  </si>
  <si>
    <t>9.) Vállalkozási eredmény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</si>
  <si>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</si>
  <si>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</si>
  <si>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</si>
  <si>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</si>
  <si>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</si>
  <si>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</si>
  <si>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</si>
  <si>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</si>
  <si>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Páterdombi LSC sportpálya építési program támogatása</t>
  </si>
  <si>
    <t>14.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</si>
  <si>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</si>
  <si>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</si>
  <si>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</si>
  <si>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</si>
  <si>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</si>
  <si>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Polgármesteri iroda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</si>
  <si>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</si>
  <si>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</si>
  <si>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</si>
  <si>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</si>
  <si>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</si>
  <si>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</si>
  <si>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</si>
  <si>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</si>
  <si>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</si>
  <si>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</si>
  <si>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</si>
  <si>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</si>
  <si>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</si>
  <si>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</si>
  <si>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</si>
  <si>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</si>
  <si>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</si>
  <si>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</si>
  <si>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</si>
  <si>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</si>
  <si>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</si>
  <si>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</si>
  <si>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</si>
  <si>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</si>
  <si>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</si>
  <si>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</si>
  <si>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</si>
  <si>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</si>
  <si>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</si>
  <si>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</si>
  <si>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</si>
  <si>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</si>
  <si>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</si>
  <si>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</si>
  <si>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</si>
  <si>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</si>
  <si>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</si>
  <si>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</si>
  <si>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</si>
  <si>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</si>
  <si>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</si>
  <si>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</si>
  <si>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</si>
  <si>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4.a/10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</si>
  <si>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</si>
  <si>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</si>
  <si>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</si>
  <si>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</si>
  <si>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</si>
  <si>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</si>
  <si>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</si>
  <si>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</si>
  <si>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</si>
  <si>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</si>
  <si>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</si>
  <si>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</si>
  <si>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</si>
  <si>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</si>
  <si>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</si>
  <si>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</si>
  <si>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</si>
  <si>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Int. műk. bev.</t>
  </si>
  <si>
    <t>Felhalmozás és tőkejell.</t>
  </si>
  <si>
    <t>Önkorm. ktgvet. tám.</t>
  </si>
  <si>
    <t>Tb. alapból</t>
  </si>
  <si>
    <t>Műk.               célra</t>
  </si>
  <si>
    <t>Felhalm célra</t>
  </si>
  <si>
    <t>Hitelek ért. papírok kölcsönök</t>
  </si>
  <si>
    <t>Pénzforg. nélküli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</si>
  <si>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</si>
  <si>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</si>
  <si>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</si>
  <si>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</si>
  <si>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</si>
  <si>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</si>
  <si>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</si>
  <si>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</si>
  <si>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Működési célra</t>
  </si>
  <si>
    <t>Ellátottak pénzbeni juttatásai</t>
  </si>
  <si>
    <t>Felújítási kiadások</t>
  </si>
  <si>
    <t>Pénzforga- lom nélküli kiadások</t>
  </si>
  <si>
    <t>Fejlesztési kiadások</t>
  </si>
  <si>
    <t>Ságodi óvoda kerítés javítása</t>
  </si>
  <si>
    <t xml:space="preserve">Páterdombi utca részleges felújítása </t>
  </si>
  <si>
    <t>Balesetveszélyes tereplépcsők, járdák felújítása</t>
  </si>
  <si>
    <t>Belvárosi járdák felújítása</t>
  </si>
  <si>
    <t>Göcseji Pataki u. páros oldal parkoló aszfaltozása</t>
  </si>
  <si>
    <t>Köztársaság 74-80. D-i oldali lépcsők felújítása</t>
  </si>
  <si>
    <t>Hegyalja u. 11-13. parkoló burkolatfelújítás, Hegyalja 9-11. között betonlapos gyalogjárda felújítás</t>
  </si>
  <si>
    <t>6.) Hitel felvétel</t>
  </si>
  <si>
    <t>7.) Előző évek pénzmaradványa</t>
  </si>
  <si>
    <t>Posta út melletti telephelyek  szennyvízelvezetése</t>
  </si>
  <si>
    <t>Felújítási kiadások:</t>
  </si>
  <si>
    <t>Fejlesztési kiadások:</t>
  </si>
  <si>
    <t>saját</t>
  </si>
  <si>
    <t>átvett pe.</t>
  </si>
  <si>
    <t>Támogatásértékű bevétel</t>
  </si>
  <si>
    <t>Szennyvízberuházások és csapadékcsatornák</t>
  </si>
  <si>
    <t xml:space="preserve"> - Nyugdíjasházi adományok</t>
  </si>
  <si>
    <t>Napsugár úti Bölcsőde kazánházi rekonstrukció</t>
  </si>
  <si>
    <t>Ellátottak juttatásai</t>
  </si>
  <si>
    <t>pm</t>
  </si>
  <si>
    <t>4.a./13</t>
  </si>
  <si>
    <t>Járdafelújítások Zalabesenyőben</t>
  </si>
  <si>
    <t>9./5.</t>
  </si>
  <si>
    <t xml:space="preserve"> Ságod géptelep kisfeszültségű légvezeték hálózat felújítása</t>
  </si>
  <si>
    <t>6./1.</t>
  </si>
  <si>
    <t>9./1.</t>
  </si>
  <si>
    <t>Aquaparkban felújítási munkák</t>
  </si>
  <si>
    <t>9.a/1.</t>
  </si>
  <si>
    <t>Helyi építészeti értékek védelme</t>
  </si>
  <si>
    <t>Kossuth L.u. 45-49. tetőszigetelés</t>
  </si>
  <si>
    <t>Felhalmozási célú céltartalék</t>
  </si>
  <si>
    <t>20.</t>
  </si>
  <si>
    <t>Teke Világbajnokságra mobil lelátó beszerzésére pénzeszköz átadás Egerszeg Sport és Turizmus Kft. részére</t>
  </si>
  <si>
    <t xml:space="preserve">21. </t>
  </si>
  <si>
    <t>Ságodi óvoda tornaterem központi fűtés kialakítása</t>
  </si>
  <si>
    <t>3.a/1.</t>
  </si>
  <si>
    <t>Botfa köztéri világítás korszerűsítés</t>
  </si>
  <si>
    <t>4./9.</t>
  </si>
  <si>
    <t>Aranyeső u. útépítés</t>
  </si>
  <si>
    <t>5./5.</t>
  </si>
  <si>
    <t>Ola utca U alakú tömbház közterületi udvarára focikapu telepítése</t>
  </si>
  <si>
    <t>9./8.</t>
  </si>
  <si>
    <t>Közfoglalkoztatás anyag- és eszközigény biztosítása</t>
  </si>
  <si>
    <t>6./20.</t>
  </si>
  <si>
    <t xml:space="preserve"> - "Zalaegerszeg elővárosi közlekedési rendszereinek fejlesztése"  projekt KÖZOP-5.5.0-09-11-2012-0016 </t>
  </si>
  <si>
    <t>6./21.</t>
  </si>
  <si>
    <t xml:space="preserve"> - "Zalaegerszeg intermodális közösségi közlekedési csomópont létesítése" projekt KÖZOP-5.5.0-09-11-2012-0019 </t>
  </si>
  <si>
    <t>882118 Kiegészítő gyemekvédelmi támogatás</t>
  </si>
  <si>
    <t>421100 Út, autópálya építés</t>
  </si>
  <si>
    <t>841403 Város-, községgazdálkodási m.n.s.szolgáltatások</t>
  </si>
  <si>
    <t>841325 Építésügy,területpolitika területi igazgatása és szabályozása</t>
  </si>
  <si>
    <t>382101 Települési hulladékkezelés és ártalmatlanítás</t>
  </si>
  <si>
    <t>841126  Önkorm.és társulása által végreh. igazgatási  tevékenysége</t>
  </si>
  <si>
    <t xml:space="preserve"> - központi támogatások</t>
  </si>
  <si>
    <t>882111 Rendszeres szociális segély</t>
  </si>
  <si>
    <t xml:space="preserve"> - foglalkoztatást helyettesítő támogatás</t>
  </si>
  <si>
    <t>882113 Lakásfenntartási támogatás normatív alapon</t>
  </si>
  <si>
    <t xml:space="preserve"> - adósságkezelés lakásfenntartási támogatás</t>
  </si>
  <si>
    <t xml:space="preserve">882123 Temetési segély </t>
  </si>
  <si>
    <t>882124 Rendkívüli gyermekvédelmi támogatás</t>
  </si>
  <si>
    <t xml:space="preserve">882201 Adósságkezelési szolgáltatás </t>
  </si>
  <si>
    <t>862102 Háziorvosi ügyeleti ellátás</t>
  </si>
  <si>
    <t xml:space="preserve"> - ügyeleti ellátás támogatása</t>
  </si>
  <si>
    <t>854 234 Szociális ösztöndíjak</t>
  </si>
  <si>
    <t xml:space="preserve"> - Bursa Hungarica ösztöndíj</t>
  </si>
  <si>
    <t>Cím    szám</t>
  </si>
  <si>
    <t>Alcím    szám</t>
  </si>
  <si>
    <t>2013. évi mód.lét-szám ei.</t>
  </si>
  <si>
    <t>Igazga-tási dolgozó</t>
  </si>
  <si>
    <t>Orvos</t>
  </si>
  <si>
    <t>Óvoda pedagó-gus</t>
  </si>
  <si>
    <t>Népműve-lő, könyvtáros</t>
  </si>
  <si>
    <t>Egyéb szakalkal- mazott</t>
  </si>
  <si>
    <t>Ügyvi-teli dolgo-zó</t>
  </si>
  <si>
    <t>Fizi-kai dolgozó</t>
  </si>
  <si>
    <t>2013. évi módosí- tott létszám ei.</t>
  </si>
  <si>
    <t xml:space="preserve">Vált. </t>
  </si>
  <si>
    <t>ebből: Zalaegerszegi Egyesített Bölcsődék</t>
  </si>
  <si>
    <t xml:space="preserve">          Zalaegerszegi Családsegítő Szolgálat</t>
  </si>
  <si>
    <t xml:space="preserve">          Zalaegerszegi Egészségügyi Alapellátás</t>
  </si>
  <si>
    <t xml:space="preserve">          GESZ</t>
  </si>
  <si>
    <t xml:space="preserve">      Zalaegerszegi Belvárosi I. sz.Óvoda</t>
  </si>
  <si>
    <t xml:space="preserve">      Zalaegerszegi Belvárosi II. sz.Óvoda</t>
  </si>
  <si>
    <t xml:space="preserve">      Zalaegerszegi Kertvárosi Óvoda</t>
  </si>
  <si>
    <t xml:space="preserve">     Zalaegerszegi Landorhegyi Óvoda</t>
  </si>
  <si>
    <t>ebből: Belvárosi I. sz. Integrált Óvoda</t>
  </si>
  <si>
    <t xml:space="preserve">        Belvárosi  II.sz. Integrált Óvoda</t>
  </si>
  <si>
    <t xml:space="preserve">         Kertvárosi  Integrált Óvoda</t>
  </si>
  <si>
    <t xml:space="preserve">         Landorhegyi Integrált Óvoda</t>
  </si>
  <si>
    <t xml:space="preserve">         GESZ</t>
  </si>
  <si>
    <t>Zalaegerszegi Városrészek  Művelődési Központja (volt Apáczai Csere János VMK)</t>
  </si>
  <si>
    <t xml:space="preserve">            Városi Művelődési Központ</t>
  </si>
  <si>
    <t xml:space="preserve">            Tourinform Iroda</t>
  </si>
  <si>
    <t>882115 Ápolási díj alanyi jogon</t>
  </si>
  <si>
    <t>890301 Civil szervezetek működési támogatása</t>
  </si>
  <si>
    <t>841126  Önkorm.és társulása által végreh. igazgatási  tev.</t>
  </si>
  <si>
    <t xml:space="preserve"> - Egerszegkártya</t>
  </si>
  <si>
    <t>856099 Egyéb oktatást kiegészítő tevékenység</t>
  </si>
  <si>
    <t>900400 Kulturális műsorok,rendezvények, kiállítások szervezése</t>
  </si>
  <si>
    <t>Űrhajós utcai Székhelyóvoda 3 db gyermekmosdó felújítása</t>
  </si>
  <si>
    <t>931201 Versenysport-tevékenység és támogatása</t>
  </si>
  <si>
    <t xml:space="preserve"> - ZTE KK. Kft. támogatás és átvállalt hitel és kamata</t>
  </si>
  <si>
    <t>931102 Sportlétesítmények működtetése és fejlesztése</t>
  </si>
  <si>
    <t xml:space="preserve"> - Teke világbajnokság rendezvénye</t>
  </si>
  <si>
    <t>Zöldterület kezelés</t>
  </si>
  <si>
    <t>841154 Önk-i vagyonnal való gazdálkodáshoz kapcs. fa.</t>
  </si>
  <si>
    <t xml:space="preserve"> - helyi utak, hidak fenntartása</t>
  </si>
  <si>
    <t>842541 Ár- és belvízvédelemmel összefüggő tevékenység</t>
  </si>
  <si>
    <t xml:space="preserve"> - ár és belvízvédelmi feladatok</t>
  </si>
  <si>
    <t>kgy,pm</t>
  </si>
  <si>
    <t>841403 Város-,községgazdálkodási m.n.s. szolgáltatások</t>
  </si>
  <si>
    <t xml:space="preserve"> - hibaelhárítás, sürgősségi feladatok</t>
  </si>
  <si>
    <t>Városépítészeti feladatok működési kiadásai:</t>
  </si>
  <si>
    <t xml:space="preserve"> - ÁFA befizetés</t>
  </si>
  <si>
    <t>841403 Város-, községgazdálkodási m.n.s. szolgáltatások</t>
  </si>
  <si>
    <t xml:space="preserve"> - Polgármesteri keret</t>
  </si>
  <si>
    <t xml:space="preserve"> - Településrészi Önkormányzatok</t>
  </si>
  <si>
    <t>841335 Foglalkoztatást elősegítő támogatások</t>
  </si>
  <si>
    <t xml:space="preserve"> - Deák Ferenc Gazdaságélénkítő Program- pénzügyi vállalkozás</t>
  </si>
  <si>
    <t>Szociális rászorultság alapján és egyéb biztosítandó támogatások  a költségvetési szerveknél</t>
  </si>
  <si>
    <t>Szociális, Egészségügyi  és Esélyegyenlőségi Bizottság átruházott hatáskörében felosztható keret</t>
  </si>
  <si>
    <t xml:space="preserve">        címpótlék a szociális intézményekben</t>
  </si>
  <si>
    <t>2013. évi módosított ei. A II. névi módosítás után</t>
  </si>
  <si>
    <t>2013. évi módosított ei. a II. névi módosítás után</t>
  </si>
  <si>
    <t>III. negyedévi módosítás összege</t>
  </si>
  <si>
    <t>III. negyedévi módosítás</t>
  </si>
  <si>
    <t>Ady E. Iskola udvar balesetveszélyes fedlapok, burkolat helyreállítás</t>
  </si>
  <si>
    <t>13.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</si>
  <si>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</si>
  <si>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</si>
  <si>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</si>
  <si>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</si>
  <si>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Meglévő gyalogos átkelőhelyek megvilágításának biztosítása</t>
  </si>
  <si>
    <t>Forgalom biztonsági berendezések építése</t>
  </si>
  <si>
    <t>Városi járdakapcsolatok akadálymentesítése</t>
  </si>
  <si>
    <t>Vizslaparki utca "kinyitása" a Platán sorra</t>
  </si>
  <si>
    <t>Ciklámen u.12.sz. előtt parkoló kialakítása</t>
  </si>
  <si>
    <t>Csácsi-hegy útkialakítás 20296 hrsz.</t>
  </si>
  <si>
    <t>Vorhotán parkosítás, aszfaltos pálya környezetének rendbetétele</t>
  </si>
  <si>
    <t xml:space="preserve"> - karbantartás jellegű Vis maior  feladatok</t>
  </si>
  <si>
    <t>Berzsenyi-Stadion utcai tömbbelsőben sétány építése, játszótéri kerítés folytatása, zöldfelület rendezés</t>
  </si>
  <si>
    <t>Parkosítás, zöldfelület rendezés, játszótérbővítés Csácsban</t>
  </si>
  <si>
    <t>5.a./1</t>
  </si>
  <si>
    <t>5.a./2</t>
  </si>
  <si>
    <t>5.a./3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</si>
  <si>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</si>
  <si>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</si>
  <si>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</si>
  <si>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</si>
  <si>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</si>
  <si>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>9./7</t>
  </si>
  <si>
    <t>Budai völgyi u. szennyvízelvezetés</t>
  </si>
  <si>
    <t>Alkotmány u. 6 körüli csapadékvíz-elvezetés</t>
  </si>
  <si>
    <t xml:space="preserve"> - intézmények támogatása, rendezvényeik finanszírozása</t>
  </si>
  <si>
    <t>ebből:  - Zalaegerszegi Egyesített Bölcsődék</t>
  </si>
  <si>
    <t xml:space="preserve"> - díszokleveles pedagógusok ünnepsége és jutalmazása</t>
  </si>
  <si>
    <t>890509 Egyéb m.n.s.közösségi, társadalmi tevékenység tám.</t>
  </si>
  <si>
    <t xml:space="preserve"> - Idősügyi Tanács működtetése</t>
  </si>
  <si>
    <t xml:space="preserve">24. </t>
  </si>
  <si>
    <t xml:space="preserve">25. </t>
  </si>
  <si>
    <t>Andráshidai LSC sportfejlesztési program támogatása</t>
  </si>
  <si>
    <t xml:space="preserve"> - folyószámla kamata</t>
  </si>
  <si>
    <t>Csapadékvíz elvezetések, vízrendezések tervezése</t>
  </si>
  <si>
    <t>Göcseji u. kerékpárút melletti csapadékcsatorna rekonstrukció(Göcseji u.15-Platán sorig)</t>
  </si>
  <si>
    <t xml:space="preserve">Vorhotán Újhegyi u. járdaépítés és kapcsolódó árok zárttá tétele </t>
  </si>
  <si>
    <t>2./3</t>
  </si>
  <si>
    <t>Csácsi hegy nyomásövezetek összekötése</t>
  </si>
  <si>
    <t xml:space="preserve">Olajmunkás u. útfelújítás </t>
  </si>
  <si>
    <t xml:space="preserve">Kossuth u. forgalommentesítés előkészítése, továbbtervezés </t>
  </si>
  <si>
    <t>Sas u. - Jánkahegy útcsatlakozás kiépítése</t>
  </si>
  <si>
    <t xml:space="preserve"> - Prémium évek program</t>
  </si>
  <si>
    <t xml:space="preserve"> - létszámcsökkentéshez kapcsolódó egyszeri kiadások támogatása</t>
  </si>
  <si>
    <t>2013. évi  eredeti előirányzat</t>
  </si>
  <si>
    <t>Módosítás      összege</t>
  </si>
  <si>
    <t>2013. évi  módosított előirányzat</t>
  </si>
  <si>
    <t>2013. évi eredeti előirányzat</t>
  </si>
  <si>
    <t xml:space="preserve">Módosítás összege </t>
  </si>
  <si>
    <t>2013. évi módosított előirányzat</t>
  </si>
  <si>
    <t>2. Közhatalmi bevételek</t>
  </si>
  <si>
    <t xml:space="preserve"> Kapott támogatások</t>
  </si>
  <si>
    <t xml:space="preserve">   1.1 Helyi önkormányzatok általános működésének és ágazati feladatainak támogatása</t>
  </si>
  <si>
    <t xml:space="preserve"> Felhalmozási bevételek</t>
  </si>
  <si>
    <t>FELHALMOZÁSI BEVÉTELEK ÖSSZESEN:</t>
  </si>
  <si>
    <t>2013. évi bevétel eredeti ei.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</si>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</sst>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</numFmts>
  <fonts count="7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i/>
      <sz val="8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name val="Times"/>
      <family val="1"/>
    </font>
    <font>
      <sz val="11"/>
      <name val="Times New Roman"/>
      <family val="1"/>
    </font>
    <font>
      <sz val="11"/>
      <name val="Arial CE"/>
      <family val="2"/>
    </font>
    <font>
      <sz val="10"/>
      <color indexed="10"/>
      <name val="Times New Roman"/>
      <family val="1"/>
    </font>
    <font>
      <sz val="10"/>
      <color indexed="57"/>
      <name val="MS Sans Serif"/>
      <family val="0"/>
    </font>
    <font>
      <sz val="10"/>
      <color indexed="57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0"/>
      <color indexed="53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25" fillId="7" borderId="1" applyNumberFormat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3" fillId="7" borderId="1" applyNumberFormat="0" applyAlignment="0" applyProtection="0"/>
    <xf numFmtId="0" fontId="0" fillId="22" borderId="7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3" fillId="4" borderId="0" applyNumberFormat="0" applyBorder="0" applyAlignment="0" applyProtection="0"/>
    <xf numFmtId="0" fontId="34" fillId="20" borderId="8" applyNumberFormat="0" applyAlignment="0" applyProtection="0"/>
    <xf numFmtId="0" fontId="1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3" fillId="22" borderId="7" applyNumberFormat="0" applyFont="0" applyAlignment="0" applyProtection="0"/>
    <xf numFmtId="0" fontId="56" fillId="20" borderId="8" applyNumberFormat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5">
    <xf numFmtId="0" fontId="0" fillId="0" borderId="0" xfId="0" applyAlignment="1">
      <alignment/>
    </xf>
    <xf numFmtId="0" fontId="12" fillId="4" borderId="10" xfId="116" applyFont="1" applyFill="1" applyBorder="1" applyAlignment="1">
      <alignment vertical="center"/>
      <protection/>
    </xf>
    <xf numFmtId="0" fontId="12" fillId="4" borderId="11" xfId="116" applyFont="1" applyFill="1" applyBorder="1" applyAlignment="1">
      <alignment vertical="center"/>
      <protection/>
    </xf>
    <xf numFmtId="0" fontId="5" fillId="0" borderId="0" xfId="97" applyAlignment="1">
      <alignment vertical="center"/>
      <protection/>
    </xf>
    <xf numFmtId="0" fontId="5" fillId="0" borderId="0" xfId="97">
      <alignment/>
      <protection/>
    </xf>
    <xf numFmtId="0" fontId="9" fillId="4" borderId="11" xfId="116" applyFont="1" applyFill="1" applyBorder="1" applyAlignment="1">
      <alignment vertical="center"/>
      <protection/>
    </xf>
    <xf numFmtId="0" fontId="9" fillId="4" borderId="12" xfId="116" applyFont="1" applyFill="1" applyBorder="1" applyAlignment="1">
      <alignment vertical="center"/>
      <protection/>
    </xf>
    <xf numFmtId="0" fontId="8" fillId="0" borderId="0" xfId="97" applyFont="1">
      <alignment/>
      <protection/>
    </xf>
    <xf numFmtId="0" fontId="9" fillId="4" borderId="13" xfId="116" applyFont="1" applyFill="1" applyBorder="1" applyAlignment="1">
      <alignment horizontal="center" vertical="center" wrapText="1"/>
      <protection/>
    </xf>
    <xf numFmtId="0" fontId="9" fillId="4" borderId="14" xfId="116" applyFont="1" applyFill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/>
      <protection/>
    </xf>
    <xf numFmtId="0" fontId="9" fillId="4" borderId="15" xfId="116" applyFont="1" applyFill="1" applyBorder="1" applyAlignment="1">
      <alignment horizontal="center" vertical="center"/>
      <protection/>
    </xf>
    <xf numFmtId="0" fontId="8" fillId="4" borderId="15" xfId="116" applyFont="1" applyFill="1" applyBorder="1" applyAlignment="1">
      <alignment horizontal="center" vertical="center"/>
      <protection/>
    </xf>
    <xf numFmtId="0" fontId="9" fillId="4" borderId="16" xfId="116" applyFont="1" applyFill="1" applyBorder="1" applyAlignment="1">
      <alignment horizontal="centerContinuous" vertical="center"/>
      <protection/>
    </xf>
    <xf numFmtId="0" fontId="9" fillId="4" borderId="17" xfId="116" applyFont="1" applyFill="1" applyBorder="1" applyAlignment="1">
      <alignment horizontal="centerContinuous" vertical="center"/>
      <protection/>
    </xf>
    <xf numFmtId="0" fontId="9" fillId="4" borderId="18" xfId="116" applyFont="1" applyFill="1" applyBorder="1" applyAlignment="1">
      <alignment horizontal="centerContinuous" vertical="center"/>
      <protection/>
    </xf>
    <xf numFmtId="0" fontId="9" fillId="4" borderId="14" xfId="116" applyFont="1" applyFill="1" applyBorder="1" applyAlignment="1">
      <alignment horizontal="center" vertical="center"/>
      <protection/>
    </xf>
    <xf numFmtId="0" fontId="9" fillId="4" borderId="19" xfId="116" applyFont="1" applyFill="1" applyBorder="1" applyAlignment="1">
      <alignment horizontal="center" vertical="center" wrapText="1"/>
      <protection/>
    </xf>
    <xf numFmtId="0" fontId="9" fillId="4" borderId="20" xfId="116" applyFont="1" applyFill="1" applyBorder="1" applyAlignment="1">
      <alignment horizontal="center" vertical="center" wrapText="1"/>
      <protection/>
    </xf>
    <xf numFmtId="0" fontId="9" fillId="0" borderId="15" xfId="116" applyFont="1" applyBorder="1" applyAlignment="1">
      <alignment vertical="center"/>
      <protection/>
    </xf>
    <xf numFmtId="0" fontId="8" fillId="0" borderId="15" xfId="116" applyFont="1" applyBorder="1" applyAlignment="1">
      <alignment vertical="center"/>
      <protection/>
    </xf>
    <xf numFmtId="3" fontId="8" fillId="0" borderId="15" xfId="116" applyNumberFormat="1" applyFont="1" applyBorder="1" applyAlignment="1">
      <alignment vertical="center"/>
      <protection/>
    </xf>
    <xf numFmtId="0" fontId="8" fillId="0" borderId="15" xfId="116" applyFont="1" applyBorder="1" applyAlignment="1">
      <alignment vertical="center" wrapText="1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5" xfId="122" applyNumberFormat="1" applyFont="1" applyFill="1" applyBorder="1" applyAlignment="1">
      <alignment horizontal="center" vertical="center" wrapText="1"/>
      <protection/>
    </xf>
    <xf numFmtId="3" fontId="13" fillId="0" borderId="21" xfId="122" applyNumberFormat="1" applyFont="1" applyFill="1" applyBorder="1" applyAlignment="1">
      <alignment vertical="center"/>
      <protection/>
    </xf>
    <xf numFmtId="3" fontId="14" fillId="0" borderId="22" xfId="0" applyNumberFormat="1" applyFont="1" applyBorder="1" applyAlignment="1">
      <alignment vertical="center"/>
    </xf>
    <xf numFmtId="3" fontId="13" fillId="0" borderId="15" xfId="122" applyNumberFormat="1" applyFont="1" applyFill="1" applyBorder="1" applyAlignment="1">
      <alignment horizontal="center" vertical="center" wrapText="1"/>
      <protection/>
    </xf>
    <xf numFmtId="3" fontId="14" fillId="0" borderId="15" xfId="122" applyNumberFormat="1" applyFont="1" applyBorder="1" applyAlignment="1">
      <alignment horizontal="center" vertical="center"/>
      <protection/>
    </xf>
    <xf numFmtId="3" fontId="14" fillId="0" borderId="15" xfId="122" applyNumberFormat="1" applyFont="1" applyBorder="1" applyAlignment="1">
      <alignment horizontal="right" vertical="center"/>
      <protection/>
    </xf>
    <xf numFmtId="3" fontId="14" fillId="0" borderId="15" xfId="122" applyNumberFormat="1" applyFont="1" applyBorder="1" applyAlignment="1">
      <alignment vertical="center"/>
      <protection/>
    </xf>
    <xf numFmtId="3" fontId="14" fillId="0" borderId="15" xfId="122" applyNumberFormat="1" applyFont="1" applyFill="1" applyBorder="1" applyAlignment="1">
      <alignment horizontal="center" vertical="center"/>
      <protection/>
    </xf>
    <xf numFmtId="3" fontId="14" fillId="0" borderId="15" xfId="122" applyNumberFormat="1" applyFont="1" applyFill="1" applyBorder="1" applyAlignment="1">
      <alignment vertical="center"/>
      <protection/>
    </xf>
    <xf numFmtId="3" fontId="13" fillId="4" borderId="15" xfId="122" applyNumberFormat="1" applyFont="1" applyFill="1" applyBorder="1" applyAlignment="1">
      <alignment horizontal="right" vertical="center"/>
      <protection/>
    </xf>
    <xf numFmtId="3" fontId="13" fillId="0" borderId="15" xfId="122" applyNumberFormat="1" applyFont="1" applyFill="1" applyBorder="1" applyAlignment="1">
      <alignment horizontal="center" vertical="center"/>
      <protection/>
    </xf>
    <xf numFmtId="3" fontId="14" fillId="0" borderId="23" xfId="122" applyNumberFormat="1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23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vertical="center"/>
    </xf>
    <xf numFmtId="3" fontId="13" fillId="4" borderId="24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5" fillId="0" borderId="0" xfId="98">
      <alignment/>
      <protection/>
    </xf>
    <xf numFmtId="0" fontId="7" fillId="0" borderId="0" xfId="120" applyFont="1" applyAlignment="1">
      <alignment vertical="center"/>
      <protection/>
    </xf>
    <xf numFmtId="0" fontId="6" fillId="0" borderId="0" xfId="120" applyFont="1" applyAlignment="1">
      <alignment vertical="center"/>
      <protection/>
    </xf>
    <xf numFmtId="0" fontId="7" fillId="24" borderId="0" xfId="120" applyFont="1" applyFill="1" applyBorder="1" applyAlignment="1">
      <alignment vertical="center"/>
      <protection/>
    </xf>
    <xf numFmtId="3" fontId="7" fillId="24" borderId="0" xfId="120" applyNumberFormat="1" applyFont="1" applyFill="1" applyBorder="1" applyAlignment="1">
      <alignment vertical="center"/>
      <protection/>
    </xf>
    <xf numFmtId="0" fontId="6" fillId="24" borderId="0" xfId="120" applyFont="1" applyFill="1" applyBorder="1" applyAlignment="1">
      <alignment vertical="center"/>
      <protection/>
    </xf>
    <xf numFmtId="3" fontId="6" fillId="24" borderId="0" xfId="120" applyNumberFormat="1" applyFont="1" applyFill="1" applyBorder="1" applyAlignment="1">
      <alignment vertical="center"/>
      <protection/>
    </xf>
    <xf numFmtId="0" fontId="6" fillId="0" borderId="0" xfId="120" applyFont="1" applyAlignment="1">
      <alignment horizontal="left" vertical="center"/>
      <protection/>
    </xf>
    <xf numFmtId="0" fontId="6" fillId="0" borderId="0" xfId="120" applyFont="1" applyAlignment="1">
      <alignment horizontal="center" vertical="center"/>
      <protection/>
    </xf>
    <xf numFmtId="0" fontId="4" fillId="0" borderId="0" xfId="113" applyAlignment="1">
      <alignment horizontal="center" vertical="center" wrapText="1"/>
      <protection/>
    </xf>
    <xf numFmtId="0" fontId="4" fillId="0" borderId="0" xfId="113">
      <alignment/>
      <protection/>
    </xf>
    <xf numFmtId="0" fontId="4" fillId="0" borderId="0" xfId="113" applyAlignment="1">
      <alignment vertical="center"/>
      <protection/>
    </xf>
    <xf numFmtId="0" fontId="4" fillId="0" borderId="0" xfId="113" applyAlignment="1">
      <alignment horizontal="center" vertical="center"/>
      <protection/>
    </xf>
    <xf numFmtId="0" fontId="4" fillId="0" borderId="0" xfId="113" applyAlignment="1">
      <alignment horizontal="center"/>
      <protection/>
    </xf>
    <xf numFmtId="0" fontId="14" fillId="4" borderId="11" xfId="93" applyFont="1" applyFill="1" applyBorder="1" applyAlignment="1">
      <alignment vertical="center"/>
      <protection/>
    </xf>
    <xf numFmtId="0" fontId="13" fillId="4" borderId="19" xfId="120" applyFont="1" applyFill="1" applyBorder="1" applyAlignment="1">
      <alignment horizontal="center" vertical="center" wrapText="1"/>
      <protection/>
    </xf>
    <xf numFmtId="0" fontId="14" fillId="0" borderId="15" xfId="93" applyFont="1" applyBorder="1" applyAlignment="1">
      <alignment vertical="center"/>
      <protection/>
    </xf>
    <xf numFmtId="0" fontId="14" fillId="0" borderId="15" xfId="93" applyFont="1" applyBorder="1" applyAlignment="1">
      <alignment horizontal="center" vertical="center"/>
      <protection/>
    </xf>
    <xf numFmtId="3" fontId="14" fillId="0" borderId="15" xfId="93" applyNumberFormat="1" applyFont="1" applyBorder="1" applyAlignment="1">
      <alignment vertical="center"/>
      <protection/>
    </xf>
    <xf numFmtId="0" fontId="13" fillId="4" borderId="15" xfId="93" applyFont="1" applyFill="1" applyBorder="1" applyAlignment="1">
      <alignment horizontal="center" vertical="center"/>
      <protection/>
    </xf>
    <xf numFmtId="0" fontId="13" fillId="4" borderId="15" xfId="93" applyFont="1" applyFill="1" applyBorder="1" applyAlignment="1">
      <alignment vertical="center"/>
      <protection/>
    </xf>
    <xf numFmtId="0" fontId="8" fillId="0" borderId="15" xfId="93" applyFont="1" applyBorder="1" applyAlignment="1">
      <alignment horizontal="center" vertical="center"/>
      <protection/>
    </xf>
    <xf numFmtId="0" fontId="13" fillId="4" borderId="10" xfId="120" applyFont="1" applyFill="1" applyBorder="1" applyAlignment="1">
      <alignment horizontal="center" vertical="center"/>
      <protection/>
    </xf>
    <xf numFmtId="0" fontId="13" fillId="4" borderId="11" xfId="120" applyFont="1" applyFill="1" applyBorder="1" applyAlignment="1">
      <alignment horizontal="center" vertical="center"/>
      <protection/>
    </xf>
    <xf numFmtId="0" fontId="13" fillId="4" borderId="13" xfId="120" applyFont="1" applyFill="1" applyBorder="1" applyAlignment="1">
      <alignment horizontal="center" vertical="top" wrapText="1"/>
      <protection/>
    </xf>
    <xf numFmtId="0" fontId="13" fillId="4" borderId="14" xfId="120" applyFont="1" applyFill="1" applyBorder="1" applyAlignment="1">
      <alignment horizontal="center" vertical="top" wrapText="1"/>
      <protection/>
    </xf>
    <xf numFmtId="0" fontId="14" fillId="0" borderId="15" xfId="120" applyFont="1" applyBorder="1" applyAlignment="1">
      <alignment horizontal="center" vertical="center"/>
      <protection/>
    </xf>
    <xf numFmtId="3" fontId="14" fillId="0" borderId="15" xfId="120" applyNumberFormat="1" applyFont="1" applyBorder="1" applyAlignment="1">
      <alignment vertical="center"/>
      <protection/>
    </xf>
    <xf numFmtId="0" fontId="14" fillId="4" borderId="15" xfId="120" applyFont="1" applyFill="1" applyBorder="1" applyAlignment="1">
      <alignment horizontal="center" vertical="center"/>
      <protection/>
    </xf>
    <xf numFmtId="0" fontId="13" fillId="4" borderId="15" xfId="120" applyFont="1" applyFill="1" applyBorder="1" applyAlignment="1">
      <alignment vertical="center"/>
      <protection/>
    </xf>
    <xf numFmtId="3" fontId="13" fillId="4" borderId="15" xfId="120" applyNumberFormat="1" applyFont="1" applyFill="1" applyBorder="1" applyAlignment="1">
      <alignment vertical="center"/>
      <protection/>
    </xf>
    <xf numFmtId="0" fontId="14" fillId="24" borderId="15" xfId="120" applyFont="1" applyFill="1" applyBorder="1" applyAlignment="1">
      <alignment horizontal="center" vertical="center"/>
      <protection/>
    </xf>
    <xf numFmtId="3" fontId="14" fillId="24" borderId="15" xfId="120" applyNumberFormat="1" applyFont="1" applyFill="1" applyBorder="1" applyAlignment="1">
      <alignment vertical="center"/>
      <protection/>
    </xf>
    <xf numFmtId="0" fontId="8" fillId="24" borderId="15" xfId="120" applyFont="1" applyFill="1" applyBorder="1" applyAlignment="1">
      <alignment horizontal="center" vertical="center"/>
      <protection/>
    </xf>
    <xf numFmtId="0" fontId="8" fillId="4" borderId="15" xfId="120" applyFont="1" applyFill="1" applyBorder="1" applyAlignment="1">
      <alignment horizontal="center" vertical="center"/>
      <protection/>
    </xf>
    <xf numFmtId="0" fontId="14" fillId="0" borderId="15" xfId="120" applyFont="1" applyFill="1" applyBorder="1" applyAlignment="1">
      <alignment horizontal="center" vertical="center"/>
      <protection/>
    </xf>
    <xf numFmtId="3" fontId="13" fillId="0" borderId="15" xfId="120" applyNumberFormat="1" applyFont="1" applyFill="1" applyBorder="1" applyAlignment="1">
      <alignment vertical="center"/>
      <protection/>
    </xf>
    <xf numFmtId="3" fontId="14" fillId="0" borderId="15" xfId="120" applyNumberFormat="1" applyFont="1" applyFill="1" applyBorder="1" applyAlignment="1">
      <alignment vertical="center"/>
      <protection/>
    </xf>
    <xf numFmtId="0" fontId="8" fillId="0" borderId="15" xfId="113" applyFont="1" applyBorder="1" applyAlignment="1">
      <alignment vertical="center"/>
      <protection/>
    </xf>
    <xf numFmtId="3" fontId="8" fillId="0" borderId="15" xfId="113" applyNumberFormat="1" applyFont="1" applyBorder="1" applyAlignment="1">
      <alignment horizontal="right" vertical="center"/>
      <protection/>
    </xf>
    <xf numFmtId="0" fontId="8" fillId="4" borderId="15" xfId="113" applyFont="1" applyFill="1" applyBorder="1" applyAlignment="1">
      <alignment horizontal="center" vertical="center"/>
      <protection/>
    </xf>
    <xf numFmtId="0" fontId="9" fillId="4" borderId="15" xfId="113" applyFont="1" applyFill="1" applyBorder="1" applyAlignment="1">
      <alignment vertical="center"/>
      <protection/>
    </xf>
    <xf numFmtId="3" fontId="9" fillId="4" borderId="15" xfId="113" applyNumberFormat="1" applyFont="1" applyFill="1" applyBorder="1" applyAlignment="1">
      <alignment horizontal="right" vertical="center"/>
      <protection/>
    </xf>
    <xf numFmtId="0" fontId="9" fillId="4" borderId="25" xfId="113" applyFont="1" applyFill="1" applyBorder="1" applyAlignment="1">
      <alignment vertical="center"/>
      <protection/>
    </xf>
    <xf numFmtId="3" fontId="9" fillId="4" borderId="25" xfId="113" applyNumberFormat="1" applyFont="1" applyFill="1" applyBorder="1" applyAlignment="1">
      <alignment horizontal="right" vertical="center"/>
      <protection/>
    </xf>
    <xf numFmtId="0" fontId="8" fillId="0" borderId="0" xfId="113" applyFont="1" applyAlignment="1">
      <alignment vertical="center"/>
      <protection/>
    </xf>
    <xf numFmtId="0" fontId="8" fillId="0" borderId="0" xfId="113" applyFont="1" applyBorder="1" applyAlignment="1">
      <alignment vertical="center"/>
      <protection/>
    </xf>
    <xf numFmtId="3" fontId="8" fillId="0" borderId="0" xfId="113" applyNumberFormat="1" applyFont="1" applyBorder="1" applyAlignment="1">
      <alignment horizontal="right" vertical="center"/>
      <protection/>
    </xf>
    <xf numFmtId="3" fontId="8" fillId="0" borderId="0" xfId="113" applyNumberFormat="1" applyFont="1" applyAlignment="1">
      <alignment horizontal="right" vertical="center"/>
      <protection/>
    </xf>
    <xf numFmtId="0" fontId="8" fillId="4" borderId="26" xfId="113" applyFont="1" applyFill="1" applyBorder="1" applyAlignment="1">
      <alignment horizontal="center" vertical="center"/>
      <protection/>
    </xf>
    <xf numFmtId="0" fontId="8" fillId="4" borderId="25" xfId="113" applyFont="1" applyFill="1" applyBorder="1" applyAlignment="1">
      <alignment horizontal="center" vertical="center"/>
      <protection/>
    </xf>
    <xf numFmtId="0" fontId="8" fillId="0" borderId="0" xfId="113" applyFont="1" applyAlignment="1">
      <alignment horizontal="center" vertical="center"/>
      <protection/>
    </xf>
    <xf numFmtId="0" fontId="8" fillId="4" borderId="15" xfId="98" applyFont="1" applyFill="1" applyBorder="1">
      <alignment/>
      <protection/>
    </xf>
    <xf numFmtId="0" fontId="9" fillId="4" borderId="15" xfId="98" applyFont="1" applyFill="1" applyBorder="1">
      <alignment/>
      <protection/>
    </xf>
    <xf numFmtId="0" fontId="8" fillId="0" borderId="0" xfId="98" applyFont="1">
      <alignment/>
      <protection/>
    </xf>
    <xf numFmtId="0" fontId="9" fillId="0" borderId="0" xfId="98" applyFont="1">
      <alignment/>
      <protection/>
    </xf>
    <xf numFmtId="3" fontId="8" fillId="25" borderId="15" xfId="116" applyNumberFormat="1" applyFont="1" applyFill="1" applyBorder="1" applyAlignment="1">
      <alignment vertical="center"/>
      <protection/>
    </xf>
    <xf numFmtId="0" fontId="13" fillId="4" borderId="15" xfId="120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3" fontId="20" fillId="0" borderId="0" xfId="122" applyNumberFormat="1" applyFont="1" applyFill="1" applyAlignment="1">
      <alignment vertical="center"/>
      <protection/>
    </xf>
    <xf numFmtId="3" fontId="6" fillId="0" borderId="0" xfId="122" applyNumberFormat="1" applyFont="1" applyAlignment="1">
      <alignment vertical="center"/>
      <protection/>
    </xf>
    <xf numFmtId="3" fontId="6" fillId="0" borderId="0" xfId="122" applyNumberFormat="1" applyFont="1" applyAlignment="1">
      <alignment horizontal="right" vertical="center"/>
      <protection/>
    </xf>
    <xf numFmtId="3" fontId="6" fillId="0" borderId="0" xfId="12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3" xfId="122" applyNumberFormat="1" applyFont="1" applyFill="1" applyBorder="1" applyAlignment="1">
      <alignment horizontal="center" vertical="top" wrapText="1"/>
      <protection/>
    </xf>
    <xf numFmtId="3" fontId="13" fillId="4" borderId="14" xfId="122" applyNumberFormat="1" applyFont="1" applyFill="1" applyBorder="1" applyAlignment="1">
      <alignment horizontal="center" vertical="top" wrapText="1"/>
      <protection/>
    </xf>
    <xf numFmtId="3" fontId="14" fillId="0" borderId="15" xfId="122" applyNumberFormat="1" applyFont="1" applyBorder="1" applyAlignment="1">
      <alignment horizontal="left" vertical="center" wrapText="1"/>
      <protection/>
    </xf>
    <xf numFmtId="3" fontId="14" fillId="0" borderId="15" xfId="122" applyNumberFormat="1" applyFont="1" applyBorder="1" applyAlignment="1">
      <alignment horizontal="left" vertical="center"/>
      <protection/>
    </xf>
    <xf numFmtId="3" fontId="14" fillId="4" borderId="15" xfId="122" applyNumberFormat="1" applyFont="1" applyFill="1" applyBorder="1" applyAlignment="1">
      <alignment horizontal="center" vertical="center"/>
      <protection/>
    </xf>
    <xf numFmtId="0" fontId="8" fillId="0" borderId="15" xfId="116" applyFont="1" applyFill="1" applyBorder="1" applyAlignment="1">
      <alignment vertical="center"/>
      <protection/>
    </xf>
    <xf numFmtId="0" fontId="6" fillId="0" borderId="0" xfId="120" applyFont="1" applyFill="1" applyAlignment="1">
      <alignment vertical="center"/>
      <protection/>
    </xf>
    <xf numFmtId="0" fontId="13" fillId="0" borderId="15" xfId="120" applyFont="1" applyBorder="1" applyAlignment="1">
      <alignment horizontal="center" vertical="center"/>
      <protection/>
    </xf>
    <xf numFmtId="16" fontId="14" fillId="0" borderId="15" xfId="120" applyNumberFormat="1" applyFont="1" applyBorder="1" applyAlignment="1">
      <alignment horizontal="center" vertical="center"/>
      <protection/>
    </xf>
    <xf numFmtId="16" fontId="13" fillId="0" borderId="15" xfId="120" applyNumberFormat="1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24" borderId="15" xfId="98" applyFont="1" applyFill="1" applyBorder="1" applyAlignment="1">
      <alignment horizontal="center" vertical="top" wrapText="1"/>
      <protection/>
    </xf>
    <xf numFmtId="0" fontId="9" fillId="0" borderId="15" xfId="98" applyFont="1" applyFill="1" applyBorder="1" applyAlignment="1">
      <alignment horizontal="center" vertical="center"/>
      <protection/>
    </xf>
    <xf numFmtId="0" fontId="8" fillId="0" borderId="15" xfId="98" applyFont="1" applyFill="1" applyBorder="1" applyAlignment="1">
      <alignment horizontal="center" vertical="center"/>
      <protection/>
    </xf>
    <xf numFmtId="0" fontId="8" fillId="24" borderId="15" xfId="98" applyFont="1" applyFill="1" applyBorder="1" applyAlignment="1">
      <alignment horizontal="center" vertical="center"/>
      <protection/>
    </xf>
    <xf numFmtId="0" fontId="8" fillId="0" borderId="15" xfId="98" applyFont="1" applyBorder="1" applyAlignment="1">
      <alignment horizontal="center" vertical="center"/>
      <protection/>
    </xf>
    <xf numFmtId="0" fontId="8" fillId="24" borderId="15" xfId="98" applyFont="1" applyFill="1" applyBorder="1" applyAlignment="1">
      <alignment horizontal="center" vertical="top" wrapText="1"/>
      <protection/>
    </xf>
    <xf numFmtId="16" fontId="8" fillId="24" borderId="15" xfId="98" applyNumberFormat="1" applyFont="1" applyFill="1" applyBorder="1" applyAlignment="1">
      <alignment horizontal="center" vertical="top" wrapText="1"/>
      <protection/>
    </xf>
    <xf numFmtId="3" fontId="18" fillId="4" borderId="10" xfId="0" applyNumberFormat="1" applyFont="1" applyFill="1" applyBorder="1" applyAlignment="1">
      <alignment horizontal="center" vertical="center"/>
    </xf>
    <xf numFmtId="3" fontId="18" fillId="4" borderId="11" xfId="0" applyNumberFormat="1" applyFont="1" applyFill="1" applyBorder="1" applyAlignment="1">
      <alignment horizontal="center" vertical="center"/>
    </xf>
    <xf numFmtId="3" fontId="18" fillId="4" borderId="27" xfId="0" applyNumberFormat="1" applyFont="1" applyFill="1" applyBorder="1" applyAlignment="1">
      <alignment vertical="center"/>
    </xf>
    <xf numFmtId="3" fontId="18" fillId="4" borderId="28" xfId="0" applyNumberFormat="1" applyFont="1" applyFill="1" applyBorder="1" applyAlignment="1">
      <alignment vertical="center"/>
    </xf>
    <xf numFmtId="3" fontId="18" fillId="4" borderId="11" xfId="0" applyNumberFormat="1" applyFont="1" applyFill="1" applyBorder="1" applyAlignment="1">
      <alignment vertical="center"/>
    </xf>
    <xf numFmtId="3" fontId="18" fillId="4" borderId="13" xfId="122" applyNumberFormat="1" applyFont="1" applyFill="1" applyBorder="1" applyAlignment="1">
      <alignment horizontal="center" vertical="top" wrapText="1"/>
      <protection/>
    </xf>
    <xf numFmtId="3" fontId="18" fillId="4" borderId="14" xfId="122" applyNumberFormat="1" applyFont="1" applyFill="1" applyBorder="1" applyAlignment="1">
      <alignment horizontal="center" vertical="top" wrapText="1"/>
      <protection/>
    </xf>
    <xf numFmtId="3" fontId="18" fillId="4" borderId="29" xfId="122" applyNumberFormat="1" applyFont="1" applyFill="1" applyBorder="1" applyAlignment="1">
      <alignment horizontal="centerContinuous" vertical="top"/>
      <protection/>
    </xf>
    <xf numFmtId="3" fontId="18" fillId="4" borderId="30" xfId="122" applyNumberFormat="1" applyFont="1" applyFill="1" applyBorder="1" applyAlignment="1">
      <alignment horizontal="centerContinuous" vertical="top" wrapText="1"/>
      <protection/>
    </xf>
    <xf numFmtId="3" fontId="18" fillId="4" borderId="29" xfId="122" applyNumberFormat="1" applyFont="1" applyFill="1" applyBorder="1" applyAlignment="1">
      <alignment horizontal="center" vertical="top"/>
      <protection/>
    </xf>
    <xf numFmtId="3" fontId="6" fillId="0" borderId="31" xfId="0" applyNumberFormat="1" applyFont="1" applyBorder="1" applyAlignment="1">
      <alignment vertical="center"/>
    </xf>
    <xf numFmtId="3" fontId="9" fillId="4" borderId="15" xfId="113" applyNumberFormat="1" applyFont="1" applyFill="1" applyBorder="1" applyAlignment="1">
      <alignment vertical="center"/>
      <protection/>
    </xf>
    <xf numFmtId="0" fontId="14" fillId="0" borderId="23" xfId="120" applyFont="1" applyBorder="1" applyAlignment="1">
      <alignment vertical="center"/>
      <protection/>
    </xf>
    <xf numFmtId="0" fontId="14" fillId="0" borderId="23" xfId="120" applyFont="1" applyFill="1" applyBorder="1" applyAlignment="1">
      <alignment vertical="center"/>
      <protection/>
    </xf>
    <xf numFmtId="0" fontId="13" fillId="24" borderId="23" xfId="120" applyFont="1" applyFill="1" applyBorder="1" applyAlignment="1">
      <alignment vertical="center"/>
      <protection/>
    </xf>
    <xf numFmtId="0" fontId="8" fillId="0" borderId="23" xfId="98" applyFont="1" applyBorder="1" applyAlignment="1">
      <alignment vertical="center"/>
      <protection/>
    </xf>
    <xf numFmtId="0" fontId="9" fillId="0" borderId="23" xfId="98" applyFont="1" applyFill="1" applyBorder="1" applyAlignment="1">
      <alignment horizontal="left" vertical="center"/>
      <protection/>
    </xf>
    <xf numFmtId="0" fontId="8" fillId="0" borderId="23" xfId="98" applyFont="1" applyFill="1" applyBorder="1" applyAlignment="1">
      <alignment vertical="center"/>
      <protection/>
    </xf>
    <xf numFmtId="0" fontId="8" fillId="24" borderId="24" xfId="98" applyFont="1" applyFill="1" applyBorder="1" applyAlignment="1">
      <alignment vertical="center"/>
      <protection/>
    </xf>
    <xf numFmtId="0" fontId="9" fillId="0" borderId="23" xfId="98" applyFont="1" applyBorder="1" applyAlignment="1">
      <alignment vertical="center"/>
      <protection/>
    </xf>
    <xf numFmtId="0" fontId="8" fillId="24" borderId="23" xfId="98" applyFont="1" applyFill="1" applyBorder="1" applyAlignment="1">
      <alignment vertical="top"/>
      <protection/>
    </xf>
    <xf numFmtId="0" fontId="8" fillId="24" borderId="24" xfId="98" applyFont="1" applyFill="1" applyBorder="1" applyAlignment="1">
      <alignment vertical="top"/>
      <protection/>
    </xf>
    <xf numFmtId="0" fontId="9" fillId="24" borderId="23" xfId="98" applyFont="1" applyFill="1" applyBorder="1" applyAlignment="1">
      <alignment vertical="top"/>
      <protection/>
    </xf>
    <xf numFmtId="0" fontId="9" fillId="24" borderId="24" xfId="98" applyFont="1" applyFill="1" applyBorder="1" applyAlignment="1">
      <alignment vertical="top"/>
      <protection/>
    </xf>
    <xf numFmtId="0" fontId="8" fillId="24" borderId="23" xfId="98" applyFont="1" applyFill="1" applyBorder="1" applyAlignment="1">
      <alignment vertical="top" wrapText="1"/>
      <protection/>
    </xf>
    <xf numFmtId="0" fontId="8" fillId="0" borderId="23" xfId="98" applyFont="1" applyBorder="1" applyAlignment="1">
      <alignment vertical="center" wrapText="1"/>
      <protection/>
    </xf>
    <xf numFmtId="0" fontId="13" fillId="4" borderId="23" xfId="98" applyFont="1" applyFill="1" applyBorder="1" applyAlignment="1">
      <alignment vertical="center"/>
      <protection/>
    </xf>
    <xf numFmtId="0" fontId="13" fillId="4" borderId="27" xfId="120" applyFont="1" applyFill="1" applyBorder="1" applyAlignment="1">
      <alignment horizontal="center" vertical="center"/>
      <protection/>
    </xf>
    <xf numFmtId="0" fontId="13" fillId="4" borderId="23" xfId="120" applyFont="1" applyFill="1" applyBorder="1" applyAlignment="1">
      <alignment vertical="center"/>
      <protection/>
    </xf>
    <xf numFmtId="0" fontId="9" fillId="4" borderId="23" xfId="120" applyFont="1" applyFill="1" applyBorder="1" applyAlignment="1">
      <alignment vertical="center"/>
      <protection/>
    </xf>
    <xf numFmtId="0" fontId="9" fillId="0" borderId="23" xfId="120" applyFont="1" applyFill="1" applyBorder="1" applyAlignment="1">
      <alignment vertical="center"/>
      <protection/>
    </xf>
    <xf numFmtId="0" fontId="13" fillId="0" borderId="24" xfId="120" applyFont="1" applyFill="1" applyBorder="1" applyAlignment="1">
      <alignment vertical="center"/>
      <protection/>
    </xf>
    <xf numFmtId="0" fontId="9" fillId="0" borderId="24" xfId="120" applyFont="1" applyFill="1" applyBorder="1" applyAlignment="1">
      <alignment vertical="center"/>
      <protection/>
    </xf>
    <xf numFmtId="0" fontId="9" fillId="0" borderId="15" xfId="116" applyFont="1" applyFill="1" applyBorder="1" applyAlignment="1">
      <alignment horizontal="center" vertical="center"/>
      <protection/>
    </xf>
    <xf numFmtId="0" fontId="14" fillId="0" borderId="23" xfId="120" applyFont="1" applyFill="1" applyBorder="1" applyAlignment="1">
      <alignment vertical="center" wrapText="1"/>
      <protection/>
    </xf>
    <xf numFmtId="3" fontId="8" fillId="0" borderId="15" xfId="98" applyNumberFormat="1" applyFont="1" applyBorder="1" applyAlignment="1">
      <alignment vertical="center"/>
      <protection/>
    </xf>
    <xf numFmtId="3" fontId="8" fillId="0" borderId="15" xfId="98" applyNumberFormat="1" applyFont="1" applyFill="1" applyBorder="1" applyAlignment="1">
      <alignment horizontal="right" vertical="center"/>
      <protection/>
    </xf>
    <xf numFmtId="3" fontId="8" fillId="0" borderId="15" xfId="98" applyNumberFormat="1" applyFont="1" applyFill="1" applyBorder="1" applyAlignment="1">
      <alignment vertical="center"/>
      <protection/>
    </xf>
    <xf numFmtId="3" fontId="8" fillId="24" borderId="15" xfId="98" applyNumberFormat="1" applyFont="1" applyFill="1" applyBorder="1" applyAlignment="1">
      <alignment vertical="center"/>
      <protection/>
    </xf>
    <xf numFmtId="3" fontId="8" fillId="24" borderId="15" xfId="98" applyNumberFormat="1" applyFont="1" applyFill="1" applyBorder="1" applyAlignment="1">
      <alignment horizontal="right" vertical="center" wrapText="1"/>
      <protection/>
    </xf>
    <xf numFmtId="3" fontId="9" fillId="0" borderId="15" xfId="98" applyNumberFormat="1" applyFont="1" applyFill="1" applyBorder="1" applyAlignment="1">
      <alignment vertical="center"/>
      <protection/>
    </xf>
    <xf numFmtId="0" fontId="8" fillId="24" borderId="24" xfId="98" applyFont="1" applyFill="1" applyBorder="1" applyAlignment="1">
      <alignment horizontal="center" vertical="top"/>
      <protection/>
    </xf>
    <xf numFmtId="3" fontId="13" fillId="4" borderId="26" xfId="0" applyNumberFormat="1" applyFont="1" applyFill="1" applyBorder="1" applyAlignment="1">
      <alignment horizontal="center" vertical="center" wrapText="1"/>
    </xf>
    <xf numFmtId="3" fontId="13" fillId="4" borderId="32" xfId="0" applyNumberFormat="1" applyFont="1" applyFill="1" applyBorder="1" applyAlignment="1">
      <alignment horizontal="center" vertical="center" wrapText="1"/>
    </xf>
    <xf numFmtId="3" fontId="13" fillId="4" borderId="3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5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5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/>
    </xf>
    <xf numFmtId="3" fontId="14" fillId="0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 wrapText="1"/>
    </xf>
    <xf numFmtId="3" fontId="13" fillId="4" borderId="34" xfId="0" applyNumberFormat="1" applyFont="1" applyFill="1" applyBorder="1" applyAlignment="1">
      <alignment horizontal="left" vertical="center" wrapText="1"/>
    </xf>
    <xf numFmtId="3" fontId="13" fillId="4" borderId="35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26" xfId="0" applyNumberFormat="1" applyFont="1" applyFill="1" applyBorder="1" applyAlignment="1">
      <alignment horizontal="center" vertical="center" wrapText="1"/>
    </xf>
    <xf numFmtId="3" fontId="9" fillId="4" borderId="25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3" fillId="4" borderId="34" xfId="93" applyFont="1" applyFill="1" applyBorder="1" applyAlignment="1">
      <alignment horizontal="center" vertical="top" wrapText="1"/>
      <protection/>
    </xf>
    <xf numFmtId="0" fontId="14" fillId="0" borderId="35" xfId="93" applyFont="1" applyBorder="1" applyAlignment="1">
      <alignment vertical="center"/>
      <protection/>
    </xf>
    <xf numFmtId="3" fontId="13" fillId="4" borderId="15" xfId="93" applyNumberFormat="1" applyFont="1" applyFill="1" applyBorder="1" applyAlignment="1">
      <alignment vertical="center"/>
      <protection/>
    </xf>
    <xf numFmtId="3" fontId="13" fillId="4" borderId="15" xfId="122" applyNumberFormat="1" applyFont="1" applyFill="1" applyBorder="1" applyAlignment="1">
      <alignment vertical="center"/>
      <protection/>
    </xf>
    <xf numFmtId="0" fontId="9" fillId="0" borderId="24" xfId="98" applyFont="1" applyFill="1" applyBorder="1" applyAlignment="1">
      <alignment horizontal="left" vertical="center"/>
      <protection/>
    </xf>
    <xf numFmtId="0" fontId="8" fillId="0" borderId="23" xfId="98" applyFont="1" applyFill="1" applyBorder="1" applyAlignment="1">
      <alignment vertical="center" wrapText="1"/>
      <protection/>
    </xf>
    <xf numFmtId="0" fontId="8" fillId="0" borderId="24" xfId="98" applyFont="1" applyFill="1" applyBorder="1" applyAlignment="1">
      <alignment vertical="center"/>
      <protection/>
    </xf>
    <xf numFmtId="0" fontId="9" fillId="0" borderId="24" xfId="98" applyFont="1" applyBorder="1" applyAlignment="1">
      <alignment vertical="center"/>
      <protection/>
    </xf>
    <xf numFmtId="0" fontId="8" fillId="0" borderId="23" xfId="98" applyFont="1" applyFill="1" applyBorder="1" applyAlignment="1">
      <alignment vertical="top" wrapText="1"/>
      <protection/>
    </xf>
    <xf numFmtId="0" fontId="8" fillId="0" borderId="23" xfId="98" applyFont="1" applyFill="1" applyBorder="1" applyAlignment="1">
      <alignment vertical="top"/>
      <protection/>
    </xf>
    <xf numFmtId="0" fontId="14" fillId="0" borderId="15" xfId="120" applyFont="1" applyFill="1" applyBorder="1" applyAlignment="1">
      <alignment horizontal="center" vertical="center" wrapText="1"/>
      <protection/>
    </xf>
    <xf numFmtId="3" fontId="14" fillId="0" borderId="36" xfId="0" applyNumberFormat="1" applyFont="1" applyBorder="1" applyAlignment="1">
      <alignment vertical="center" wrapText="1"/>
    </xf>
    <xf numFmtId="3" fontId="14" fillId="0" borderId="36" xfId="0" applyNumberFormat="1" applyFont="1" applyBorder="1" applyAlignment="1">
      <alignment vertical="center"/>
    </xf>
    <xf numFmtId="0" fontId="13" fillId="0" borderId="15" xfId="120" applyFont="1" applyFill="1" applyBorder="1" applyAlignment="1">
      <alignment horizontal="center" vertical="center" wrapText="1"/>
      <protection/>
    </xf>
    <xf numFmtId="0" fontId="9" fillId="24" borderId="24" xfId="98" applyFont="1" applyFill="1" applyBorder="1" applyAlignment="1">
      <alignment vertical="center"/>
      <protection/>
    </xf>
    <xf numFmtId="0" fontId="9" fillId="0" borderId="24" xfId="98" applyFont="1" applyFill="1" applyBorder="1" applyAlignment="1">
      <alignment vertical="center"/>
      <protection/>
    </xf>
    <xf numFmtId="0" fontId="14" fillId="0" borderId="24" xfId="0" applyFont="1" applyBorder="1" applyAlignment="1">
      <alignment vertical="center"/>
    </xf>
    <xf numFmtId="0" fontId="8" fillId="0" borderId="15" xfId="116" applyFont="1" applyFill="1" applyBorder="1" applyAlignment="1">
      <alignment horizontal="center" vertical="center"/>
      <protection/>
    </xf>
    <xf numFmtId="0" fontId="13" fillId="0" borderId="15" xfId="120" applyFont="1" applyFill="1" applyBorder="1" applyAlignment="1">
      <alignment horizontal="center" vertical="center"/>
      <protection/>
    </xf>
    <xf numFmtId="0" fontId="8" fillId="0" borderId="23" xfId="120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left" vertical="center" wrapText="1"/>
    </xf>
    <xf numFmtId="0" fontId="8" fillId="0" borderId="23" xfId="120" applyFont="1" applyBorder="1" applyAlignment="1">
      <alignment vertical="center"/>
      <protection/>
    </xf>
    <xf numFmtId="0" fontId="8" fillId="24" borderId="23" xfId="98" applyFont="1" applyFill="1" applyBorder="1" applyAlignment="1">
      <alignment horizontal="left" vertical="top" wrapText="1"/>
      <protection/>
    </xf>
    <xf numFmtId="3" fontId="8" fillId="0" borderId="15" xfId="98" applyNumberFormat="1" applyFont="1" applyFill="1" applyBorder="1" applyAlignment="1">
      <alignment horizontal="right" vertical="center" wrapText="1"/>
      <protection/>
    </xf>
    <xf numFmtId="0" fontId="14" fillId="0" borderId="23" xfId="120" applyFont="1" applyFill="1" applyBorder="1" applyAlignment="1">
      <alignment horizontal="left" vertical="center"/>
      <protection/>
    </xf>
    <xf numFmtId="0" fontId="9" fillId="0" borderId="23" xfId="120" applyFont="1" applyBorder="1" applyAlignment="1">
      <alignment vertical="center"/>
      <protection/>
    </xf>
    <xf numFmtId="0" fontId="8" fillId="0" borderId="23" xfId="120" applyFont="1" applyFill="1" applyBorder="1" applyAlignment="1">
      <alignment vertical="center"/>
      <protection/>
    </xf>
    <xf numFmtId="3" fontId="13" fillId="0" borderId="24" xfId="0" applyNumberFormat="1" applyFont="1" applyBorder="1" applyAlignment="1">
      <alignment vertical="center" wrapText="1"/>
    </xf>
    <xf numFmtId="0" fontId="8" fillId="0" borderId="23" xfId="98" applyFont="1" applyFill="1" applyBorder="1" applyAlignment="1">
      <alignment horizontal="left" vertical="center" wrapText="1"/>
      <protection/>
    </xf>
    <xf numFmtId="0" fontId="13" fillId="4" borderId="15" xfId="93" applyFont="1" applyFill="1" applyBorder="1" applyAlignment="1">
      <alignment vertical="center" wrapText="1"/>
      <protection/>
    </xf>
    <xf numFmtId="0" fontId="8" fillId="0" borderId="15" xfId="113" applyFont="1" applyFill="1" applyBorder="1" applyAlignment="1">
      <alignment vertical="center"/>
      <protection/>
    </xf>
    <xf numFmtId="0" fontId="9" fillId="4" borderId="38" xfId="113" applyFont="1" applyFill="1" applyBorder="1" applyAlignment="1">
      <alignment horizontal="center" vertical="center" wrapText="1"/>
      <protection/>
    </xf>
    <xf numFmtId="0" fontId="8" fillId="0" borderId="23" xfId="107" applyFont="1" applyFill="1" applyBorder="1" applyAlignment="1">
      <alignment vertical="center" wrapText="1"/>
      <protection/>
    </xf>
    <xf numFmtId="3" fontId="8" fillId="0" borderId="23" xfId="105" applyNumberFormat="1" applyFont="1" applyFill="1" applyBorder="1" applyAlignment="1">
      <alignment vertical="center" wrapText="1"/>
      <protection/>
    </xf>
    <xf numFmtId="0" fontId="8" fillId="0" borderId="23" xfId="107" applyFont="1" applyBorder="1" applyAlignment="1">
      <alignment vertical="center" wrapText="1"/>
      <protection/>
    </xf>
    <xf numFmtId="49" fontId="8" fillId="0" borderId="23" xfId="109" applyNumberFormat="1" applyFont="1" applyBorder="1" applyAlignment="1">
      <alignment horizontal="left" vertical="center" wrapText="1"/>
      <protection/>
    </xf>
    <xf numFmtId="49" fontId="8" fillId="0" borderId="23" xfId="0" applyNumberFormat="1" applyFont="1" applyFill="1" applyBorder="1" applyAlignment="1">
      <alignment horizontal="left" vertical="top" wrapText="1"/>
    </xf>
    <xf numFmtId="3" fontId="8" fillId="26" borderId="23" xfId="0" applyNumberFormat="1" applyFont="1" applyFill="1" applyBorder="1" applyAlignment="1">
      <alignment horizontal="left" vertical="top" wrapText="1"/>
    </xf>
    <xf numFmtId="16" fontId="8" fillId="24" borderId="15" xfId="98" applyNumberFormat="1" applyFont="1" applyFill="1" applyBorder="1" applyAlignment="1">
      <alignment horizontal="center" vertical="center" wrapText="1"/>
      <protection/>
    </xf>
    <xf numFmtId="3" fontId="8" fillId="0" borderId="23" xfId="0" applyNumberFormat="1" applyFont="1" applyBorder="1" applyAlignment="1">
      <alignment vertical="center"/>
    </xf>
    <xf numFmtId="3" fontId="8" fillId="0" borderId="23" xfId="0" applyNumberFormat="1" applyFont="1" applyFill="1" applyBorder="1" applyAlignment="1">
      <alignment vertical="center" wrapText="1"/>
    </xf>
    <xf numFmtId="3" fontId="9" fillId="4" borderId="15" xfId="98" applyNumberFormat="1" applyFont="1" applyFill="1" applyBorder="1" applyAlignment="1">
      <alignment vertical="center"/>
      <protection/>
    </xf>
    <xf numFmtId="3" fontId="9" fillId="4" borderId="15" xfId="98" applyNumberFormat="1" applyFont="1" applyFill="1" applyBorder="1" applyAlignment="1">
      <alignment horizontal="right" vertical="center"/>
      <protection/>
    </xf>
    <xf numFmtId="0" fontId="8" fillId="0" borderId="39" xfId="102" applyFont="1" applyFill="1" applyBorder="1" applyAlignment="1">
      <alignment vertical="center"/>
      <protection/>
    </xf>
    <xf numFmtId="0" fontId="16" fillId="0" borderId="15" xfId="113" applyFont="1" applyFill="1" applyBorder="1" applyAlignment="1">
      <alignment horizontal="center" vertical="center"/>
      <protection/>
    </xf>
    <xf numFmtId="0" fontId="14" fillId="0" borderId="15" xfId="113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right" vertical="center"/>
    </xf>
    <xf numFmtId="3" fontId="6" fillId="0" borderId="0" xfId="104" applyNumberFormat="1" applyFont="1" applyAlignment="1">
      <alignment vertical="center"/>
      <protection/>
    </xf>
    <xf numFmtId="0" fontId="6" fillId="0" borderId="0" xfId="104" applyFont="1" applyAlignment="1">
      <alignment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3" fontId="7" fillId="0" borderId="0" xfId="104" applyNumberFormat="1" applyFont="1" applyAlignment="1">
      <alignment vertical="center"/>
      <protection/>
    </xf>
    <xf numFmtId="0" fontId="7" fillId="0" borderId="0" xfId="104" applyFont="1" applyAlignment="1">
      <alignment vertical="center"/>
      <protection/>
    </xf>
    <xf numFmtId="0" fontId="13" fillId="0" borderId="0" xfId="104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 wrapText="1"/>
      <protection/>
    </xf>
    <xf numFmtId="0" fontId="6" fillId="0" borderId="0" xfId="104" applyFont="1" applyBorder="1" applyAlignment="1">
      <alignment vertical="center" wrapText="1"/>
      <protection/>
    </xf>
    <xf numFmtId="3" fontId="8" fillId="0" borderId="15" xfId="113" applyNumberFormat="1" applyFont="1" applyFill="1" applyBorder="1" applyAlignment="1">
      <alignment horizontal="right" vertical="center" wrapText="1"/>
      <protection/>
    </xf>
    <xf numFmtId="0" fontId="0" fillId="0" borderId="15" xfId="0" applyFill="1" applyBorder="1" applyAlignment="1">
      <alignment horizontal="center" vertical="center" wrapText="1"/>
    </xf>
    <xf numFmtId="3" fontId="8" fillId="0" borderId="0" xfId="97" applyNumberFormat="1" applyFont="1">
      <alignment/>
      <protection/>
    </xf>
    <xf numFmtId="3" fontId="41" fillId="0" borderId="15" xfId="113" applyNumberFormat="1" applyFont="1" applyBorder="1" applyAlignment="1">
      <alignment horizontal="right" vertical="center"/>
      <protection/>
    </xf>
    <xf numFmtId="0" fontId="8" fillId="26" borderId="23" xfId="98" applyFont="1" applyFill="1" applyBorder="1" applyAlignment="1">
      <alignment horizontal="left" vertical="top" wrapText="1"/>
      <protection/>
    </xf>
    <xf numFmtId="3" fontId="8" fillId="0" borderId="15" xfId="113" applyNumberFormat="1" applyFont="1" applyFill="1" applyBorder="1" applyAlignment="1">
      <alignment horizontal="right" vertical="center"/>
      <protection/>
    </xf>
    <xf numFmtId="3" fontId="41" fillId="0" borderId="15" xfId="113" applyNumberFormat="1" applyFont="1" applyFill="1" applyBorder="1" applyAlignment="1">
      <alignment horizontal="right" vertical="center"/>
      <protection/>
    </xf>
    <xf numFmtId="0" fontId="41" fillId="0" borderId="15" xfId="113" applyFont="1" applyFill="1" applyBorder="1" applyAlignment="1">
      <alignment vertical="center"/>
      <protection/>
    </xf>
    <xf numFmtId="3" fontId="8" fillId="0" borderId="15" xfId="98" applyNumberFormat="1" applyFont="1" applyBorder="1">
      <alignment/>
      <protection/>
    </xf>
    <xf numFmtId="0" fontId="8" fillId="0" borderId="15" xfId="98" applyFont="1" applyBorder="1">
      <alignment/>
      <protection/>
    </xf>
    <xf numFmtId="0" fontId="8" fillId="0" borderId="15" xfId="98" applyFont="1" applyFill="1" applyBorder="1" applyAlignment="1">
      <alignment horizontal="center" vertical="top" wrapText="1"/>
      <protection/>
    </xf>
    <xf numFmtId="0" fontId="8" fillId="0" borderId="4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3" fontId="6" fillId="0" borderId="0" xfId="104" applyNumberFormat="1" applyFont="1" applyFill="1" applyAlignment="1">
      <alignment vertical="center"/>
      <protection/>
    </xf>
    <xf numFmtId="10" fontId="6" fillId="0" borderId="0" xfId="104" applyNumberFormat="1" applyFont="1" applyFill="1" applyAlignment="1">
      <alignment vertical="center"/>
      <protection/>
    </xf>
    <xf numFmtId="10" fontId="6" fillId="0" borderId="0" xfId="104" applyNumberFormat="1" applyFont="1" applyAlignment="1">
      <alignment vertical="center"/>
      <protection/>
    </xf>
    <xf numFmtId="10" fontId="59" fillId="0" borderId="0" xfId="104" applyNumberFormat="1" applyFont="1" applyAlignment="1">
      <alignment vertical="center"/>
      <protection/>
    </xf>
    <xf numFmtId="3" fontId="7" fillId="0" borderId="0" xfId="104" applyNumberFormat="1" applyFont="1" applyFill="1" applyAlignment="1">
      <alignment vertical="center"/>
      <protection/>
    </xf>
    <xf numFmtId="3" fontId="13" fillId="0" borderId="0" xfId="104" applyNumberFormat="1" applyFont="1" applyFill="1" applyBorder="1" applyAlignment="1">
      <alignment vertical="center"/>
      <protection/>
    </xf>
    <xf numFmtId="3" fontId="6" fillId="0" borderId="0" xfId="104" applyNumberFormat="1" applyFont="1" applyBorder="1" applyAlignment="1">
      <alignment vertical="center" wrapText="1"/>
      <protection/>
    </xf>
    <xf numFmtId="3" fontId="7" fillId="27" borderId="26" xfId="122" applyNumberFormat="1" applyFont="1" applyFill="1" applyBorder="1" applyAlignment="1">
      <alignment horizontal="center" vertical="center" wrapText="1"/>
      <protection/>
    </xf>
    <xf numFmtId="3" fontId="9" fillId="27" borderId="25" xfId="122" applyNumberFormat="1" applyFont="1" applyFill="1" applyBorder="1" applyAlignment="1">
      <alignment horizontal="center" vertical="center" wrapText="1"/>
      <protection/>
    </xf>
    <xf numFmtId="3" fontId="20" fillId="0" borderId="0" xfId="122" applyNumberFormat="1" applyFont="1" applyAlignment="1">
      <alignment vertical="center"/>
      <protection/>
    </xf>
    <xf numFmtId="3" fontId="7" fillId="0" borderId="15" xfId="122" applyNumberFormat="1" applyFont="1" applyFill="1" applyBorder="1" applyAlignment="1">
      <alignment horizontal="center" vertical="center" wrapText="1"/>
      <protection/>
    </xf>
    <xf numFmtId="3" fontId="9" fillId="0" borderId="15" xfId="122" applyNumberFormat="1" applyFont="1" applyFill="1" applyBorder="1" applyAlignment="1">
      <alignment horizontal="center" vertical="center" wrapText="1"/>
      <protection/>
    </xf>
    <xf numFmtId="3" fontId="9" fillId="0" borderId="15" xfId="122" applyNumberFormat="1" applyFont="1" applyFill="1" applyBorder="1" applyAlignment="1">
      <alignment horizontal="left" vertical="center" wrapText="1"/>
      <protection/>
    </xf>
    <xf numFmtId="3" fontId="9" fillId="0" borderId="15" xfId="122" applyNumberFormat="1" applyFont="1" applyFill="1" applyBorder="1" applyAlignment="1">
      <alignment vertical="center" wrapText="1"/>
      <protection/>
    </xf>
    <xf numFmtId="3" fontId="6" fillId="0" borderId="15" xfId="122" applyNumberFormat="1" applyFont="1" applyFill="1" applyBorder="1" applyAlignment="1">
      <alignment horizontal="center" vertical="center" wrapText="1"/>
      <protection/>
    </xf>
    <xf numFmtId="3" fontId="8" fillId="0" borderId="15" xfId="122" applyNumberFormat="1" applyFont="1" applyFill="1" applyBorder="1" applyAlignment="1">
      <alignment horizontal="center" vertical="center" wrapText="1"/>
      <protection/>
    </xf>
    <xf numFmtId="3" fontId="8" fillId="0" borderId="15" xfId="122" applyNumberFormat="1" applyFont="1" applyFill="1" applyBorder="1" applyAlignment="1">
      <alignment horizontal="left" vertical="center" wrapText="1"/>
      <protection/>
    </xf>
    <xf numFmtId="3" fontId="8" fillId="0" borderId="15" xfId="122" applyNumberFormat="1" applyFont="1" applyFill="1" applyBorder="1" applyAlignment="1">
      <alignment vertical="center" wrapText="1"/>
      <protection/>
    </xf>
    <xf numFmtId="3" fontId="6" fillId="0" borderId="0" xfId="122" applyNumberFormat="1" applyFont="1" applyFill="1" applyAlignment="1">
      <alignment vertical="center"/>
      <protection/>
    </xf>
    <xf numFmtId="3" fontId="6" fillId="0" borderId="15" xfId="122" applyNumberFormat="1" applyFont="1" applyBorder="1" applyAlignment="1">
      <alignment horizontal="center" vertical="center"/>
      <protection/>
    </xf>
    <xf numFmtId="3" fontId="8" fillId="0" borderId="15" xfId="122" applyNumberFormat="1" applyFont="1" applyBorder="1" applyAlignment="1">
      <alignment horizontal="left" vertical="center" wrapText="1"/>
      <protection/>
    </xf>
    <xf numFmtId="3" fontId="8" fillId="0" borderId="15" xfId="122" applyNumberFormat="1" applyFont="1" applyBorder="1" applyAlignment="1">
      <alignment vertical="center"/>
      <protection/>
    </xf>
    <xf numFmtId="3" fontId="8" fillId="0" borderId="15" xfId="122" applyNumberFormat="1" applyFont="1" applyBorder="1" applyAlignment="1">
      <alignment horizontal="left" vertical="center"/>
      <protection/>
    </xf>
    <xf numFmtId="3" fontId="8" fillId="0" borderId="15" xfId="122" applyNumberFormat="1" applyFont="1" applyBorder="1" applyAlignment="1">
      <alignment horizontal="right" vertical="center"/>
      <protection/>
    </xf>
    <xf numFmtId="3" fontId="8" fillId="0" borderId="15" xfId="122" applyNumberFormat="1" applyFont="1" applyFill="1" applyBorder="1" applyAlignment="1">
      <alignment vertical="center"/>
      <protection/>
    </xf>
    <xf numFmtId="3" fontId="9" fillId="0" borderId="15" xfId="122" applyNumberFormat="1" applyFont="1" applyBorder="1" applyAlignment="1">
      <alignment vertical="center"/>
      <protection/>
    </xf>
    <xf numFmtId="3" fontId="9" fillId="0" borderId="15" xfId="122" applyNumberFormat="1" applyFont="1" applyFill="1" applyBorder="1" applyAlignment="1">
      <alignment horizontal="right" vertical="center" wrapText="1"/>
      <protection/>
    </xf>
    <xf numFmtId="3" fontId="9" fillId="0" borderId="15" xfId="122" applyNumberFormat="1" applyFont="1" applyBorder="1" applyAlignment="1">
      <alignment horizontal="center" vertical="center"/>
      <protection/>
    </xf>
    <xf numFmtId="3" fontId="9" fillId="0" borderId="15" xfId="122" applyNumberFormat="1" applyFont="1" applyBorder="1" applyAlignment="1">
      <alignment horizontal="left" vertical="center" wrapText="1"/>
      <protection/>
    </xf>
    <xf numFmtId="3" fontId="8" fillId="0" borderId="15" xfId="122" applyNumberFormat="1" applyFont="1" applyBorder="1" applyAlignment="1">
      <alignment horizontal="center" vertical="center"/>
      <protection/>
    </xf>
    <xf numFmtId="3" fontId="9" fillId="0" borderId="15" xfId="122" applyNumberFormat="1" applyFont="1" applyFill="1" applyBorder="1" applyAlignment="1">
      <alignment vertical="center"/>
      <protection/>
    </xf>
    <xf numFmtId="3" fontId="6" fillId="4" borderId="15" xfId="122" applyNumberFormat="1" applyFont="1" applyFill="1" applyBorder="1" applyAlignment="1">
      <alignment horizontal="center" vertical="center"/>
      <protection/>
    </xf>
    <xf numFmtId="3" fontId="8" fillId="4" borderId="15" xfId="122" applyNumberFormat="1" applyFont="1" applyFill="1" applyBorder="1" applyAlignment="1">
      <alignment horizontal="center" vertical="center"/>
      <protection/>
    </xf>
    <xf numFmtId="3" fontId="9" fillId="4" borderId="15" xfId="122" applyNumberFormat="1" applyFont="1" applyFill="1" applyBorder="1" applyAlignment="1">
      <alignment horizontal="left" vertical="center" wrapText="1"/>
      <protection/>
    </xf>
    <xf numFmtId="3" fontId="9" fillId="4" borderId="15" xfId="122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13" fillId="4" borderId="15" xfId="120" applyFont="1" applyFill="1" applyBorder="1" applyAlignment="1">
      <alignment horizontal="center" vertical="center" wrapText="1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8" fillId="4" borderId="38" xfId="113" applyFont="1" applyFill="1" applyBorder="1" applyAlignment="1">
      <alignment horizontal="center"/>
      <protection/>
    </xf>
    <xf numFmtId="0" fontId="8" fillId="4" borderId="38" xfId="113" applyFont="1" applyFill="1" applyBorder="1">
      <alignment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3" fontId="41" fillId="0" borderId="15" xfId="0" applyNumberFormat="1" applyFont="1" applyFill="1" applyBorder="1" applyAlignment="1">
      <alignment horizontal="right" vertical="center" wrapText="1"/>
    </xf>
    <xf numFmtId="3" fontId="8" fillId="0" borderId="15" xfId="116" applyNumberFormat="1" applyFont="1" applyFill="1" applyBorder="1" applyAlignment="1">
      <alignment horizontal="right" vertical="center"/>
      <protection/>
    </xf>
    <xf numFmtId="3" fontId="0" fillId="0" borderId="15" xfId="0" applyNumberFormat="1" applyFill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41" fillId="0" borderId="15" xfId="113" applyNumberFormat="1" applyFont="1" applyFill="1" applyBorder="1" applyAlignment="1">
      <alignment horizontal="right" vertical="center" wrapText="1"/>
      <protection/>
    </xf>
    <xf numFmtId="3" fontId="2" fillId="0" borderId="15" xfId="0" applyNumberFormat="1" applyFont="1" applyBorder="1" applyAlignment="1">
      <alignment horizontal="right" vertical="center" wrapText="1"/>
    </xf>
    <xf numFmtId="0" fontId="14" fillId="0" borderId="35" xfId="93" applyFont="1" applyBorder="1" applyAlignment="1">
      <alignment horizontal="center" vertical="center"/>
      <protection/>
    </xf>
    <xf numFmtId="3" fontId="13" fillId="4" borderId="14" xfId="122" applyNumberFormat="1" applyFont="1" applyFill="1" applyBorder="1" applyAlignment="1">
      <alignment horizontal="center" vertical="center" wrapText="1"/>
      <protection/>
    </xf>
    <xf numFmtId="3" fontId="13" fillId="4" borderId="20" xfId="122" applyNumberFormat="1" applyFont="1" applyFill="1" applyBorder="1" applyAlignment="1">
      <alignment horizontal="center" vertical="center" wrapText="1"/>
      <protection/>
    </xf>
    <xf numFmtId="0" fontId="14" fillId="0" borderId="15" xfId="94" applyFont="1" applyBorder="1" applyAlignment="1">
      <alignment vertical="center"/>
      <protection/>
    </xf>
    <xf numFmtId="3" fontId="14" fillId="0" borderId="21" xfId="122" applyNumberFormat="1" applyFont="1" applyFill="1" applyBorder="1" applyAlignment="1">
      <alignment vertical="center"/>
      <protection/>
    </xf>
    <xf numFmtId="0" fontId="13" fillId="4" borderId="15" xfId="94" applyFont="1" applyFill="1" applyBorder="1" applyAlignment="1">
      <alignment vertical="center" wrapText="1"/>
      <protection/>
    </xf>
    <xf numFmtId="0" fontId="14" fillId="0" borderId="15" xfId="94" applyFont="1" applyFill="1" applyBorder="1" applyAlignment="1">
      <alignment vertical="center"/>
      <protection/>
    </xf>
    <xf numFmtId="3" fontId="14" fillId="0" borderId="15" xfId="122" applyNumberFormat="1" applyFont="1" applyFill="1" applyBorder="1" applyAlignment="1">
      <alignment horizontal="right" vertical="center" wrapText="1"/>
      <protection/>
    </xf>
    <xf numFmtId="3" fontId="14" fillId="4" borderId="15" xfId="122" applyNumberFormat="1" applyFont="1" applyFill="1" applyBorder="1" applyAlignment="1">
      <alignment horizontal="center" vertical="center" wrapText="1"/>
      <protection/>
    </xf>
    <xf numFmtId="3" fontId="14" fillId="4" borderId="22" xfId="0" applyNumberFormat="1" applyFont="1" applyFill="1" applyBorder="1" applyAlignment="1">
      <alignment vertical="center"/>
    </xf>
    <xf numFmtId="3" fontId="13" fillId="4" borderId="15" xfId="122" applyNumberFormat="1" applyFont="1" applyFill="1" applyBorder="1" applyAlignment="1">
      <alignment horizontal="center" vertical="center" wrapText="1"/>
      <protection/>
    </xf>
    <xf numFmtId="3" fontId="13" fillId="4" borderId="15" xfId="122" applyNumberFormat="1" applyFont="1" applyFill="1" applyBorder="1" applyAlignment="1">
      <alignment horizontal="right" vertical="center" wrapText="1"/>
      <protection/>
    </xf>
    <xf numFmtId="3" fontId="6" fillId="4" borderId="31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13" fillId="0" borderId="15" xfId="122" applyNumberFormat="1" applyFont="1" applyFill="1" applyBorder="1" applyAlignment="1">
      <alignment horizontal="right" vertical="center" wrapText="1"/>
      <protection/>
    </xf>
    <xf numFmtId="0" fontId="8" fillId="0" borderId="15" xfId="98" applyFont="1" applyFill="1" applyBorder="1" applyAlignment="1">
      <alignment horizontal="center"/>
      <protection/>
    </xf>
    <xf numFmtId="3" fontId="6" fillId="0" borderId="41" xfId="0" applyNumberFormat="1" applyFont="1" applyBorder="1" applyAlignment="1">
      <alignment vertical="center"/>
    </xf>
    <xf numFmtId="3" fontId="13" fillId="4" borderId="21" xfId="122" applyNumberFormat="1" applyFont="1" applyFill="1" applyBorder="1" applyAlignment="1">
      <alignment vertical="center"/>
      <protection/>
    </xf>
    <xf numFmtId="0" fontId="14" fillId="0" borderId="23" xfId="93" applyFont="1" applyBorder="1" applyAlignment="1">
      <alignment vertical="center"/>
      <protection/>
    </xf>
    <xf numFmtId="3" fontId="13" fillId="0" borderId="22" xfId="0" applyNumberFormat="1" applyFont="1" applyFill="1" applyBorder="1" applyAlignment="1">
      <alignment vertical="center"/>
    </xf>
    <xf numFmtId="3" fontId="13" fillId="4" borderId="22" xfId="0" applyNumberFormat="1" applyFont="1" applyFill="1" applyBorder="1" applyAlignment="1">
      <alignment vertical="center"/>
    </xf>
    <xf numFmtId="0" fontId="13" fillId="4" borderId="23" xfId="93" applyFont="1" applyFill="1" applyBorder="1" applyAlignment="1">
      <alignment vertical="center"/>
      <protection/>
    </xf>
    <xf numFmtId="3" fontId="7" fillId="4" borderId="31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6" fillId="0" borderId="15" xfId="122" applyNumberFormat="1" applyFont="1" applyFill="1" applyBorder="1" applyAlignment="1">
      <alignment horizontal="right" vertical="center" wrapText="1"/>
      <protection/>
    </xf>
    <xf numFmtId="3" fontId="62" fillId="0" borderId="23" xfId="0" applyNumberFormat="1" applyFont="1" applyFill="1" applyBorder="1" applyAlignment="1">
      <alignment vertical="center"/>
    </xf>
    <xf numFmtId="0" fontId="8" fillId="4" borderId="15" xfId="98" applyFont="1" applyFill="1" applyBorder="1" applyAlignment="1">
      <alignment horizontal="center"/>
      <protection/>
    </xf>
    <xf numFmtId="0" fontId="9" fillId="4" borderId="15" xfId="98" applyFont="1" applyFill="1" applyBorder="1" applyAlignment="1">
      <alignment horizontal="center"/>
      <protection/>
    </xf>
    <xf numFmtId="0" fontId="63" fillId="4" borderId="22" xfId="0" applyFont="1" applyFill="1" applyBorder="1" applyAlignment="1">
      <alignment vertical="center"/>
    </xf>
    <xf numFmtId="0" fontId="13" fillId="4" borderId="42" xfId="0" applyFont="1" applyFill="1" applyBorder="1" applyAlignment="1">
      <alignment/>
    </xf>
    <xf numFmtId="0" fontId="13" fillId="4" borderId="43" xfId="0" applyFont="1" applyFill="1" applyBorder="1" applyAlignment="1">
      <alignment/>
    </xf>
    <xf numFmtId="0" fontId="13" fillId="4" borderId="44" xfId="0" applyFont="1" applyFill="1" applyBorder="1" applyAlignment="1">
      <alignment/>
    </xf>
    <xf numFmtId="0" fontId="8" fillId="4" borderId="10" xfId="98" applyFont="1" applyFill="1" applyBorder="1" applyAlignment="1">
      <alignment horizontal="center"/>
      <protection/>
    </xf>
    <xf numFmtId="0" fontId="8" fillId="4" borderId="28" xfId="98" applyFont="1" applyFill="1" applyBorder="1" applyAlignment="1">
      <alignment horizontal="center"/>
      <protection/>
    </xf>
    <xf numFmtId="0" fontId="8" fillId="4" borderId="11" xfId="98" applyFont="1" applyFill="1" applyBorder="1" applyAlignment="1">
      <alignment horizontal="centerContinuous" vertical="center"/>
      <protection/>
    </xf>
    <xf numFmtId="0" fontId="8" fillId="4" borderId="27" xfId="98" applyFont="1" applyFill="1" applyBorder="1" applyAlignment="1">
      <alignment horizontal="centerContinuous" vertical="center"/>
      <protection/>
    </xf>
    <xf numFmtId="0" fontId="8" fillId="4" borderId="28" xfId="98" applyFont="1" applyFill="1" applyBorder="1" applyAlignment="1">
      <alignment horizontal="centerContinuous" vertical="center"/>
      <protection/>
    </xf>
    <xf numFmtId="0" fontId="8" fillId="4" borderId="45" xfId="98" applyFont="1" applyFill="1" applyBorder="1" applyAlignment="1">
      <alignment horizontal="centerContinuous" vertical="center"/>
      <protection/>
    </xf>
    <xf numFmtId="0" fontId="9" fillId="4" borderId="13" xfId="98" applyFont="1" applyFill="1" applyBorder="1" applyAlignment="1">
      <alignment horizontal="center" vertical="top" wrapText="1"/>
      <protection/>
    </xf>
    <xf numFmtId="0" fontId="9" fillId="4" borderId="30" xfId="98" applyFont="1" applyFill="1" applyBorder="1" applyAlignment="1">
      <alignment horizontal="center" vertical="top" wrapText="1"/>
      <protection/>
    </xf>
    <xf numFmtId="0" fontId="9" fillId="4" borderId="14" xfId="98" applyFont="1" applyFill="1" applyBorder="1" applyAlignment="1">
      <alignment horizontal="center" vertical="top" wrapText="1"/>
      <protection/>
    </xf>
    <xf numFmtId="0" fontId="9" fillId="4" borderId="29" xfId="98" applyFont="1" applyFill="1" applyBorder="1" applyAlignment="1">
      <alignment horizontal="center" vertical="top"/>
      <protection/>
    </xf>
    <xf numFmtId="0" fontId="8" fillId="0" borderId="15" xfId="98" applyFont="1" applyFill="1" applyBorder="1" applyAlignment="1">
      <alignment vertical="top" wrapText="1"/>
      <protection/>
    </xf>
    <xf numFmtId="0" fontId="8" fillId="24" borderId="15" xfId="98" applyFont="1" applyFill="1" applyBorder="1" applyAlignment="1">
      <alignment horizontal="center"/>
      <protection/>
    </xf>
    <xf numFmtId="0" fontId="8" fillId="0" borderId="23" xfId="93" applyFont="1" applyBorder="1" applyAlignment="1">
      <alignment vertical="center"/>
      <protection/>
    </xf>
    <xf numFmtId="0" fontId="9" fillId="24" borderId="21" xfId="98" applyFont="1" applyFill="1" applyBorder="1" applyAlignment="1">
      <alignment vertical="center"/>
      <protection/>
    </xf>
    <xf numFmtId="0" fontId="8" fillId="24" borderId="36" xfId="98" applyFont="1" applyFill="1" applyBorder="1" applyAlignment="1">
      <alignment horizontal="center"/>
      <protection/>
    </xf>
    <xf numFmtId="0" fontId="8" fillId="24" borderId="46" xfId="98" applyFont="1" applyFill="1" applyBorder="1" applyAlignment="1">
      <alignment horizontal="center"/>
      <protection/>
    </xf>
    <xf numFmtId="0" fontId="8" fillId="0" borderId="47" xfId="0" applyFont="1" applyFill="1" applyBorder="1" applyAlignment="1">
      <alignment horizontal="left" vertical="center" wrapText="1"/>
    </xf>
    <xf numFmtId="49" fontId="0" fillId="0" borderId="23" xfId="108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Fill="1" applyBorder="1" applyAlignment="1">
      <alignment horizontal="left" vertical="center" wrapText="1"/>
    </xf>
    <xf numFmtId="49" fontId="8" fillId="0" borderId="23" xfId="108" applyNumberFormat="1" applyFont="1" applyFill="1" applyBorder="1" applyAlignment="1">
      <alignment horizontal="left" vertical="center" wrapText="1"/>
      <protection/>
    </xf>
    <xf numFmtId="3" fontId="8" fillId="0" borderId="15" xfId="120" applyNumberFormat="1" applyFont="1" applyFill="1" applyBorder="1" applyAlignment="1">
      <alignment vertical="center"/>
      <protection/>
    </xf>
    <xf numFmtId="49" fontId="0" fillId="0" borderId="23" xfId="108" applyNumberFormat="1" applyFont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left" vertical="center" wrapText="1"/>
    </xf>
    <xf numFmtId="49" fontId="8" fillId="0" borderId="23" xfId="110" applyNumberFormat="1" applyFont="1" applyFill="1" applyBorder="1" applyAlignment="1">
      <alignment horizontal="left" vertical="center" wrapText="1"/>
      <protection/>
    </xf>
    <xf numFmtId="0" fontId="8" fillId="0" borderId="22" xfId="0" applyFont="1" applyFill="1" applyBorder="1" applyAlignment="1">
      <alignment horizontal="left" vertical="center" wrapText="1"/>
    </xf>
    <xf numFmtId="3" fontId="8" fillId="0" borderId="23" xfId="108" applyNumberFormat="1" applyFont="1" applyFill="1" applyBorder="1" applyAlignment="1">
      <alignment vertical="center" wrapText="1"/>
      <protection/>
    </xf>
    <xf numFmtId="0" fontId="9" fillId="0" borderId="21" xfId="98" applyFont="1" applyFill="1" applyBorder="1" applyAlignment="1">
      <alignment vertical="center"/>
      <protection/>
    </xf>
    <xf numFmtId="0" fontId="8" fillId="0" borderId="23" xfId="116" applyFont="1" applyFill="1" applyBorder="1" applyAlignment="1">
      <alignment vertical="center" wrapText="1"/>
      <protection/>
    </xf>
    <xf numFmtId="0" fontId="8" fillId="24" borderId="21" xfId="98" applyFont="1" applyFill="1" applyBorder="1" applyAlignment="1">
      <alignment vertical="top"/>
      <protection/>
    </xf>
    <xf numFmtId="0" fontId="5" fillId="0" borderId="21" xfId="98" applyFont="1" applyBorder="1">
      <alignment/>
      <protection/>
    </xf>
    <xf numFmtId="3" fontId="14" fillId="0" borderId="15" xfId="98" applyNumberFormat="1" applyFont="1" applyBorder="1">
      <alignment/>
      <protection/>
    </xf>
    <xf numFmtId="49" fontId="8" fillId="0" borderId="49" xfId="107" applyNumberFormat="1" applyFont="1" applyFill="1" applyBorder="1" applyAlignment="1">
      <alignment horizontal="left" vertical="center" wrapText="1"/>
      <protection/>
    </xf>
    <xf numFmtId="0" fontId="5" fillId="0" borderId="0" xfId="98" applyFont="1" applyBorder="1">
      <alignment/>
      <protection/>
    </xf>
    <xf numFmtId="0" fontId="8" fillId="4" borderId="36" xfId="98" applyFont="1" applyFill="1" applyBorder="1" applyAlignment="1">
      <alignment/>
      <protection/>
    </xf>
    <xf numFmtId="0" fontId="8" fillId="4" borderId="46" xfId="98" applyFont="1" applyFill="1" applyBorder="1" applyAlignment="1">
      <alignment/>
      <protection/>
    </xf>
    <xf numFmtId="0" fontId="8" fillId="4" borderId="15" xfId="98" applyFont="1" applyFill="1" applyBorder="1" applyAlignment="1">
      <alignment horizontal="center" vertical="center"/>
      <protection/>
    </xf>
    <xf numFmtId="0" fontId="9" fillId="4" borderId="23" xfId="98" applyFont="1" applyFill="1" applyBorder="1" applyAlignment="1">
      <alignment vertical="center"/>
      <protection/>
    </xf>
    <xf numFmtId="0" fontId="9" fillId="4" borderId="21" xfId="98" applyFont="1" applyFill="1" applyBorder="1" applyAlignment="1">
      <alignment vertical="center"/>
      <protection/>
    </xf>
    <xf numFmtId="0" fontId="8" fillId="0" borderId="36" xfId="98" applyFont="1" applyFill="1" applyBorder="1" applyAlignment="1">
      <alignment/>
      <protection/>
    </xf>
    <xf numFmtId="0" fontId="8" fillId="0" borderId="46" xfId="98" applyFont="1" applyFill="1" applyBorder="1" applyAlignment="1">
      <alignment/>
      <protection/>
    </xf>
    <xf numFmtId="0" fontId="9" fillId="0" borderId="21" xfId="98" applyFont="1" applyFill="1" applyBorder="1" applyAlignment="1">
      <alignment horizontal="left" vertical="center"/>
      <protection/>
    </xf>
    <xf numFmtId="3" fontId="9" fillId="0" borderId="15" xfId="98" applyNumberFormat="1" applyFont="1" applyFill="1" applyBorder="1" applyAlignment="1">
      <alignment horizontal="right" vertical="center"/>
      <protection/>
    </xf>
    <xf numFmtId="49" fontId="8" fillId="0" borderId="23" xfId="0" applyNumberFormat="1" applyFont="1" applyFill="1" applyBorder="1" applyAlignment="1">
      <alignment horizontal="left" vertical="center" wrapText="1"/>
    </xf>
    <xf numFmtId="0" fontId="9" fillId="0" borderId="21" xfId="120" applyFont="1" applyFill="1" applyBorder="1" applyAlignment="1">
      <alignment vertical="center"/>
      <protection/>
    </xf>
    <xf numFmtId="0" fontId="8" fillId="0" borderId="23" xfId="101" applyFont="1" applyFill="1" applyBorder="1" applyAlignment="1">
      <alignment vertical="center" wrapText="1"/>
      <protection/>
    </xf>
    <xf numFmtId="49" fontId="0" fillId="0" borderId="23" xfId="0" applyNumberFormat="1" applyFont="1" applyBorder="1" applyAlignment="1">
      <alignment horizontal="left" vertical="center" wrapText="1"/>
    </xf>
    <xf numFmtId="0" fontId="9" fillId="0" borderId="23" xfId="98" applyFont="1" applyFill="1" applyBorder="1" applyAlignment="1">
      <alignment vertical="top"/>
      <protection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0" fontId="8" fillId="0" borderId="23" xfId="98" applyFont="1" applyBorder="1">
      <alignment/>
      <protection/>
    </xf>
    <xf numFmtId="0" fontId="8" fillId="0" borderId="23" xfId="0" applyFont="1" applyBorder="1" applyAlignment="1">
      <alignment horizontal="left" wrapText="1"/>
    </xf>
    <xf numFmtId="0" fontId="8" fillId="0" borderId="23" xfId="0" applyFont="1" applyFill="1" applyBorder="1" applyAlignment="1">
      <alignment/>
    </xf>
    <xf numFmtId="3" fontId="8" fillId="0" borderId="23" xfId="108" applyNumberFormat="1" applyFont="1" applyBorder="1" applyAlignment="1">
      <alignment vertical="center" wrapText="1"/>
      <protection/>
    </xf>
    <xf numFmtId="0" fontId="8" fillId="0" borderId="23" xfId="116" applyFont="1" applyBorder="1" applyAlignment="1">
      <alignment vertical="center" wrapText="1"/>
      <protection/>
    </xf>
    <xf numFmtId="0" fontId="9" fillId="4" borderId="23" xfId="98" applyFont="1" applyFill="1" applyBorder="1" applyAlignment="1">
      <alignment horizontal="left" vertical="center"/>
      <protection/>
    </xf>
    <xf numFmtId="0" fontId="9" fillId="4" borderId="24" xfId="98" applyFont="1" applyFill="1" applyBorder="1" applyAlignment="1">
      <alignment horizontal="left" vertical="center"/>
      <protection/>
    </xf>
    <xf numFmtId="0" fontId="9" fillId="24" borderId="23" xfId="98" applyFont="1" applyFill="1" applyBorder="1" applyAlignment="1">
      <alignment horizontal="left" vertical="center"/>
      <protection/>
    </xf>
    <xf numFmtId="0" fontId="9" fillId="24" borderId="24" xfId="98" applyFont="1" applyFill="1" applyBorder="1" applyAlignment="1">
      <alignment horizontal="left" vertical="center"/>
      <protection/>
    </xf>
    <xf numFmtId="3" fontId="9" fillId="24" borderId="15" xfId="98" applyNumberFormat="1" applyFont="1" applyFill="1" applyBorder="1" applyAlignment="1">
      <alignment vertical="center"/>
      <protection/>
    </xf>
    <xf numFmtId="0" fontId="8" fillId="0" borderId="15" xfId="98" applyFont="1" applyFill="1" applyBorder="1" applyAlignment="1">
      <alignment/>
      <protection/>
    </xf>
    <xf numFmtId="49" fontId="8" fillId="0" borderId="23" xfId="122" applyNumberFormat="1" applyFont="1" applyFill="1" applyBorder="1" applyAlignment="1">
      <alignment horizontal="left" vertical="center"/>
      <protection/>
    </xf>
    <xf numFmtId="49" fontId="8" fillId="0" borderId="23" xfId="108" applyNumberFormat="1" applyFont="1" applyFill="1" applyBorder="1" applyAlignment="1">
      <alignment vertical="center" wrapText="1"/>
      <protection/>
    </xf>
    <xf numFmtId="0" fontId="5" fillId="0" borderId="0" xfId="98" applyFont="1">
      <alignment/>
      <protection/>
    </xf>
    <xf numFmtId="49" fontId="8" fillId="0" borderId="23" xfId="108" applyNumberFormat="1" applyFont="1" applyBorder="1" applyAlignment="1">
      <alignment horizontal="left" vertical="center" wrapText="1"/>
      <protection/>
    </xf>
    <xf numFmtId="2" fontId="8" fillId="0" borderId="23" xfId="92" applyNumberFormat="1" applyFont="1" applyFill="1" applyBorder="1" applyAlignment="1">
      <alignment vertical="center" wrapText="1"/>
      <protection/>
    </xf>
    <xf numFmtId="3" fontId="8" fillId="26" borderId="23" xfId="0" applyNumberFormat="1" applyFont="1" applyFill="1" applyBorder="1" applyAlignment="1">
      <alignment horizontal="left" vertical="center" wrapText="1"/>
    </xf>
    <xf numFmtId="3" fontId="8" fillId="0" borderId="23" xfId="0" applyNumberFormat="1" applyFont="1" applyFill="1" applyBorder="1" applyAlignment="1">
      <alignment horizontal="left" vertical="top" wrapText="1"/>
    </xf>
    <xf numFmtId="0" fontId="8" fillId="0" borderId="15" xfId="98" applyFont="1" applyBorder="1" applyAlignment="1">
      <alignment/>
      <protection/>
    </xf>
    <xf numFmtId="0" fontId="8" fillId="0" borderId="23" xfId="101" applyFont="1" applyFill="1" applyBorder="1" applyAlignment="1">
      <alignment horizontal="left" vertical="center" wrapText="1"/>
      <protection/>
    </xf>
    <xf numFmtId="0" fontId="8" fillId="26" borderId="23" xfId="101" applyFont="1" applyFill="1" applyBorder="1" applyAlignment="1">
      <alignment vertical="top" wrapText="1"/>
      <protection/>
    </xf>
    <xf numFmtId="0" fontId="9" fillId="0" borderId="24" xfId="98" applyFont="1" applyFill="1" applyBorder="1" applyAlignment="1">
      <alignment vertical="top"/>
      <protection/>
    </xf>
    <xf numFmtId="0" fontId="8" fillId="0" borderId="23" xfId="101" applyFont="1" applyFill="1" applyBorder="1" applyAlignment="1">
      <alignment vertical="top"/>
      <protection/>
    </xf>
    <xf numFmtId="0" fontId="8" fillId="0" borderId="23" xfId="92" applyFont="1" applyFill="1" applyBorder="1" applyAlignment="1">
      <alignment vertical="center" wrapText="1"/>
      <protection/>
    </xf>
    <xf numFmtId="0" fontId="8" fillId="24" borderId="15" xfId="98" applyFont="1" applyFill="1" applyBorder="1" applyAlignment="1">
      <alignment horizontal="left" vertical="top" wrapText="1"/>
      <protection/>
    </xf>
    <xf numFmtId="0" fontId="8" fillId="26" borderId="23" xfId="98" applyFont="1" applyFill="1" applyBorder="1" applyAlignment="1">
      <alignment vertical="top" wrapText="1"/>
      <protection/>
    </xf>
    <xf numFmtId="49" fontId="8" fillId="0" borderId="23" xfId="0" applyNumberFormat="1" applyFont="1" applyBorder="1" applyAlignment="1">
      <alignment horizontal="left" vertical="center" wrapText="1"/>
    </xf>
    <xf numFmtId="0" fontId="8" fillId="0" borderId="23" xfId="101" applyFont="1" applyFill="1" applyBorder="1" applyAlignment="1">
      <alignment horizontal="left" vertical="top"/>
      <protection/>
    </xf>
    <xf numFmtId="0" fontId="8" fillId="0" borderId="23" xfId="101" applyFont="1" applyFill="1" applyBorder="1" applyAlignment="1">
      <alignment vertical="top" wrapText="1"/>
      <protection/>
    </xf>
    <xf numFmtId="49" fontId="0" fillId="0" borderId="23" xfId="108" applyNumberFormat="1" applyFont="1" applyFill="1" applyBorder="1" applyAlignment="1">
      <alignment horizontal="left" vertical="center"/>
      <protection/>
    </xf>
    <xf numFmtId="0" fontId="8" fillId="26" borderId="23" xfId="98" applyFont="1" applyFill="1" applyBorder="1" applyAlignment="1">
      <alignment vertical="top"/>
      <protection/>
    </xf>
    <xf numFmtId="0" fontId="8" fillId="0" borderId="23" xfId="0" applyFont="1" applyFill="1" applyBorder="1" applyAlignment="1">
      <alignment vertical="center" wrapText="1"/>
    </xf>
    <xf numFmtId="0" fontId="8" fillId="4" borderId="15" xfId="98" applyFont="1" applyFill="1" applyBorder="1" applyAlignment="1">
      <alignment/>
      <protection/>
    </xf>
    <xf numFmtId="0" fontId="9" fillId="4" borderId="24" xfId="98" applyFont="1" applyFill="1" applyBorder="1" applyAlignment="1">
      <alignment vertical="center"/>
      <protection/>
    </xf>
    <xf numFmtId="0" fontId="9" fillId="0" borderId="23" xfId="98" applyFont="1" applyFill="1" applyBorder="1" applyAlignment="1">
      <alignment vertical="center"/>
      <protection/>
    </xf>
    <xf numFmtId="0" fontId="64" fillId="0" borderId="0" xfId="0" applyFont="1" applyAlignment="1">
      <alignment wrapText="1"/>
    </xf>
    <xf numFmtId="0" fontId="9" fillId="24" borderId="23" xfId="98" applyFont="1" applyFill="1" applyBorder="1" applyAlignment="1">
      <alignment vertical="center"/>
      <protection/>
    </xf>
    <xf numFmtId="0" fontId="8" fillId="0" borderId="15" xfId="98" applyFont="1" applyBorder="1" applyAlignment="1">
      <alignment horizontal="center"/>
      <protection/>
    </xf>
    <xf numFmtId="0" fontId="9" fillId="4" borderId="23" xfId="98" applyFont="1" applyFill="1" applyBorder="1">
      <alignment/>
      <protection/>
    </xf>
    <xf numFmtId="0" fontId="9" fillId="4" borderId="24" xfId="98" applyFont="1" applyFill="1" applyBorder="1">
      <alignment/>
      <protection/>
    </xf>
    <xf numFmtId="3" fontId="9" fillId="4" borderId="15" xfId="98" applyNumberFormat="1" applyFont="1" applyFill="1" applyBorder="1">
      <alignment/>
      <protection/>
    </xf>
    <xf numFmtId="0" fontId="9" fillId="4" borderId="23" xfId="93" applyFont="1" applyFill="1" applyBorder="1" applyAlignment="1">
      <alignment vertical="center" wrapText="1"/>
      <protection/>
    </xf>
    <xf numFmtId="3" fontId="8" fillId="0" borderId="15" xfId="98" applyNumberFormat="1" applyFont="1" applyBorder="1" applyAlignment="1">
      <alignment horizontal="center"/>
      <protection/>
    </xf>
    <xf numFmtId="16" fontId="8" fillId="0" borderId="15" xfId="98" applyNumberFormat="1" applyFont="1" applyBorder="1" applyAlignment="1">
      <alignment horizontal="center"/>
      <protection/>
    </xf>
    <xf numFmtId="0" fontId="8" fillId="0" borderId="24" xfId="98" applyFont="1" applyBorder="1">
      <alignment/>
      <protection/>
    </xf>
    <xf numFmtId="0" fontId="8" fillId="0" borderId="0" xfId="98" applyFont="1" applyAlignment="1">
      <alignment horizontal="left"/>
      <protection/>
    </xf>
    <xf numFmtId="0" fontId="13" fillId="4" borderId="28" xfId="120" applyFont="1" applyFill="1" applyBorder="1" applyAlignment="1">
      <alignment horizontal="center" vertical="center"/>
      <protection/>
    </xf>
    <xf numFmtId="0" fontId="13" fillId="4" borderId="30" xfId="120" applyFont="1" applyFill="1" applyBorder="1" applyAlignment="1">
      <alignment horizontal="center" vertical="top"/>
      <protection/>
    </xf>
    <xf numFmtId="0" fontId="13" fillId="0" borderId="50" xfId="120" applyFont="1" applyBorder="1" applyAlignment="1">
      <alignment vertical="center"/>
      <protection/>
    </xf>
    <xf numFmtId="3" fontId="13" fillId="0" borderId="23" xfId="120" applyNumberFormat="1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42" fillId="0" borderId="23" xfId="108" applyNumberFormat="1" applyFont="1" applyFill="1" applyBorder="1" applyAlignment="1">
      <alignment horizontal="left" vertical="center" wrapText="1"/>
      <protection/>
    </xf>
    <xf numFmtId="49" fontId="14" fillId="0" borderId="23" xfId="108" applyNumberFormat="1" applyFont="1" applyFill="1" applyBorder="1" applyAlignment="1">
      <alignment horizontal="left" vertical="center" wrapText="1"/>
      <protection/>
    </xf>
    <xf numFmtId="49" fontId="42" fillId="0" borderId="23" xfId="108" applyNumberFormat="1" applyFont="1" applyFill="1" applyBorder="1" applyAlignment="1">
      <alignment horizontal="left" vertical="center"/>
      <protection/>
    </xf>
    <xf numFmtId="49" fontId="42" fillId="0" borderId="23" xfId="108" applyNumberFormat="1" applyFont="1" applyFill="1" applyBorder="1" applyAlignment="1">
      <alignment vertical="center" wrapText="1"/>
      <protection/>
    </xf>
    <xf numFmtId="49" fontId="42" fillId="0" borderId="23" xfId="0" applyNumberFormat="1" applyFont="1" applyFill="1" applyBorder="1" applyAlignment="1">
      <alignment horizontal="left" vertical="center" wrapText="1"/>
    </xf>
    <xf numFmtId="49" fontId="42" fillId="0" borderId="51" xfId="108" applyNumberFormat="1" applyFont="1" applyFill="1" applyBorder="1" applyAlignment="1">
      <alignment horizontal="left" vertical="center" wrapText="1"/>
      <protection/>
    </xf>
    <xf numFmtId="49" fontId="42" fillId="0" borderId="0" xfId="108" applyNumberFormat="1" applyFont="1" applyFill="1" applyBorder="1" applyAlignment="1">
      <alignment horizontal="left" vertical="center" wrapText="1"/>
      <protection/>
    </xf>
    <xf numFmtId="0" fontId="14" fillId="0" borderId="52" xfId="120" applyFont="1" applyFill="1" applyBorder="1" applyAlignment="1">
      <alignment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23" xfId="120" applyFont="1" applyFill="1" applyBorder="1" applyAlignment="1">
      <alignment horizontal="left" vertical="center" wrapText="1"/>
      <protection/>
    </xf>
    <xf numFmtId="3" fontId="14" fillId="0" borderId="21" xfId="0" applyNumberFormat="1" applyFont="1" applyFill="1" applyBorder="1" applyAlignment="1">
      <alignment horizontal="left" vertical="center" wrapText="1"/>
    </xf>
    <xf numFmtId="0" fontId="14" fillId="0" borderId="23" xfId="107" applyFont="1" applyFill="1" applyBorder="1" applyAlignment="1">
      <alignment vertical="center" wrapText="1"/>
      <protection/>
    </xf>
    <xf numFmtId="0" fontId="14" fillId="0" borderId="23" xfId="107" applyFont="1" applyFill="1" applyBorder="1" applyAlignment="1">
      <alignment horizontal="left" vertical="center" wrapText="1"/>
      <protection/>
    </xf>
    <xf numFmtId="0" fontId="13" fillId="0" borderId="21" xfId="120" applyFont="1" applyFill="1" applyBorder="1" applyAlignment="1">
      <alignment vertical="center"/>
      <protection/>
    </xf>
    <xf numFmtId="0" fontId="13" fillId="0" borderId="15" xfId="120" applyFont="1" applyFill="1" applyBorder="1" applyAlignment="1">
      <alignment vertical="center"/>
      <protection/>
    </xf>
    <xf numFmtId="0" fontId="14" fillId="0" borderId="23" xfId="0" applyFont="1" applyFill="1" applyBorder="1" applyAlignment="1">
      <alignment horizontal="left" wrapText="1"/>
    </xf>
    <xf numFmtId="49" fontId="14" fillId="0" borderId="23" xfId="0" applyNumberFormat="1" applyFont="1" applyFill="1" applyBorder="1" applyAlignment="1">
      <alignment horizontal="left" vertical="center" wrapText="1"/>
    </xf>
    <xf numFmtId="0" fontId="14" fillId="0" borderId="23" xfId="120" applyFont="1" applyFill="1" applyBorder="1" applyAlignment="1">
      <alignment vertical="center"/>
      <protection/>
    </xf>
    <xf numFmtId="49" fontId="14" fillId="0" borderId="23" xfId="111" applyNumberFormat="1" applyFont="1" applyBorder="1" applyAlignment="1">
      <alignment horizontal="left" vertical="center" wrapText="1"/>
      <protection/>
    </xf>
    <xf numFmtId="49" fontId="42" fillId="0" borderId="23" xfId="0" applyNumberFormat="1" applyFont="1" applyFill="1" applyBorder="1" applyAlignment="1">
      <alignment vertical="center" wrapText="1"/>
    </xf>
    <xf numFmtId="0" fontId="14" fillId="0" borderId="21" xfId="120" applyFont="1" applyFill="1" applyBorder="1" applyAlignment="1">
      <alignment vertical="center"/>
      <protection/>
    </xf>
    <xf numFmtId="0" fontId="14" fillId="0" borderId="15" xfId="120" applyFont="1" applyFill="1" applyBorder="1" applyAlignment="1">
      <alignment vertical="center"/>
      <protection/>
    </xf>
    <xf numFmtId="0" fontId="6" fillId="0" borderId="15" xfId="120" applyFont="1" applyFill="1" applyBorder="1" applyAlignment="1">
      <alignment vertical="center"/>
      <protection/>
    </xf>
    <xf numFmtId="3" fontId="14" fillId="0" borderId="23" xfId="111" applyNumberFormat="1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vertical="center" wrapText="1"/>
    </xf>
    <xf numFmtId="3" fontId="14" fillId="0" borderId="23" xfId="111" applyNumberFormat="1" applyFont="1" applyFill="1" applyBorder="1" applyAlignment="1">
      <alignment horizontal="left" vertical="center" wrapText="1"/>
      <protection/>
    </xf>
    <xf numFmtId="49" fontId="14" fillId="0" borderId="23" xfId="111" applyNumberFormat="1" applyFont="1" applyFill="1" applyBorder="1" applyAlignment="1">
      <alignment vertical="center" wrapText="1"/>
      <protection/>
    </xf>
    <xf numFmtId="49" fontId="14" fillId="0" borderId="23" xfId="111" applyNumberFormat="1" applyFont="1" applyFill="1" applyBorder="1" applyAlignment="1">
      <alignment horizontal="left" vertical="center" wrapText="1"/>
      <protection/>
    </xf>
    <xf numFmtId="49" fontId="14" fillId="0" borderId="23" xfId="111" applyNumberFormat="1" applyFont="1" applyBorder="1" applyAlignment="1">
      <alignment horizontal="left" vertical="center" wrapText="1"/>
      <protection/>
    </xf>
    <xf numFmtId="0" fontId="14" fillId="0" borderId="23" xfId="98" applyFont="1" applyFill="1" applyBorder="1" applyAlignment="1">
      <alignment horizontal="left" vertical="center"/>
      <protection/>
    </xf>
    <xf numFmtId="0" fontId="14" fillId="0" borderId="23" xfId="0" applyFont="1" applyBorder="1" applyAlignment="1">
      <alignment horizontal="left" wrapText="1"/>
    </xf>
    <xf numFmtId="0" fontId="14" fillId="0" borderId="23" xfId="0" applyFont="1" applyFill="1" applyBorder="1" applyAlignment="1">
      <alignment/>
    </xf>
    <xf numFmtId="0" fontId="9" fillId="0" borderId="23" xfId="120" applyFont="1" applyFill="1" applyBorder="1" applyAlignment="1">
      <alignment vertical="center" wrapText="1"/>
      <protection/>
    </xf>
    <xf numFmtId="3" fontId="42" fillId="0" borderId="23" xfId="0" applyNumberFormat="1" applyFont="1" applyFill="1" applyBorder="1" applyAlignment="1">
      <alignment horizontal="left" vertical="center" wrapText="1"/>
    </xf>
    <xf numFmtId="3" fontId="14" fillId="0" borderId="23" xfId="108" applyNumberFormat="1" applyFont="1" applyFill="1" applyBorder="1" applyAlignment="1">
      <alignment vertical="center" wrapText="1"/>
      <protection/>
    </xf>
    <xf numFmtId="0" fontId="14" fillId="24" borderId="23" xfId="98" applyFont="1" applyFill="1" applyBorder="1" applyAlignment="1">
      <alignment vertical="top" wrapText="1"/>
      <protection/>
    </xf>
    <xf numFmtId="0" fontId="9" fillId="4" borderId="23" xfId="120" applyFont="1" applyFill="1" applyBorder="1" applyAlignment="1">
      <alignment vertical="center" wrapText="1"/>
      <protection/>
    </xf>
    <xf numFmtId="3" fontId="13" fillId="4" borderId="15" xfId="120" applyNumberFormat="1" applyFont="1" applyFill="1" applyBorder="1" applyAlignment="1">
      <alignment vertical="center" wrapText="1"/>
      <protection/>
    </xf>
    <xf numFmtId="3" fontId="13" fillId="0" borderId="15" xfId="120" applyNumberFormat="1" applyFont="1" applyFill="1" applyBorder="1" applyAlignment="1">
      <alignment vertical="center" wrapText="1"/>
      <protection/>
    </xf>
    <xf numFmtId="3" fontId="14" fillId="0" borderId="15" xfId="120" applyNumberFormat="1" applyFont="1" applyFill="1" applyBorder="1" applyAlignment="1">
      <alignment vertical="center" wrapText="1"/>
      <protection/>
    </xf>
    <xf numFmtId="0" fontId="9" fillId="0" borderId="23" xfId="120" applyFont="1" applyFill="1" applyBorder="1" applyAlignment="1">
      <alignment horizontal="left" vertical="center"/>
      <protection/>
    </xf>
    <xf numFmtId="3" fontId="14" fillId="0" borderId="15" xfId="120" applyNumberFormat="1" applyFont="1" applyFill="1" applyBorder="1" applyAlignment="1">
      <alignment vertical="center" wrapText="1"/>
      <protection/>
    </xf>
    <xf numFmtId="3" fontId="9" fillId="4" borderId="15" xfId="120" applyNumberFormat="1" applyFont="1" applyFill="1" applyBorder="1" applyAlignment="1">
      <alignment vertical="center"/>
      <protection/>
    </xf>
    <xf numFmtId="0" fontId="8" fillId="24" borderId="15" xfId="120" applyNumberFormat="1" applyFont="1" applyFill="1" applyBorder="1" applyAlignment="1">
      <alignment horizontal="center" vertical="center"/>
      <protection/>
    </xf>
    <xf numFmtId="3" fontId="9" fillId="24" borderId="15" xfId="120" applyNumberFormat="1" applyFont="1" applyFill="1" applyBorder="1" applyAlignment="1">
      <alignment vertical="center"/>
      <protection/>
    </xf>
    <xf numFmtId="3" fontId="14" fillId="24" borderId="15" xfId="98" applyNumberFormat="1" applyFont="1" applyFill="1" applyBorder="1" applyAlignment="1">
      <alignment vertical="center"/>
      <protection/>
    </xf>
    <xf numFmtId="3" fontId="13" fillId="4" borderId="53" xfId="0" applyNumberFormat="1" applyFont="1" applyFill="1" applyBorder="1" applyAlignment="1">
      <alignment horizontal="center" vertical="center" wrapText="1"/>
    </xf>
    <xf numFmtId="0" fontId="13" fillId="4" borderId="53" xfId="113" applyFont="1" applyFill="1" applyBorder="1" applyAlignment="1">
      <alignment horizontal="center" vertical="center" wrapText="1"/>
      <protection/>
    </xf>
    <xf numFmtId="3" fontId="13" fillId="4" borderId="53" xfId="0" applyNumberFormat="1" applyFont="1" applyFill="1" applyBorder="1" applyAlignment="1">
      <alignment horizontal="centerContinuous" vertical="center" wrapText="1"/>
    </xf>
    <xf numFmtId="0" fontId="8" fillId="0" borderId="35" xfId="0" applyFont="1" applyFill="1" applyBorder="1" applyAlignment="1">
      <alignment horizontal="left" vertical="center" wrapText="1"/>
    </xf>
    <xf numFmtId="3" fontId="8" fillId="0" borderId="35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left" wrapText="1"/>
    </xf>
    <xf numFmtId="3" fontId="14" fillId="0" borderId="23" xfId="0" applyNumberFormat="1" applyFont="1" applyFill="1" applyBorder="1" applyAlignment="1">
      <alignment horizontal="left" vertical="center"/>
    </xf>
    <xf numFmtId="0" fontId="9" fillId="0" borderId="15" xfId="98" applyFont="1" applyFill="1" applyBorder="1" applyAlignment="1">
      <alignment horizontal="center" vertical="top" wrapText="1"/>
      <protection/>
    </xf>
    <xf numFmtId="0" fontId="14" fillId="0" borderId="23" xfId="98" applyFont="1" applyFill="1" applyBorder="1" applyAlignment="1">
      <alignment vertical="top" wrapText="1"/>
      <protection/>
    </xf>
    <xf numFmtId="3" fontId="17" fillId="0" borderId="23" xfId="0" applyNumberFormat="1" applyFont="1" applyBorder="1" applyAlignment="1">
      <alignment vertical="center"/>
    </xf>
    <xf numFmtId="49" fontId="0" fillId="0" borderId="23" xfId="0" applyNumberFormat="1" applyFont="1" applyFill="1" applyBorder="1" applyAlignment="1">
      <alignment horizontal="left" vertical="center" wrapText="1"/>
    </xf>
    <xf numFmtId="3" fontId="8" fillId="0" borderId="23" xfId="122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horizontal="left" vertical="center"/>
    </xf>
    <xf numFmtId="3" fontId="14" fillId="24" borderId="23" xfId="0" applyNumberFormat="1" applyFont="1" applyFill="1" applyBorder="1" applyAlignment="1">
      <alignment vertical="center"/>
    </xf>
    <xf numFmtId="3" fontId="14" fillId="24" borderId="24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left" vertical="center"/>
    </xf>
    <xf numFmtId="0" fontId="14" fillId="0" borderId="22" xfId="0" applyFont="1" applyBorder="1" applyAlignment="1">
      <alignment vertical="center" wrapText="1"/>
    </xf>
    <xf numFmtId="0" fontId="14" fillId="0" borderId="24" xfId="0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left" vertical="center"/>
    </xf>
    <xf numFmtId="3" fontId="59" fillId="0" borderId="0" xfId="0" applyNumberFormat="1" applyFont="1" applyBorder="1" applyAlignment="1">
      <alignment vertical="center"/>
    </xf>
    <xf numFmtId="0" fontId="8" fillId="0" borderId="0" xfId="98" applyFont="1" applyAlignment="1">
      <alignment vertical="center"/>
      <protection/>
    </xf>
    <xf numFmtId="3" fontId="9" fillId="0" borderId="15" xfId="116" applyNumberFormat="1" applyFont="1" applyBorder="1" applyAlignment="1">
      <alignment vertical="center"/>
      <protection/>
    </xf>
    <xf numFmtId="3" fontId="8" fillId="0" borderId="15" xfId="68" applyNumberFormat="1" applyFont="1" applyBorder="1" applyAlignment="1">
      <alignment vertical="center"/>
    </xf>
    <xf numFmtId="3" fontId="8" fillId="25" borderId="15" xfId="68" applyNumberFormat="1" applyFont="1" applyFill="1" applyBorder="1" applyAlignment="1">
      <alignment vertical="center"/>
    </xf>
    <xf numFmtId="3" fontId="9" fillId="4" borderId="15" xfId="116" applyNumberFormat="1" applyFont="1" applyFill="1" applyBorder="1" applyAlignment="1">
      <alignment vertical="center"/>
      <protection/>
    </xf>
    <xf numFmtId="3" fontId="9" fillId="4" borderId="15" xfId="68" applyNumberFormat="1" applyFont="1" applyFill="1" applyBorder="1" applyAlignment="1">
      <alignment vertical="center"/>
    </xf>
    <xf numFmtId="3" fontId="8" fillId="0" borderId="23" xfId="116" applyNumberFormat="1" applyFont="1" applyBorder="1" applyAlignment="1">
      <alignment vertical="center" wrapText="1"/>
      <protection/>
    </xf>
    <xf numFmtId="3" fontId="8" fillId="0" borderId="35" xfId="116" applyNumberFormat="1" applyFont="1" applyBorder="1" applyAlignment="1">
      <alignment vertical="center" wrapText="1"/>
      <protection/>
    </xf>
    <xf numFmtId="3" fontId="8" fillId="0" borderId="15" xfId="116" applyNumberFormat="1" applyFont="1" applyBorder="1" applyAlignment="1">
      <alignment vertical="center" wrapText="1"/>
      <protection/>
    </xf>
    <xf numFmtId="3" fontId="8" fillId="0" borderId="24" xfId="68" applyNumberFormat="1" applyFont="1" applyBorder="1" applyAlignment="1">
      <alignment vertical="center"/>
    </xf>
    <xf numFmtId="3" fontId="9" fillId="0" borderId="15" xfId="116" applyNumberFormat="1" applyFont="1" applyFill="1" applyBorder="1" applyAlignment="1">
      <alignment vertical="center"/>
      <protection/>
    </xf>
    <xf numFmtId="3" fontId="9" fillId="0" borderId="15" xfId="68" applyNumberFormat="1" applyFont="1" applyFill="1" applyBorder="1" applyAlignment="1">
      <alignment vertical="center"/>
    </xf>
    <xf numFmtId="3" fontId="8" fillId="0" borderId="15" xfId="116" applyNumberFormat="1" applyFont="1" applyFill="1" applyBorder="1" applyAlignment="1">
      <alignment vertical="center"/>
      <protection/>
    </xf>
    <xf numFmtId="3" fontId="8" fillId="0" borderId="15" xfId="68" applyNumberFormat="1" applyFont="1" applyFill="1" applyBorder="1" applyAlignment="1">
      <alignment vertical="center"/>
    </xf>
    <xf numFmtId="3" fontId="9" fillId="4" borderId="15" xfId="93" applyNumberFormat="1" applyFont="1" applyFill="1" applyBorder="1" applyAlignment="1">
      <alignment vertical="center" wrapText="1"/>
      <protection/>
    </xf>
    <xf numFmtId="3" fontId="8" fillId="0" borderId="23" xfId="122" applyNumberFormat="1" applyFont="1" applyFill="1" applyBorder="1" applyAlignment="1">
      <alignment horizontal="left" vertical="center" wrapText="1"/>
      <protection/>
    </xf>
    <xf numFmtId="3" fontId="8" fillId="0" borderId="15" xfId="97" applyNumberFormat="1" applyFont="1" applyBorder="1" applyAlignment="1">
      <alignment vertical="center" wrapText="1"/>
      <protection/>
    </xf>
    <xf numFmtId="49" fontId="8" fillId="0" borderId="22" xfId="0" applyNumberFormat="1" applyFont="1" applyFill="1" applyBorder="1" applyAlignment="1">
      <alignment horizontal="left" vertical="top" wrapText="1"/>
    </xf>
    <xf numFmtId="3" fontId="14" fillId="0" borderId="15" xfId="118" applyNumberFormat="1" applyFont="1" applyFill="1" applyBorder="1" applyAlignment="1">
      <alignment vertical="center" wrapText="1"/>
      <protection/>
    </xf>
    <xf numFmtId="0" fontId="5" fillId="0" borderId="15" xfId="97" applyBorder="1" applyAlignment="1">
      <alignment vertical="center"/>
      <protection/>
    </xf>
    <xf numFmtId="3" fontId="8" fillId="0" borderId="15" xfId="0" applyNumberFormat="1" applyFont="1" applyFill="1" applyBorder="1" applyAlignment="1">
      <alignment vertical="center"/>
    </xf>
    <xf numFmtId="3" fontId="8" fillId="24" borderId="15" xfId="120" applyNumberFormat="1" applyFont="1" applyFill="1" applyBorder="1" applyAlignment="1">
      <alignment vertical="center"/>
      <protection/>
    </xf>
    <xf numFmtId="0" fontId="8" fillId="0" borderId="15" xfId="113" applyFont="1" applyFill="1" applyBorder="1" applyAlignment="1">
      <alignment vertical="center" wrapText="1"/>
      <protection/>
    </xf>
    <xf numFmtId="3" fontId="8" fillId="0" borderId="15" xfId="122" applyNumberFormat="1" applyFont="1" applyFill="1" applyBorder="1" applyAlignment="1">
      <alignment horizontal="right" vertical="center" wrapText="1"/>
      <protection/>
    </xf>
    <xf numFmtId="3" fontId="8" fillId="0" borderId="15" xfId="122" applyNumberFormat="1" applyFont="1" applyBorder="1" applyAlignment="1">
      <alignment horizontal="right" vertical="center" wrapText="1"/>
      <protection/>
    </xf>
    <xf numFmtId="0" fontId="65" fillId="28" borderId="54" xfId="104" applyFont="1" applyFill="1" applyBorder="1" applyAlignment="1">
      <alignment vertical="center"/>
      <protection/>
    </xf>
    <xf numFmtId="0" fontId="61" fillId="28" borderId="55" xfId="104" applyFont="1" applyFill="1" applyBorder="1" applyAlignment="1">
      <alignment horizontal="center" vertical="top"/>
      <protection/>
    </xf>
    <xf numFmtId="3" fontId="61" fillId="28" borderId="56" xfId="104" applyNumberFormat="1" applyFont="1" applyFill="1" applyBorder="1" applyAlignment="1">
      <alignment horizontal="center" vertical="center" wrapText="1"/>
      <protection/>
    </xf>
    <xf numFmtId="3" fontId="61" fillId="28" borderId="57" xfId="104" applyNumberFormat="1" applyFont="1" applyFill="1" applyBorder="1" applyAlignment="1">
      <alignment horizontal="center" vertical="center" wrapText="1"/>
      <protection/>
    </xf>
    <xf numFmtId="3" fontId="61" fillId="28" borderId="58" xfId="104" applyNumberFormat="1" applyFont="1" applyFill="1" applyBorder="1" applyAlignment="1">
      <alignment horizontal="center" vertical="center" wrapText="1"/>
      <protection/>
    </xf>
    <xf numFmtId="0" fontId="60" fillId="0" borderId="59" xfId="104" applyFont="1" applyBorder="1" applyAlignment="1">
      <alignment vertical="center"/>
      <protection/>
    </xf>
    <xf numFmtId="3" fontId="65" fillId="0" borderId="59" xfId="104" applyNumberFormat="1" applyFont="1" applyFill="1" applyBorder="1" applyAlignment="1">
      <alignment vertical="center"/>
      <protection/>
    </xf>
    <xf numFmtId="0" fontId="65" fillId="0" borderId="59" xfId="104" applyFont="1" applyBorder="1" applyAlignment="1">
      <alignment vertical="center"/>
      <protection/>
    </xf>
    <xf numFmtId="4" fontId="65" fillId="0" borderId="59" xfId="104" applyNumberFormat="1" applyFont="1" applyFill="1" applyBorder="1" applyAlignment="1">
      <alignment vertical="center"/>
      <protection/>
    </xf>
    <xf numFmtId="0" fontId="65" fillId="0" borderId="59" xfId="104" applyFont="1" applyBorder="1" applyAlignment="1">
      <alignment vertical="center" wrapText="1"/>
      <protection/>
    </xf>
    <xf numFmtId="0" fontId="65" fillId="0" borderId="60" xfId="104" applyFont="1" applyBorder="1" applyAlignment="1">
      <alignment vertical="center"/>
      <protection/>
    </xf>
    <xf numFmtId="3" fontId="65" fillId="0" borderId="59" xfId="104" applyNumberFormat="1" applyFont="1" applyBorder="1" applyAlignment="1">
      <alignment vertical="center"/>
      <protection/>
    </xf>
    <xf numFmtId="3" fontId="65" fillId="0" borderId="59" xfId="104" applyNumberFormat="1" applyFont="1" applyBorder="1" applyAlignment="1">
      <alignment horizontal="right" vertical="center"/>
      <protection/>
    </xf>
    <xf numFmtId="0" fontId="66" fillId="0" borderId="59" xfId="104" applyFont="1" applyBorder="1" applyAlignment="1">
      <alignment vertical="center"/>
      <protection/>
    </xf>
    <xf numFmtId="0" fontId="66" fillId="0" borderId="59" xfId="104" applyFont="1" applyFill="1" applyBorder="1" applyAlignment="1">
      <alignment vertical="center"/>
      <protection/>
    </xf>
    <xf numFmtId="179" fontId="65" fillId="0" borderId="59" xfId="104" applyNumberFormat="1" applyFont="1" applyBorder="1" applyAlignment="1">
      <alignment vertical="center"/>
      <protection/>
    </xf>
    <xf numFmtId="0" fontId="60" fillId="0" borderId="59" xfId="104" applyFont="1" applyBorder="1" applyAlignment="1">
      <alignment vertical="center" wrapText="1"/>
      <protection/>
    </xf>
    <xf numFmtId="3" fontId="65" fillId="0" borderId="59" xfId="104" applyNumberFormat="1" applyFont="1" applyFill="1" applyBorder="1" applyAlignment="1">
      <alignment horizontal="right" vertical="center"/>
      <protection/>
    </xf>
    <xf numFmtId="0" fontId="65" fillId="0" borderId="59" xfId="104" applyFont="1" applyFill="1" applyBorder="1" applyAlignment="1">
      <alignment vertical="center"/>
      <protection/>
    </xf>
    <xf numFmtId="0" fontId="60" fillId="0" borderId="59" xfId="104" applyFont="1" applyFill="1" applyBorder="1" applyAlignment="1">
      <alignment vertical="center"/>
      <protection/>
    </xf>
    <xf numFmtId="3" fontId="61" fillId="0" borderId="59" xfId="104" applyNumberFormat="1" applyFont="1" applyBorder="1" applyAlignment="1">
      <alignment vertical="center"/>
      <protection/>
    </xf>
    <xf numFmtId="3" fontId="61" fillId="0" borderId="59" xfId="104" applyNumberFormat="1" applyFont="1" applyFill="1" applyBorder="1" applyAlignment="1">
      <alignment vertical="center"/>
      <protection/>
    </xf>
    <xf numFmtId="179" fontId="65" fillId="0" borderId="59" xfId="104" applyNumberFormat="1" applyFont="1" applyFill="1" applyBorder="1" applyAlignment="1">
      <alignment vertical="center"/>
      <protection/>
    </xf>
    <xf numFmtId="0" fontId="61" fillId="28" borderId="59" xfId="104" applyFont="1" applyFill="1" applyBorder="1" applyAlignment="1">
      <alignment vertical="center"/>
      <protection/>
    </xf>
    <xf numFmtId="3" fontId="61" fillId="28" borderId="59" xfId="104" applyNumberFormat="1" applyFont="1" applyFill="1" applyBorder="1" applyAlignment="1">
      <alignment vertical="center"/>
      <protection/>
    </xf>
    <xf numFmtId="0" fontId="8" fillId="0" borderId="15" xfId="97" applyFont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8" fillId="0" borderId="24" xfId="122" applyNumberFormat="1" applyFont="1" applyFill="1" applyBorder="1" applyAlignment="1">
      <alignment horizontal="center" vertical="center"/>
      <protection/>
    </xf>
    <xf numFmtId="3" fontId="14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3" fontId="14" fillId="24" borderId="24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63" fillId="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3" fontId="13" fillId="4" borderId="24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8" fillId="0" borderId="15" xfId="93" applyFont="1" applyFill="1" applyBorder="1" applyAlignment="1">
      <alignment horizontal="left" vertical="center" wrapText="1"/>
      <protection/>
    </xf>
    <xf numFmtId="3" fontId="8" fillId="0" borderId="23" xfId="0" applyNumberFormat="1" applyFont="1" applyFill="1" applyBorder="1" applyAlignment="1">
      <alignment horizontal="left" vertical="center"/>
    </xf>
    <xf numFmtId="0" fontId="41" fillId="0" borderId="15" xfId="113" applyFont="1" applyFill="1" applyBorder="1" applyAlignment="1">
      <alignment vertical="center" wrapText="1"/>
      <protection/>
    </xf>
    <xf numFmtId="3" fontId="41" fillId="0" borderId="35" xfId="0" applyNumberFormat="1" applyFont="1" applyFill="1" applyBorder="1" applyAlignment="1">
      <alignment horizontal="right" vertical="center" wrapText="1"/>
    </xf>
    <xf numFmtId="3" fontId="41" fillId="0" borderId="15" xfId="116" applyNumberFormat="1" applyFont="1" applyFill="1" applyBorder="1" applyAlignment="1">
      <alignment horizontal="right" vertical="center"/>
      <protection/>
    </xf>
    <xf numFmtId="0" fontId="9" fillId="24" borderId="15" xfId="98" applyFont="1" applyFill="1" applyBorder="1" applyAlignment="1">
      <alignment vertical="center"/>
      <protection/>
    </xf>
    <xf numFmtId="3" fontId="8" fillId="0" borderId="15" xfId="0" applyNumberFormat="1" applyFont="1" applyFill="1" applyBorder="1" applyAlignment="1">
      <alignment horizontal="left" vertical="center" wrapText="1"/>
    </xf>
    <xf numFmtId="0" fontId="8" fillId="0" borderId="15" xfId="98" applyFont="1" applyFill="1" applyBorder="1" applyAlignment="1">
      <alignment vertical="center"/>
      <protection/>
    </xf>
    <xf numFmtId="0" fontId="8" fillId="24" borderId="15" xfId="98" applyFont="1" applyFill="1" applyBorder="1" applyAlignment="1">
      <alignment vertical="top"/>
      <protection/>
    </xf>
    <xf numFmtId="0" fontId="5" fillId="0" borderId="15" xfId="98" applyFont="1" applyBorder="1">
      <alignment/>
      <protection/>
    </xf>
    <xf numFmtId="0" fontId="9" fillId="4" borderId="15" xfId="98" applyFont="1" applyFill="1" applyBorder="1" applyAlignment="1">
      <alignment vertical="center"/>
      <protection/>
    </xf>
    <xf numFmtId="0" fontId="9" fillId="0" borderId="15" xfId="98" applyFont="1" applyFill="1" applyBorder="1" applyAlignment="1">
      <alignment horizontal="left" vertical="center"/>
      <protection/>
    </xf>
    <xf numFmtId="0" fontId="8" fillId="0" borderId="15" xfId="98" applyFont="1" applyFill="1" applyBorder="1" applyAlignment="1">
      <alignment horizontal="left" vertical="center"/>
      <protection/>
    </xf>
    <xf numFmtId="0" fontId="8" fillId="0" borderId="15" xfId="120" applyFont="1" applyFill="1" applyBorder="1" applyAlignment="1">
      <alignment vertical="center"/>
      <protection/>
    </xf>
    <xf numFmtId="0" fontId="8" fillId="0" borderId="15" xfId="98" applyFont="1" applyBorder="1" applyAlignment="1">
      <alignment vertical="center"/>
      <protection/>
    </xf>
    <xf numFmtId="0" fontId="8" fillId="4" borderId="15" xfId="98" applyFont="1" applyFill="1" applyBorder="1" applyAlignment="1">
      <alignment horizontal="left" vertical="center"/>
      <protection/>
    </xf>
    <xf numFmtId="0" fontId="8" fillId="24" borderId="15" xfId="98" applyFont="1" applyFill="1" applyBorder="1" applyAlignment="1">
      <alignment horizontal="left" vertical="center"/>
      <protection/>
    </xf>
    <xf numFmtId="0" fontId="8" fillId="24" borderId="15" xfId="98" applyFont="1" applyFill="1" applyBorder="1" applyAlignment="1">
      <alignment vertical="center"/>
      <protection/>
    </xf>
    <xf numFmtId="0" fontId="8" fillId="0" borderId="15" xfId="98" applyFont="1" applyFill="1" applyBorder="1" applyAlignment="1">
      <alignment vertical="top"/>
      <protection/>
    </xf>
    <xf numFmtId="0" fontId="8" fillId="24" borderId="15" xfId="98" applyFont="1" applyFill="1" applyBorder="1" applyAlignment="1">
      <alignment horizontal="center" vertical="top"/>
      <protection/>
    </xf>
    <xf numFmtId="0" fontId="8" fillId="24" borderId="15" xfId="98" applyFont="1" applyFill="1" applyBorder="1" applyAlignment="1">
      <alignment horizontal="left" vertical="top"/>
      <protection/>
    </xf>
    <xf numFmtId="0" fontId="8" fillId="4" borderId="15" xfId="98" applyFont="1" applyFill="1" applyBorder="1" applyAlignment="1">
      <alignment vertical="center"/>
      <protection/>
    </xf>
    <xf numFmtId="0" fontId="8" fillId="0" borderId="35" xfId="98" applyFont="1" applyFill="1" applyBorder="1" applyAlignment="1">
      <alignment vertical="top" wrapText="1"/>
      <protection/>
    </xf>
    <xf numFmtId="0" fontId="9" fillId="0" borderId="61" xfId="98" applyFont="1" applyFill="1" applyBorder="1" applyAlignment="1">
      <alignment horizontal="left" vertical="top"/>
      <protection/>
    </xf>
    <xf numFmtId="0" fontId="9" fillId="0" borderId="22" xfId="98" applyFont="1" applyFill="1" applyBorder="1" applyAlignment="1">
      <alignment horizontal="left" vertical="top"/>
      <protection/>
    </xf>
    <xf numFmtId="0" fontId="0" fillId="0" borderId="61" xfId="0" applyBorder="1" applyAlignment="1">
      <alignment horizontal="center"/>
    </xf>
    <xf numFmtId="0" fontId="8" fillId="0" borderId="35" xfId="98" applyFont="1" applyFill="1" applyBorder="1" applyAlignment="1">
      <alignment horizontal="left" vertical="center" wrapText="1"/>
      <protection/>
    </xf>
    <xf numFmtId="0" fontId="9" fillId="4" borderId="30" xfId="98" applyFont="1" applyFill="1" applyBorder="1" applyAlignment="1">
      <alignment horizontal="center" vertical="top"/>
      <protection/>
    </xf>
    <xf numFmtId="0" fontId="9" fillId="4" borderId="30" xfId="98" applyFont="1" applyFill="1" applyBorder="1" applyAlignment="1">
      <alignment horizontal="center" vertical="center" wrapText="1"/>
      <protection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3" fillId="0" borderId="62" xfId="120" applyFont="1" applyFill="1" applyBorder="1" applyAlignment="1">
      <alignment vertical="center"/>
      <protection/>
    </xf>
    <xf numFmtId="0" fontId="13" fillId="4" borderId="21" xfId="120" applyFont="1" applyFill="1" applyBorder="1" applyAlignment="1">
      <alignment vertical="center"/>
      <protection/>
    </xf>
    <xf numFmtId="0" fontId="13" fillId="24" borderId="21" xfId="120" applyFont="1" applyFill="1" applyBorder="1" applyAlignment="1">
      <alignment vertical="center"/>
      <protection/>
    </xf>
    <xf numFmtId="0" fontId="9" fillId="4" borderId="21" xfId="120" applyFont="1" applyFill="1" applyBorder="1" applyAlignment="1">
      <alignment vertical="center" wrapText="1"/>
      <protection/>
    </xf>
    <xf numFmtId="0" fontId="9" fillId="0" borderId="21" xfId="120" applyFont="1" applyFill="1" applyBorder="1" applyAlignment="1">
      <alignment vertical="center" wrapText="1"/>
      <protection/>
    </xf>
    <xf numFmtId="0" fontId="8" fillId="0" borderId="21" xfId="120" applyFont="1" applyFill="1" applyBorder="1" applyAlignment="1">
      <alignment vertical="center" wrapText="1"/>
      <protection/>
    </xf>
    <xf numFmtId="0" fontId="9" fillId="0" borderId="21" xfId="120" applyFont="1" applyBorder="1" applyAlignment="1">
      <alignment vertical="center"/>
      <protection/>
    </xf>
    <xf numFmtId="0" fontId="8" fillId="0" borderId="21" xfId="120" applyFont="1" applyBorder="1" applyAlignment="1">
      <alignment vertical="center"/>
      <protection/>
    </xf>
    <xf numFmtId="0" fontId="9" fillId="4" borderId="21" xfId="120" applyFont="1" applyFill="1" applyBorder="1" applyAlignment="1">
      <alignment vertical="center"/>
      <protection/>
    </xf>
    <xf numFmtId="0" fontId="8" fillId="24" borderId="21" xfId="120" applyFont="1" applyFill="1" applyBorder="1" applyAlignment="1">
      <alignment vertical="center"/>
      <protection/>
    </xf>
    <xf numFmtId="0" fontId="14" fillId="24" borderId="15" xfId="120" applyFont="1" applyFill="1" applyBorder="1" applyAlignment="1">
      <alignment vertical="center"/>
      <protection/>
    </xf>
    <xf numFmtId="0" fontId="14" fillId="4" borderId="15" xfId="120" applyFont="1" applyFill="1" applyBorder="1" applyAlignment="1">
      <alignment vertical="center"/>
      <protection/>
    </xf>
    <xf numFmtId="0" fontId="8" fillId="4" borderId="15" xfId="120" applyFont="1" applyFill="1" applyBorder="1" applyAlignment="1">
      <alignment vertical="center" wrapText="1"/>
      <protection/>
    </xf>
    <xf numFmtId="0" fontId="8" fillId="0" borderId="15" xfId="120" applyFont="1" applyFill="1" applyBorder="1" applyAlignment="1">
      <alignment vertical="center" wrapText="1"/>
      <protection/>
    </xf>
    <xf numFmtId="0" fontId="8" fillId="0" borderId="15" xfId="120" applyFont="1" applyBorder="1" applyAlignment="1">
      <alignment vertical="center"/>
      <protection/>
    </xf>
    <xf numFmtId="0" fontId="9" fillId="4" borderId="15" xfId="120" applyFont="1" applyFill="1" applyBorder="1" applyAlignment="1">
      <alignment vertical="center"/>
      <protection/>
    </xf>
    <xf numFmtId="0" fontId="8" fillId="24" borderId="15" xfId="120" applyFont="1" applyFill="1" applyBorder="1" applyAlignment="1">
      <alignment vertical="center"/>
      <protection/>
    </xf>
    <xf numFmtId="0" fontId="14" fillId="0" borderId="35" xfId="120" applyFont="1" applyBorder="1" applyAlignment="1">
      <alignment horizontal="center" vertical="center"/>
      <protection/>
    </xf>
    <xf numFmtId="0" fontId="9" fillId="0" borderId="61" xfId="120" applyFont="1" applyBorder="1" applyAlignment="1">
      <alignment vertical="center"/>
      <protection/>
    </xf>
    <xf numFmtId="0" fontId="14" fillId="0" borderId="35" xfId="120" applyFont="1" applyBorder="1" applyAlignment="1">
      <alignment vertical="center"/>
      <protection/>
    </xf>
    <xf numFmtId="3" fontId="8" fillId="0" borderId="35" xfId="98" applyNumberFormat="1" applyFont="1" applyFill="1" applyBorder="1" applyAlignment="1">
      <alignment vertical="center"/>
      <protection/>
    </xf>
    <xf numFmtId="3" fontId="8" fillId="0" borderId="61" xfId="98" applyNumberFormat="1" applyFont="1" applyFill="1" applyBorder="1" applyAlignment="1">
      <alignment vertical="center"/>
      <protection/>
    </xf>
    <xf numFmtId="0" fontId="13" fillId="4" borderId="29" xfId="120" applyFont="1" applyFill="1" applyBorder="1" applyAlignment="1">
      <alignment horizontal="center" vertical="top"/>
      <protection/>
    </xf>
    <xf numFmtId="0" fontId="9" fillId="4" borderId="11" xfId="116" applyFont="1" applyFill="1" applyBorder="1" applyAlignment="1">
      <alignment horizontal="center" vertical="center" wrapText="1"/>
      <protection/>
    </xf>
    <xf numFmtId="3" fontId="8" fillId="0" borderId="24" xfId="122" applyNumberFormat="1" applyFont="1" applyFill="1" applyBorder="1" applyAlignment="1">
      <alignment horizontal="left" vertical="center"/>
      <protection/>
    </xf>
    <xf numFmtId="0" fontId="9" fillId="4" borderId="10" xfId="116" applyFont="1" applyFill="1" applyBorder="1" applyAlignment="1">
      <alignment horizontal="center" vertical="center" wrapText="1"/>
      <protection/>
    </xf>
    <xf numFmtId="2" fontId="9" fillId="4" borderId="11" xfId="116" applyNumberFormat="1" applyFont="1" applyFill="1" applyBorder="1" applyAlignment="1">
      <alignment horizontal="center" vertical="center" wrapText="1"/>
      <protection/>
    </xf>
    <xf numFmtId="3" fontId="9" fillId="4" borderId="11" xfId="116" applyNumberFormat="1" applyFont="1" applyFill="1" applyBorder="1" applyAlignment="1">
      <alignment horizontal="center" vertical="center" wrapText="1"/>
      <protection/>
    </xf>
    <xf numFmtId="0" fontId="5" fillId="0" borderId="15" xfId="116" applyFont="1" applyBorder="1">
      <alignment/>
      <protection/>
    </xf>
    <xf numFmtId="0" fontId="5" fillId="0" borderId="0" xfId="116" applyFont="1">
      <alignment/>
      <protection/>
    </xf>
    <xf numFmtId="0" fontId="5" fillId="0" borderId="0" xfId="116">
      <alignment/>
      <protection/>
    </xf>
    <xf numFmtId="0" fontId="40" fillId="0" borderId="0" xfId="112">
      <alignment/>
      <protection/>
    </xf>
    <xf numFmtId="0" fontId="0" fillId="0" borderId="15" xfId="115" applyFill="1" applyBorder="1" applyAlignment="1">
      <alignment horizontal="center" vertical="center" wrapText="1"/>
      <protection/>
    </xf>
    <xf numFmtId="0" fontId="8" fillId="0" borderId="15" xfId="115" applyFont="1" applyFill="1" applyBorder="1" applyAlignment="1">
      <alignment horizontal="left" vertical="center" wrapText="1"/>
      <protection/>
    </xf>
    <xf numFmtId="175" fontId="8" fillId="0" borderId="15" xfId="116" applyNumberFormat="1" applyFont="1" applyBorder="1" applyAlignment="1">
      <alignment vertical="center"/>
      <protection/>
    </xf>
    <xf numFmtId="2" fontId="8" fillId="0" borderId="15" xfId="116" applyNumberFormat="1" applyFont="1" applyBorder="1" applyAlignment="1">
      <alignment vertical="center"/>
      <protection/>
    </xf>
    <xf numFmtId="0" fontId="5" fillId="0" borderId="15" xfId="116" applyBorder="1" applyAlignment="1">
      <alignment vertical="center"/>
      <protection/>
    </xf>
    <xf numFmtId="0" fontId="5" fillId="0" borderId="0" xfId="116" applyAlignment="1">
      <alignment vertical="center"/>
      <protection/>
    </xf>
    <xf numFmtId="179" fontId="8" fillId="0" borderId="15" xfId="116" applyNumberFormat="1" applyFont="1" applyBorder="1" applyAlignment="1">
      <alignment vertical="center"/>
      <protection/>
    </xf>
    <xf numFmtId="175" fontId="67" fillId="0" borderId="15" xfId="116" applyNumberFormat="1" applyFont="1" applyBorder="1" applyAlignment="1">
      <alignment vertical="center"/>
      <protection/>
    </xf>
    <xf numFmtId="0" fontId="5" fillId="0" borderId="0" xfId="116" applyFont="1" applyAlignment="1">
      <alignment vertical="center"/>
      <protection/>
    </xf>
    <xf numFmtId="0" fontId="2" fillId="0" borderId="15" xfId="115" applyFont="1" applyFill="1" applyBorder="1" applyAlignment="1">
      <alignment horizontal="center" vertical="center" wrapText="1"/>
      <protection/>
    </xf>
    <xf numFmtId="175" fontId="41" fillId="0" borderId="15" xfId="116" applyNumberFormat="1" applyFont="1" applyBorder="1" applyAlignment="1">
      <alignment vertical="center"/>
      <protection/>
    </xf>
    <xf numFmtId="0" fontId="41" fillId="0" borderId="15" xfId="116" applyFont="1" applyBorder="1" applyAlignment="1">
      <alignment vertical="center"/>
      <protection/>
    </xf>
    <xf numFmtId="179" fontId="41" fillId="0" borderId="15" xfId="116" applyNumberFormat="1" applyFont="1" applyBorder="1" applyAlignment="1">
      <alignment vertical="center"/>
      <protection/>
    </xf>
    <xf numFmtId="0" fontId="68" fillId="0" borderId="0" xfId="116" applyFont="1" applyAlignment="1">
      <alignment vertical="center"/>
      <protection/>
    </xf>
    <xf numFmtId="0" fontId="69" fillId="0" borderId="0" xfId="112" applyFont="1">
      <alignment/>
      <protection/>
    </xf>
    <xf numFmtId="49" fontId="5" fillId="0" borderId="0" xfId="116" applyNumberFormat="1" applyFont="1" applyAlignment="1">
      <alignment horizontal="right" vertical="center"/>
      <protection/>
    </xf>
    <xf numFmtId="179" fontId="5" fillId="0" borderId="0" xfId="116" applyNumberFormat="1" applyAlignment="1">
      <alignment vertical="center"/>
      <protection/>
    </xf>
    <xf numFmtId="0" fontId="5" fillId="0" borderId="0" xfId="116" applyFont="1" applyAlignment="1">
      <alignment horizontal="right" vertical="center"/>
      <protection/>
    </xf>
    <xf numFmtId="175" fontId="41" fillId="0" borderId="15" xfId="116" applyNumberFormat="1" applyFont="1" applyBorder="1">
      <alignment/>
      <protection/>
    </xf>
    <xf numFmtId="0" fontId="41" fillId="0" borderId="15" xfId="116" applyFont="1" applyBorder="1">
      <alignment/>
      <protection/>
    </xf>
    <xf numFmtId="179" fontId="41" fillId="0" borderId="15" xfId="116" applyNumberFormat="1" applyFont="1" applyBorder="1">
      <alignment/>
      <protection/>
    </xf>
    <xf numFmtId="0" fontId="5" fillId="0" borderId="15" xfId="116" applyBorder="1">
      <alignment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175" fontId="8" fillId="0" borderId="15" xfId="116" applyNumberFormat="1" applyFont="1" applyBorder="1">
      <alignment/>
      <protection/>
    </xf>
    <xf numFmtId="0" fontId="8" fillId="0" borderId="15" xfId="116" applyFont="1" applyBorder="1">
      <alignment/>
      <protection/>
    </xf>
    <xf numFmtId="179" fontId="8" fillId="0" borderId="15" xfId="116" applyNumberFormat="1" applyFont="1" applyBorder="1">
      <alignment/>
      <protection/>
    </xf>
    <xf numFmtId="49" fontId="16" fillId="0" borderId="15" xfId="113" applyNumberFormat="1" applyFont="1" applyFill="1" applyBorder="1" applyAlignment="1">
      <alignment horizontal="center" vertical="center"/>
      <protection/>
    </xf>
    <xf numFmtId="2" fontId="8" fillId="0" borderId="15" xfId="116" applyNumberFormat="1" applyFont="1" applyBorder="1">
      <alignment/>
      <protection/>
    </xf>
    <xf numFmtId="0" fontId="60" fillId="4" borderId="15" xfId="113" applyFont="1" applyFill="1" applyBorder="1" applyAlignment="1">
      <alignment horizontal="center" vertical="center"/>
      <protection/>
    </xf>
    <xf numFmtId="0" fontId="61" fillId="4" borderId="15" xfId="113" applyFont="1" applyFill="1" applyBorder="1" applyAlignment="1">
      <alignment vertical="center"/>
      <protection/>
    </xf>
    <xf numFmtId="175" fontId="61" fillId="4" borderId="15" xfId="116" applyNumberFormat="1" applyFont="1" applyFill="1" applyBorder="1">
      <alignment/>
      <protection/>
    </xf>
    <xf numFmtId="2" fontId="61" fillId="0" borderId="0" xfId="116" applyNumberFormat="1" applyFont="1" applyFill="1" applyBorder="1">
      <alignment/>
      <protection/>
    </xf>
    <xf numFmtId="0" fontId="0" fillId="0" borderId="0" xfId="115">
      <alignment/>
      <protection/>
    </xf>
    <xf numFmtId="2" fontId="5" fillId="0" borderId="15" xfId="116" applyNumberFormat="1" applyBorder="1">
      <alignment/>
      <protection/>
    </xf>
    <xf numFmtId="3" fontId="5" fillId="0" borderId="15" xfId="116" applyNumberFormat="1" applyBorder="1">
      <alignment/>
      <protection/>
    </xf>
    <xf numFmtId="175" fontId="5" fillId="0" borderId="15" xfId="116" applyNumberFormat="1" applyBorder="1">
      <alignment/>
      <protection/>
    </xf>
    <xf numFmtId="3" fontId="5" fillId="0" borderId="23" xfId="116" applyNumberFormat="1" applyBorder="1">
      <alignment/>
      <protection/>
    </xf>
    <xf numFmtId="0" fontId="5" fillId="4" borderId="15" xfId="116" applyFill="1" applyBorder="1">
      <alignment/>
      <protection/>
    </xf>
    <xf numFmtId="0" fontId="5" fillId="4" borderId="15" xfId="116" applyFont="1" applyFill="1" applyBorder="1">
      <alignment/>
      <protection/>
    </xf>
    <xf numFmtId="2" fontId="5" fillId="4" borderId="15" xfId="116" applyNumberFormat="1" applyFill="1" applyBorder="1">
      <alignment/>
      <protection/>
    </xf>
    <xf numFmtId="3" fontId="5" fillId="4" borderId="15" xfId="116" applyNumberFormat="1" applyFill="1" applyBorder="1">
      <alignment/>
      <protection/>
    </xf>
    <xf numFmtId="175" fontId="5" fillId="4" borderId="15" xfId="116" applyNumberFormat="1" applyFill="1" applyBorder="1">
      <alignment/>
      <protection/>
    </xf>
    <xf numFmtId="3" fontId="5" fillId="4" borderId="23" xfId="116" applyNumberFormat="1" applyFill="1" applyBorder="1">
      <alignment/>
      <protection/>
    </xf>
    <xf numFmtId="2" fontId="5" fillId="0" borderId="0" xfId="116" applyNumberFormat="1">
      <alignment/>
      <protection/>
    </xf>
    <xf numFmtId="3" fontId="5" fillId="0" borderId="0" xfId="116" applyNumberFormat="1">
      <alignment/>
      <protection/>
    </xf>
    <xf numFmtId="175" fontId="5" fillId="0" borderId="0" xfId="116" applyNumberFormat="1">
      <alignment/>
      <protection/>
    </xf>
    <xf numFmtId="3" fontId="0" fillId="0" borderId="0" xfId="115" applyNumberFormat="1">
      <alignment/>
      <protection/>
    </xf>
    <xf numFmtId="3" fontId="40" fillId="0" borderId="0" xfId="112" applyNumberFormat="1">
      <alignment/>
      <protection/>
    </xf>
    <xf numFmtId="3" fontId="8" fillId="0" borderId="15" xfId="0" applyNumberFormat="1" applyFont="1" applyBorder="1" applyAlignment="1">
      <alignment vertical="center"/>
    </xf>
    <xf numFmtId="0" fontId="8" fillId="0" borderId="35" xfId="117" applyFont="1" applyBorder="1" applyAlignment="1">
      <alignment vertical="center" wrapText="1"/>
      <protection/>
    </xf>
    <xf numFmtId="0" fontId="8" fillId="0" borderId="23" xfId="117" applyFont="1" applyFill="1" applyBorder="1" applyAlignment="1">
      <alignment vertical="center" wrapText="1"/>
      <protection/>
    </xf>
    <xf numFmtId="0" fontId="8" fillId="0" borderId="15" xfId="99" applyFont="1" applyFill="1" applyBorder="1" applyAlignment="1">
      <alignment vertical="top" wrapText="1"/>
      <protection/>
    </xf>
    <xf numFmtId="0" fontId="70" fillId="0" borderId="15" xfId="95" applyFont="1" applyFill="1" applyBorder="1" applyAlignment="1">
      <alignment horizontal="left" vertical="center" wrapText="1"/>
      <protection/>
    </xf>
    <xf numFmtId="3" fontId="8" fillId="0" borderId="23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117" applyFont="1" applyFill="1" applyBorder="1" applyAlignment="1">
      <alignment vertical="center"/>
      <protection/>
    </xf>
    <xf numFmtId="0" fontId="8" fillId="0" borderId="15" xfId="117" applyFont="1" applyFill="1" applyBorder="1" applyAlignment="1">
      <alignment vertical="center" wrapText="1"/>
      <protection/>
    </xf>
    <xf numFmtId="49" fontId="42" fillId="0" borderId="52" xfId="108" applyNumberFormat="1" applyFont="1" applyFill="1" applyBorder="1" applyAlignment="1">
      <alignment horizontal="left" vertical="center" wrapText="1"/>
      <protection/>
    </xf>
    <xf numFmtId="0" fontId="8" fillId="0" borderId="23" xfId="102" applyFont="1" applyFill="1" applyBorder="1" applyAlignment="1">
      <alignment vertical="center" wrapText="1"/>
      <protection/>
    </xf>
    <xf numFmtId="0" fontId="8" fillId="0" borderId="23" xfId="102" applyFont="1" applyFill="1" applyBorder="1" applyAlignment="1">
      <alignment vertical="top"/>
      <protection/>
    </xf>
    <xf numFmtId="14" fontId="8" fillId="0" borderId="15" xfId="102" applyNumberFormat="1" applyFont="1" applyFill="1" applyBorder="1" applyAlignment="1">
      <alignment horizontal="center" vertical="top" wrapText="1"/>
      <protection/>
    </xf>
    <xf numFmtId="0" fontId="8" fillId="0" borderId="23" xfId="102" applyFont="1" applyFill="1" applyBorder="1" applyAlignment="1">
      <alignment vertical="top" wrapText="1"/>
      <protection/>
    </xf>
    <xf numFmtId="0" fontId="8" fillId="0" borderId="15" xfId="96" applyFont="1" applyFill="1" applyBorder="1" applyAlignment="1">
      <alignment horizontal="left" vertical="center" wrapText="1"/>
      <protection/>
    </xf>
    <xf numFmtId="0" fontId="8" fillId="0" borderId="15" xfId="102" applyFont="1" applyFill="1" applyBorder="1" applyAlignment="1">
      <alignment horizontal="center" vertical="top" wrapText="1"/>
      <protection/>
    </xf>
    <xf numFmtId="0" fontId="8" fillId="0" borderId="15" xfId="102" applyFont="1" applyFill="1" applyBorder="1" applyAlignment="1">
      <alignment vertical="top" wrapText="1"/>
      <protection/>
    </xf>
    <xf numFmtId="0" fontId="8" fillId="0" borderId="23" xfId="102" applyFont="1" applyFill="1" applyBorder="1" applyAlignment="1">
      <alignment vertical="top" wrapText="1"/>
      <protection/>
    </xf>
    <xf numFmtId="0" fontId="9" fillId="0" borderId="15" xfId="102" applyFont="1" applyFill="1" applyBorder="1" applyAlignment="1">
      <alignment horizontal="center" vertical="top" wrapText="1"/>
      <protection/>
    </xf>
    <xf numFmtId="0" fontId="64" fillId="0" borderId="23" xfId="0" applyFont="1" applyFill="1" applyBorder="1" applyAlignment="1">
      <alignment wrapText="1"/>
    </xf>
    <xf numFmtId="3" fontId="14" fillId="0" borderId="39" xfId="123" applyNumberFormat="1" applyFont="1" applyFill="1" applyBorder="1" applyAlignment="1">
      <alignment vertical="center"/>
      <protection/>
    </xf>
    <xf numFmtId="0" fontId="17" fillId="0" borderId="23" xfId="93" applyFont="1" applyBorder="1" applyAlignment="1">
      <alignment vertical="center"/>
      <protection/>
    </xf>
    <xf numFmtId="3" fontId="14" fillId="24" borderId="15" xfId="122" applyNumberFormat="1" applyFont="1" applyFill="1" applyBorder="1" applyAlignment="1">
      <alignment horizontal="left" vertical="top"/>
      <protection/>
    </xf>
    <xf numFmtId="3" fontId="14" fillId="24" borderId="15" xfId="122" applyNumberFormat="1" applyFont="1" applyFill="1" applyBorder="1" applyAlignment="1">
      <alignment horizontal="left" vertical="top" wrapText="1"/>
      <protection/>
    </xf>
    <xf numFmtId="196" fontId="65" fillId="0" borderId="59" xfId="104" applyNumberFormat="1" applyFont="1" applyFill="1" applyBorder="1" applyAlignment="1">
      <alignment vertical="center"/>
      <protection/>
    </xf>
    <xf numFmtId="0" fontId="60" fillId="0" borderId="0" xfId="104" applyFont="1" applyBorder="1" applyAlignment="1">
      <alignment vertical="center" wrapText="1"/>
      <protection/>
    </xf>
    <xf numFmtId="0" fontId="65" fillId="0" borderId="59" xfId="104" applyFont="1" applyFill="1" applyBorder="1" applyAlignment="1">
      <alignment vertical="center" wrapText="1"/>
      <protection/>
    </xf>
    <xf numFmtId="3" fontId="59" fillId="0" borderId="31" xfId="0" applyNumberFormat="1" applyFont="1" applyFill="1" applyBorder="1" applyAlignment="1">
      <alignment vertical="center" wrapText="1"/>
    </xf>
    <xf numFmtId="3" fontId="14" fillId="0" borderId="39" xfId="106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center" vertical="center" wrapText="1"/>
    </xf>
    <xf numFmtId="3" fontId="9" fillId="4" borderId="15" xfId="116" applyNumberFormat="1" applyFont="1" applyFill="1" applyBorder="1" applyAlignment="1">
      <alignment vertical="center" wrapText="1"/>
      <protection/>
    </xf>
    <xf numFmtId="0" fontId="8" fillId="0" borderId="36" xfId="116" applyFont="1" applyBorder="1" applyAlignment="1">
      <alignment vertical="center"/>
      <protection/>
    </xf>
    <xf numFmtId="0" fontId="8" fillId="0" borderId="36" xfId="116" applyFont="1" applyBorder="1" applyAlignment="1">
      <alignment vertical="center" wrapText="1"/>
      <protection/>
    </xf>
    <xf numFmtId="0" fontId="14" fillId="0" borderId="22" xfId="0" applyFont="1" applyBorder="1" applyAlignment="1">
      <alignment horizontal="center" vertical="center"/>
    </xf>
    <xf numFmtId="3" fontId="59" fillId="0" borderId="0" xfId="0" applyNumberFormat="1" applyFont="1" applyAlignment="1">
      <alignment vertical="center"/>
    </xf>
    <xf numFmtId="0" fontId="8" fillId="0" borderId="23" xfId="116" applyFont="1" applyBorder="1" applyAlignment="1">
      <alignment vertical="center"/>
      <protection/>
    </xf>
    <xf numFmtId="3" fontId="8" fillId="0" borderId="24" xfId="68" applyNumberFormat="1" applyFont="1" applyFill="1" applyBorder="1" applyAlignment="1">
      <alignment vertical="center"/>
    </xf>
    <xf numFmtId="49" fontId="0" fillId="0" borderId="52" xfId="108" applyNumberFormat="1" applyFont="1" applyFill="1" applyBorder="1" applyAlignment="1">
      <alignment horizontal="left" vertical="center" wrapText="1"/>
      <protection/>
    </xf>
    <xf numFmtId="3" fontId="13" fillId="28" borderId="63" xfId="114" applyNumberFormat="1" applyFont="1" applyFill="1" applyBorder="1" applyAlignment="1">
      <alignment horizontal="center" wrapText="1"/>
      <protection/>
    </xf>
    <xf numFmtId="3" fontId="13" fillId="28" borderId="59" xfId="114" applyNumberFormat="1" applyFont="1" applyFill="1" applyBorder="1" applyAlignment="1">
      <alignment horizontal="center" vertical="center" wrapText="1"/>
      <protection/>
    </xf>
    <xf numFmtId="3" fontId="72" fillId="0" borderId="0" xfId="114" applyNumberFormat="1" applyFont="1" applyAlignment="1">
      <alignment horizontal="center" vertical="center" wrapText="1"/>
      <protection/>
    </xf>
    <xf numFmtId="3" fontId="13" fillId="28" borderId="64" xfId="114" applyNumberFormat="1" applyFont="1" applyFill="1" applyBorder="1" applyAlignment="1">
      <alignment horizontal="center" vertical="center" wrapText="1"/>
      <protection/>
    </xf>
    <xf numFmtId="3" fontId="18" fillId="28" borderId="65" xfId="114" applyNumberFormat="1" applyFont="1" applyFill="1" applyBorder="1" applyAlignment="1">
      <alignment horizontal="center" wrapText="1"/>
      <protection/>
    </xf>
    <xf numFmtId="0" fontId="73" fillId="28" borderId="59" xfId="114" applyFont="1" applyFill="1" applyBorder="1" applyAlignment="1">
      <alignment horizontal="center" wrapText="1"/>
      <protection/>
    </xf>
    <xf numFmtId="3" fontId="13" fillId="28" borderId="65" xfId="114" applyNumberFormat="1" applyFont="1" applyFill="1" applyBorder="1" applyAlignment="1">
      <alignment horizontal="center" vertical="center" wrapText="1"/>
      <protection/>
    </xf>
    <xf numFmtId="3" fontId="13" fillId="28" borderId="51" xfId="114" applyNumberFormat="1" applyFont="1" applyFill="1" applyBorder="1" applyAlignment="1">
      <alignment horizontal="center" vertical="center" wrapText="1"/>
      <protection/>
    </xf>
    <xf numFmtId="3" fontId="13" fillId="28" borderId="60" xfId="114" applyNumberFormat="1" applyFont="1" applyFill="1" applyBorder="1" applyAlignment="1">
      <alignment horizontal="center" vertical="center" wrapText="1"/>
      <protection/>
    </xf>
    <xf numFmtId="3" fontId="8" fillId="0" borderId="59" xfId="114" applyNumberFormat="1" applyFont="1" applyBorder="1" applyAlignment="1">
      <alignment vertical="center" wrapText="1"/>
      <protection/>
    </xf>
    <xf numFmtId="3" fontId="14" fillId="0" borderId="59" xfId="114" applyNumberFormat="1" applyFont="1" applyBorder="1" applyAlignment="1">
      <alignment horizontal="center" vertical="center" wrapText="1"/>
      <protection/>
    </xf>
    <xf numFmtId="3" fontId="8" fillId="0" borderId="59" xfId="114" applyNumberFormat="1" applyFont="1" applyBorder="1" applyAlignment="1">
      <alignment horizontal="center" vertical="center" wrapText="1"/>
      <protection/>
    </xf>
    <xf numFmtId="3" fontId="8" fillId="0" borderId="59" xfId="114" applyNumberFormat="1" applyFont="1" applyBorder="1" applyAlignment="1">
      <alignment horizontal="right" vertical="center" wrapText="1"/>
      <protection/>
    </xf>
    <xf numFmtId="3" fontId="74" fillId="0" borderId="59" xfId="114" applyNumberFormat="1" applyFont="1" applyBorder="1" applyAlignment="1">
      <alignment vertical="center" wrapText="1"/>
      <protection/>
    </xf>
    <xf numFmtId="3" fontId="4" fillId="0" borderId="0" xfId="114" applyNumberFormat="1" applyFont="1" applyAlignment="1">
      <alignment vertical="center" wrapText="1"/>
      <protection/>
    </xf>
    <xf numFmtId="0" fontId="8" fillId="0" borderId="59" xfId="119" applyFont="1" applyBorder="1" applyAlignment="1">
      <alignment vertical="center" wrapText="1"/>
      <protection/>
    </xf>
    <xf numFmtId="0" fontId="8" fillId="0" borderId="59" xfId="114" applyNumberFormat="1" applyFont="1" applyBorder="1" applyAlignment="1">
      <alignment horizontal="center" vertical="center" wrapText="1"/>
      <protection/>
    </xf>
    <xf numFmtId="0" fontId="8" fillId="0" borderId="39" xfId="103" applyFont="1" applyBorder="1" applyAlignment="1">
      <alignment vertical="center" wrapText="1"/>
      <protection/>
    </xf>
    <xf numFmtId="3" fontId="8" fillId="0" borderId="59" xfId="114" applyNumberFormat="1" applyFont="1" applyFill="1" applyBorder="1" applyAlignment="1">
      <alignment horizontal="center" vertical="center" wrapText="1"/>
      <protection/>
    </xf>
    <xf numFmtId="3" fontId="8" fillId="0" borderId="59" xfId="114" applyNumberFormat="1" applyFont="1" applyFill="1" applyBorder="1" applyAlignment="1">
      <alignment vertical="center" wrapText="1"/>
      <protection/>
    </xf>
    <xf numFmtId="3" fontId="9" fillId="28" borderId="59" xfId="114" applyNumberFormat="1" applyFont="1" applyFill="1" applyBorder="1" applyAlignment="1">
      <alignment vertical="center" wrapText="1"/>
      <protection/>
    </xf>
    <xf numFmtId="3" fontId="13" fillId="28" borderId="59" xfId="114" applyNumberFormat="1" applyFont="1" applyFill="1" applyBorder="1" applyAlignment="1">
      <alignment vertical="center" wrapText="1"/>
      <protection/>
    </xf>
    <xf numFmtId="3" fontId="8" fillId="0" borderId="0" xfId="114" applyNumberFormat="1" applyFont="1" applyAlignment="1">
      <alignment vertical="center" wrapText="1"/>
      <protection/>
    </xf>
    <xf numFmtId="3" fontId="14" fillId="28" borderId="60" xfId="114" applyNumberFormat="1" applyFont="1" applyFill="1" applyBorder="1" applyAlignment="1">
      <alignment vertical="center" wrapText="1"/>
      <protection/>
    </xf>
    <xf numFmtId="3" fontId="61" fillId="28" borderId="66" xfId="104" applyNumberFormat="1" applyFont="1" applyFill="1" applyBorder="1" applyAlignment="1">
      <alignment horizontal="center" vertical="center" wrapText="1"/>
      <protection/>
    </xf>
    <xf numFmtId="3" fontId="61" fillId="28" borderId="67" xfId="104" applyNumberFormat="1" applyFont="1" applyFill="1" applyBorder="1" applyAlignment="1">
      <alignment horizontal="center" vertical="center" wrapText="1"/>
      <protection/>
    </xf>
    <xf numFmtId="3" fontId="61" fillId="28" borderId="65" xfId="104" applyNumberFormat="1" applyFont="1" applyFill="1" applyBorder="1" applyAlignment="1">
      <alignment horizontal="center" vertical="center" wrapText="1"/>
      <protection/>
    </xf>
    <xf numFmtId="0" fontId="8" fillId="0" borderId="23" xfId="96" applyFont="1" applyFill="1" applyBorder="1" applyAlignment="1">
      <alignment horizontal="left" vertical="center" wrapText="1"/>
      <protection/>
    </xf>
    <xf numFmtId="0" fontId="14" fillId="0" borderId="24" xfId="0" applyFont="1" applyBorder="1" applyAlignment="1">
      <alignment vertical="center" wrapText="1"/>
    </xf>
    <xf numFmtId="0" fontId="8" fillId="0" borderId="61" xfId="117" applyFont="1" applyFill="1" applyBorder="1" applyAlignment="1">
      <alignment vertical="center" wrapText="1"/>
      <protection/>
    </xf>
    <xf numFmtId="179" fontId="61" fillId="4" borderId="15" xfId="116" applyNumberFormat="1" applyFont="1" applyFill="1" applyBorder="1">
      <alignment/>
      <protection/>
    </xf>
    <xf numFmtId="3" fontId="61" fillId="28" borderId="39" xfId="104" applyNumberFormat="1" applyFont="1" applyFill="1" applyBorder="1" applyAlignment="1">
      <alignment horizontal="center" vertical="center" wrapText="1"/>
      <protection/>
    </xf>
    <xf numFmtId="3" fontId="61" fillId="28" borderId="48" xfId="104" applyNumberFormat="1" applyFont="1" applyFill="1" applyBorder="1" applyAlignment="1">
      <alignment horizontal="center" vertical="center" wrapText="1"/>
      <protection/>
    </xf>
    <xf numFmtId="3" fontId="6" fillId="0" borderId="68" xfId="104" applyNumberFormat="1" applyFont="1" applyFill="1" applyBorder="1" applyAlignment="1">
      <alignment vertical="center"/>
      <protection/>
    </xf>
    <xf numFmtId="3" fontId="61" fillId="28" borderId="39" xfId="104" applyNumberFormat="1" applyFont="1" applyFill="1" applyBorder="1" applyAlignment="1">
      <alignment horizontal="center" vertical="center"/>
      <protection/>
    </xf>
    <xf numFmtId="3" fontId="61" fillId="28" borderId="48" xfId="104" applyNumberFormat="1" applyFont="1" applyFill="1" applyBorder="1" applyAlignment="1">
      <alignment horizontal="center" vertical="center"/>
      <protection/>
    </xf>
    <xf numFmtId="3" fontId="61" fillId="28" borderId="69" xfId="104" applyNumberFormat="1" applyFont="1" applyFill="1" applyBorder="1" applyAlignment="1">
      <alignment horizontal="center" vertical="center"/>
      <protection/>
    </xf>
    <xf numFmtId="0" fontId="13" fillId="4" borderId="11" xfId="93" applyFont="1" applyFill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3" fillId="4" borderId="36" xfId="93" applyFont="1" applyFill="1" applyBorder="1" applyAlignment="1">
      <alignment horizontal="center" vertical="center" wrapText="1"/>
      <protection/>
    </xf>
    <xf numFmtId="0" fontId="13" fillId="4" borderId="34" xfId="9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3" fillId="4" borderId="11" xfId="93" applyFont="1" applyFill="1" applyBorder="1" applyAlignment="1">
      <alignment horizontal="center" vertical="center" wrapText="1"/>
      <protection/>
    </xf>
    <xf numFmtId="0" fontId="13" fillId="4" borderId="23" xfId="93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4" borderId="38" xfId="93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3" fillId="4" borderId="27" xfId="93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4" borderId="28" xfId="93" applyFont="1" applyFill="1" applyBorder="1" applyAlignment="1">
      <alignment horizontal="center" vertical="center"/>
      <protection/>
    </xf>
    <xf numFmtId="0" fontId="0" fillId="0" borderId="72" xfId="0" applyBorder="1" applyAlignment="1">
      <alignment vertical="center"/>
    </xf>
    <xf numFmtId="0" fontId="0" fillId="0" borderId="50" xfId="0" applyBorder="1" applyAlignment="1">
      <alignment vertical="center"/>
    </xf>
    <xf numFmtId="3" fontId="18" fillId="4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13" fillId="4" borderId="73" xfId="0" applyFont="1" applyFill="1" applyBorder="1" applyAlignment="1">
      <alignment horizontal="center" vertical="center"/>
    </xf>
    <xf numFmtId="0" fontId="13" fillId="4" borderId="74" xfId="0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/>
    </xf>
    <xf numFmtId="0" fontId="9" fillId="4" borderId="16" xfId="98" applyFont="1" applyFill="1" applyBorder="1" applyAlignment="1">
      <alignment horizontal="center" vertical="center" wrapText="1"/>
      <protection/>
    </xf>
    <xf numFmtId="0" fontId="9" fillId="4" borderId="17" xfId="98" applyFont="1" applyFill="1" applyBorder="1" applyAlignment="1">
      <alignment horizontal="center" vertical="center" wrapText="1"/>
      <protection/>
    </xf>
    <xf numFmtId="0" fontId="9" fillId="4" borderId="18" xfId="98" applyFont="1" applyFill="1" applyBorder="1" applyAlignment="1">
      <alignment horizontal="center" vertical="center" wrapText="1"/>
      <protection/>
    </xf>
    <xf numFmtId="3" fontId="8" fillId="0" borderId="59" xfId="0" applyNumberFormat="1" applyFont="1" applyFill="1" applyBorder="1" applyAlignment="1">
      <alignment horizontal="left" vertical="center" wrapText="1"/>
    </xf>
    <xf numFmtId="3" fontId="8" fillId="0" borderId="39" xfId="0" applyNumberFormat="1" applyFont="1" applyFill="1" applyBorder="1" applyAlignment="1">
      <alignment horizontal="left" vertical="center" wrapText="1"/>
    </xf>
    <xf numFmtId="0" fontId="9" fillId="4" borderId="16" xfId="98" applyFont="1" applyFill="1" applyBorder="1" applyAlignment="1">
      <alignment horizontal="center" vertical="center"/>
      <protection/>
    </xf>
    <xf numFmtId="0" fontId="9" fillId="4" borderId="17" xfId="98" applyFont="1" applyFill="1" applyBorder="1" applyAlignment="1">
      <alignment horizontal="center" vertical="center"/>
      <protection/>
    </xf>
    <xf numFmtId="0" fontId="9" fillId="4" borderId="18" xfId="98" applyFont="1" applyFill="1" applyBorder="1" applyAlignment="1">
      <alignment horizontal="center" vertical="center"/>
      <protection/>
    </xf>
    <xf numFmtId="3" fontId="14" fillId="0" borderId="15" xfId="0" applyNumberFormat="1" applyFont="1" applyFill="1" applyBorder="1" applyAlignment="1">
      <alignment horizontal="left" vertical="center" wrapText="1"/>
    </xf>
    <xf numFmtId="3" fontId="14" fillId="0" borderId="23" xfId="0" applyNumberFormat="1" applyFont="1" applyFill="1" applyBorder="1" applyAlignment="1">
      <alignment horizontal="left" vertical="center" wrapText="1"/>
    </xf>
    <xf numFmtId="0" fontId="13" fillId="4" borderId="11" xfId="12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9" fillId="4" borderId="38" xfId="113" applyFont="1" applyFill="1" applyBorder="1" applyAlignment="1">
      <alignment horizontal="center" vertical="center" wrapText="1"/>
      <protection/>
    </xf>
    <xf numFmtId="0" fontId="9" fillId="4" borderId="70" xfId="113" applyFont="1" applyFill="1" applyBorder="1" applyAlignment="1">
      <alignment horizontal="center" vertical="center" wrapText="1"/>
      <protection/>
    </xf>
    <xf numFmtId="0" fontId="9" fillId="4" borderId="76" xfId="113" applyFont="1" applyFill="1" applyBorder="1" applyAlignment="1">
      <alignment horizontal="center" vertical="center" wrapText="1"/>
      <protection/>
    </xf>
    <xf numFmtId="0" fontId="9" fillId="4" borderId="45" xfId="11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9" fillId="4" borderId="12" xfId="113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0" fontId="3" fillId="0" borderId="7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9" fillId="4" borderId="78" xfId="113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9" fillId="4" borderId="0" xfId="11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9" fillId="4" borderId="45" xfId="113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79" xfId="0" applyBorder="1" applyAlignment="1">
      <alignment/>
    </xf>
    <xf numFmtId="0" fontId="9" fillId="4" borderId="36" xfId="11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9" fillId="4" borderId="53" xfId="113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41" fillId="4" borderId="82" xfId="113" applyFont="1" applyFill="1" applyBorder="1" applyAlignment="1">
      <alignment horizontal="center" vertical="center"/>
      <protection/>
    </xf>
    <xf numFmtId="0" fontId="41" fillId="4" borderId="83" xfId="113" applyFont="1" applyFill="1" applyBorder="1" applyAlignment="1">
      <alignment horizontal="center" vertical="center"/>
      <protection/>
    </xf>
    <xf numFmtId="0" fontId="41" fillId="4" borderId="84" xfId="113" applyFont="1" applyFill="1" applyBorder="1" applyAlignment="1">
      <alignment horizontal="center" vertical="center"/>
      <protection/>
    </xf>
    <xf numFmtId="0" fontId="9" fillId="4" borderId="23" xfId="116" applyFont="1" applyFill="1" applyBorder="1" applyAlignment="1">
      <alignment horizontal="center" vertical="center"/>
      <protection/>
    </xf>
    <xf numFmtId="0" fontId="9" fillId="4" borderId="24" xfId="116" applyFont="1" applyFill="1" applyBorder="1" applyAlignment="1">
      <alignment horizontal="center" vertical="center"/>
      <protection/>
    </xf>
    <xf numFmtId="0" fontId="9" fillId="4" borderId="23" xfId="116" applyFont="1" applyFill="1" applyBorder="1" applyAlignment="1">
      <alignment vertical="center"/>
      <protection/>
    </xf>
    <xf numFmtId="0" fontId="9" fillId="4" borderId="24" xfId="116" applyFont="1" applyFill="1" applyBorder="1" applyAlignment="1">
      <alignment vertical="center"/>
      <protection/>
    </xf>
    <xf numFmtId="0" fontId="9" fillId="4" borderId="11" xfId="11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3" fontId="14" fillId="0" borderId="23" xfId="0" applyNumberFormat="1" applyFont="1" applyFill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3" fontId="14" fillId="0" borderId="23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/>
    </xf>
    <xf numFmtId="3" fontId="14" fillId="0" borderId="23" xfId="0" applyNumberFormat="1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14" fillId="0" borderId="23" xfId="116" applyFont="1" applyBorder="1" applyAlignment="1">
      <alignment vertical="center"/>
      <protection/>
    </xf>
    <xf numFmtId="0" fontId="14" fillId="0" borderId="23" xfId="116" applyFont="1" applyBorder="1" applyAlignment="1">
      <alignment vertical="center" wrapText="1"/>
      <protection/>
    </xf>
    <xf numFmtId="0" fontId="0" fillId="0" borderId="24" xfId="0" applyBorder="1" applyAlignment="1">
      <alignment vertical="center" wrapText="1"/>
    </xf>
    <xf numFmtId="3" fontId="17" fillId="0" borderId="23" xfId="0" applyNumberFormat="1" applyFont="1" applyBorder="1" applyAlignment="1">
      <alignment vertical="center" wrapText="1"/>
    </xf>
    <xf numFmtId="3" fontId="14" fillId="0" borderId="23" xfId="118" applyNumberFormat="1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3" fontId="14" fillId="0" borderId="24" xfId="0" applyNumberFormat="1" applyFont="1" applyFill="1" applyBorder="1" applyAlignment="1">
      <alignment horizontal="left" vertical="center" wrapText="1"/>
    </xf>
    <xf numFmtId="0" fontId="8" fillId="0" borderId="23" xfId="100" applyFont="1" applyFill="1" applyBorder="1" applyAlignment="1">
      <alignment horizontal="left" vertical="center" wrapText="1"/>
      <protection/>
    </xf>
    <xf numFmtId="3" fontId="14" fillId="0" borderId="24" xfId="0" applyNumberFormat="1" applyFont="1" applyFill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3" fillId="4" borderId="23" xfId="93" applyFont="1" applyFill="1" applyBorder="1" applyAlignment="1">
      <alignment vertical="center" wrapText="1"/>
      <protection/>
    </xf>
    <xf numFmtId="3" fontId="13" fillId="0" borderId="62" xfId="0" applyNumberFormat="1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3" fontId="18" fillId="4" borderId="2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0" borderId="23" xfId="98" applyFont="1" applyFill="1" applyBorder="1" applyAlignment="1">
      <alignment vertical="center"/>
      <protection/>
    </xf>
    <xf numFmtId="0" fontId="42" fillId="0" borderId="24" xfId="0" applyFont="1" applyBorder="1" applyAlignment="1">
      <alignment vertical="center"/>
    </xf>
    <xf numFmtId="3" fontId="14" fillId="0" borderId="23" xfId="122" applyNumberFormat="1" applyFont="1" applyFill="1" applyBorder="1" applyAlignment="1">
      <alignment horizontal="left" vertical="center"/>
      <protection/>
    </xf>
    <xf numFmtId="0" fontId="14" fillId="0" borderId="24" xfId="0" applyFont="1" applyBorder="1" applyAlignment="1">
      <alignment horizontal="left" vertical="center"/>
    </xf>
    <xf numFmtId="3" fontId="14" fillId="0" borderId="23" xfId="122" applyNumberFormat="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vertical="center"/>
    </xf>
    <xf numFmtId="3" fontId="21" fillId="4" borderId="12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3" fontId="18" fillId="4" borderId="36" xfId="0" applyNumberFormat="1" applyFont="1" applyFill="1" applyBorder="1" applyAlignment="1">
      <alignment vertical="center" wrapText="1"/>
    </xf>
    <xf numFmtId="0" fontId="0" fillId="0" borderId="35" xfId="0" applyBorder="1" applyAlignment="1">
      <alignment wrapText="1"/>
    </xf>
    <xf numFmtId="3" fontId="8" fillId="0" borderId="23" xfId="122" applyNumberFormat="1" applyFont="1" applyFill="1" applyBorder="1" applyAlignment="1">
      <alignment horizontal="left" vertical="center"/>
      <protection/>
    </xf>
    <xf numFmtId="3" fontId="8" fillId="0" borderId="24" xfId="122" applyNumberFormat="1" applyFont="1" applyFill="1" applyBorder="1" applyAlignment="1">
      <alignment horizontal="left" vertical="center"/>
      <protection/>
    </xf>
    <xf numFmtId="0" fontId="8" fillId="0" borderId="23" xfId="98" applyFont="1" applyFill="1" applyBorder="1" applyAlignment="1">
      <alignment vertical="top" wrapText="1"/>
      <protection/>
    </xf>
    <xf numFmtId="0" fontId="0" fillId="0" borderId="24" xfId="0" applyFill="1" applyBorder="1" applyAlignment="1">
      <alignment wrapText="1"/>
    </xf>
    <xf numFmtId="3" fontId="14" fillId="0" borderId="23" xfId="122" applyNumberFormat="1" applyFont="1" applyFill="1" applyBorder="1" applyAlignment="1">
      <alignment vertical="center" wrapText="1"/>
      <protection/>
    </xf>
    <xf numFmtId="0" fontId="14" fillId="0" borderId="24" xfId="0" applyFont="1" applyFill="1" applyBorder="1" applyAlignment="1">
      <alignment vertical="center" wrapText="1"/>
    </xf>
    <xf numFmtId="0" fontId="14" fillId="0" borderId="23" xfId="121" applyFont="1" applyFill="1" applyBorder="1" applyAlignment="1">
      <alignment vertical="center" wrapText="1"/>
      <protection/>
    </xf>
    <xf numFmtId="3" fontId="71" fillId="0" borderId="23" xfId="116" applyNumberFormat="1" applyFont="1" applyFill="1" applyBorder="1" applyAlignment="1">
      <alignment vertical="center"/>
      <protection/>
    </xf>
    <xf numFmtId="0" fontId="1" fillId="0" borderId="24" xfId="0" applyFont="1" applyFill="1" applyBorder="1" applyAlignment="1">
      <alignment vertical="center"/>
    </xf>
    <xf numFmtId="0" fontId="14" fillId="24" borderId="23" xfId="116" applyFont="1" applyFill="1" applyBorder="1" applyAlignment="1">
      <alignment vertical="center"/>
      <protection/>
    </xf>
    <xf numFmtId="0" fontId="14" fillId="24" borderId="24" xfId="0" applyFont="1" applyFill="1" applyBorder="1" applyAlignment="1">
      <alignment vertical="center"/>
    </xf>
    <xf numFmtId="3" fontId="14" fillId="24" borderId="23" xfId="0" applyNumberFormat="1" applyFont="1" applyFill="1" applyBorder="1" applyAlignment="1">
      <alignment horizontal="left" vertical="center"/>
    </xf>
    <xf numFmtId="3" fontId="14" fillId="24" borderId="24" xfId="0" applyNumberFormat="1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8" fillId="0" borderId="23" xfId="116" applyFont="1" applyFill="1" applyBorder="1" applyAlignment="1">
      <alignment vertical="center" wrapText="1"/>
      <protection/>
    </xf>
    <xf numFmtId="3" fontId="14" fillId="0" borderId="23" xfId="122" applyNumberFormat="1" applyFont="1" applyFill="1" applyBorder="1" applyAlignment="1">
      <alignment horizontal="left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8" fillId="25" borderId="23" xfId="93" applyFont="1" applyFill="1" applyBorder="1" applyAlignment="1">
      <alignment horizontal="left" vertical="center" wrapText="1"/>
      <protection/>
    </xf>
    <xf numFmtId="0" fontId="8" fillId="0" borderId="24" xfId="0" applyFont="1" applyBorder="1" applyAlignment="1">
      <alignment vertical="center"/>
    </xf>
    <xf numFmtId="49" fontId="42" fillId="0" borderId="23" xfId="0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3" fontId="13" fillId="28" borderId="59" xfId="114" applyNumberFormat="1" applyFont="1" applyFill="1" applyBorder="1" applyAlignment="1">
      <alignment horizontal="center" vertical="center" wrapText="1"/>
      <protection/>
    </xf>
    <xf numFmtId="3" fontId="18" fillId="28" borderId="59" xfId="114" applyNumberFormat="1" applyFont="1" applyFill="1" applyBorder="1" applyAlignment="1">
      <alignment horizontal="center" vertical="center" wrapText="1"/>
      <protection/>
    </xf>
    <xf numFmtId="3" fontId="13" fillId="28" borderId="85" xfId="114" applyNumberFormat="1" applyFont="1" applyFill="1" applyBorder="1" applyAlignment="1">
      <alignment horizontal="center" wrapText="1"/>
      <protection/>
    </xf>
    <xf numFmtId="3" fontId="13" fillId="28" borderId="69" xfId="114" applyNumberFormat="1" applyFont="1" applyFill="1" applyBorder="1" applyAlignment="1">
      <alignment horizontal="center" vertical="center" wrapText="1"/>
      <protection/>
    </xf>
    <xf numFmtId="3" fontId="13" fillId="28" borderId="59" xfId="114" applyNumberFormat="1" applyFont="1" applyFill="1" applyBorder="1" applyAlignment="1">
      <alignment horizontal="center" wrapText="1"/>
      <protection/>
    </xf>
    <xf numFmtId="3" fontId="13" fillId="28" borderId="65" xfId="114" applyNumberFormat="1" applyFont="1" applyFill="1" applyBorder="1" applyAlignment="1">
      <alignment horizontal="center" wrapText="1"/>
      <protection/>
    </xf>
    <xf numFmtId="0" fontId="0" fillId="0" borderId="38" xfId="0" applyBorder="1" applyAlignment="1">
      <alignment horizontal="center" vertical="center" wrapText="1"/>
    </xf>
    <xf numFmtId="0" fontId="41" fillId="4" borderId="53" xfId="113" applyFont="1" applyFill="1" applyBorder="1" applyAlignment="1">
      <alignment horizontal="center" vertical="center"/>
      <protection/>
    </xf>
    <xf numFmtId="0" fontId="13" fillId="4" borderId="53" xfId="113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wrapText="1"/>
    </xf>
    <xf numFmtId="0" fontId="0" fillId="0" borderId="53" xfId="0" applyBorder="1" applyAlignment="1">
      <alignment horizontal="center" wrapText="1"/>
    </xf>
    <xf numFmtId="0" fontId="41" fillId="4" borderId="53" xfId="113" applyFont="1" applyFill="1" applyBorder="1" applyAlignment="1">
      <alignment horizontal="center" vertical="center" wrapText="1"/>
      <protection/>
    </xf>
  </cellXfs>
  <cellStyles count="12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11" xfId="95"/>
    <cellStyle name="Normál_   5    (2)_7" xfId="96"/>
    <cellStyle name="Normál_   5-a    (2)" xfId="97"/>
    <cellStyle name="Normál_   7   x" xfId="98"/>
    <cellStyle name="Normál_   7   x_11" xfId="99"/>
    <cellStyle name="Normál_   7   x_12" xfId="100"/>
    <cellStyle name="Normál_   7   x_2012. III.negyedévi ei. módosítás" xfId="101"/>
    <cellStyle name="Normál_   7   x_7" xfId="102"/>
    <cellStyle name="Normál_   7   x_KÖLTSÉGVETÉS_2013 (1)" xfId="103"/>
    <cellStyle name="Normál_  3   _2010.évi állami" xfId="104"/>
    <cellStyle name="Normál_2012 költségvetés_fejlesztés_Doszpoth Attilának" xfId="105"/>
    <cellStyle name="Normál_2012. évi beszámoló 5.a 6a" xfId="106"/>
    <cellStyle name="Normál_2012_költségvetés_MCS_111215" xfId="107"/>
    <cellStyle name="Normál_213_évi_költségvetés_MCS" xfId="108"/>
    <cellStyle name="Normál_7" xfId="109"/>
    <cellStyle name="Normál_7_2013_zold_STB" xfId="110"/>
    <cellStyle name="Normál_8" xfId="111"/>
    <cellStyle name="Normál_Átdolgozandó létszám 2013.II.névi módosítás vébleges2013" xfId="112"/>
    <cellStyle name="Normál_INTKIA96" xfId="113"/>
    <cellStyle name="Normál_KÖLTSÉGVETÉS_2013 (1)" xfId="114"/>
    <cellStyle name="Normál_Munka1" xfId="115"/>
    <cellStyle name="Normál_Munka2 (2)" xfId="116"/>
    <cellStyle name="Normál_Munka2 (2)_11" xfId="117"/>
    <cellStyle name="Normál_Munka2 (2)_2012. évi beszámoló 5.a 6a" xfId="118"/>
    <cellStyle name="Normál_Munka2 (2)_KÖLTSÉGVETÉS_2013 (1)" xfId="119"/>
    <cellStyle name="Normál_Munka3 (2)" xfId="120"/>
    <cellStyle name="Normál_Munka3 (2)_12" xfId="121"/>
    <cellStyle name="Normál_ÖKIADELÖ" xfId="122"/>
    <cellStyle name="Normál_ÖKIADELÖ_2012. évi beszámoló 5.a 6a" xfId="123"/>
    <cellStyle name="Normal_tanusitv" xfId="124"/>
    <cellStyle name="Note" xfId="125"/>
    <cellStyle name="Output" xfId="126"/>
    <cellStyle name="Összesen" xfId="127"/>
    <cellStyle name="Currency" xfId="128"/>
    <cellStyle name="Currency [0]" xfId="129"/>
    <cellStyle name="Rossz" xfId="130"/>
    <cellStyle name="Semleges" xfId="131"/>
    <cellStyle name="Számítás" xfId="132"/>
    <cellStyle name="Percent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B13">
      <selection activeCell="H19" sqref="H19"/>
    </sheetView>
  </sheetViews>
  <sheetFormatPr defaultColWidth="9.00390625" defaultRowHeight="12.75"/>
  <cols>
    <col min="1" max="1" width="39.625" style="206" customWidth="1"/>
    <col min="2" max="3" width="13.625" style="206" customWidth="1"/>
    <col min="4" max="4" width="12.625" style="24" customWidth="1"/>
    <col min="5" max="5" width="2.00390625" style="205" customWidth="1"/>
    <col min="6" max="6" width="44.375" style="206" customWidth="1"/>
    <col min="7" max="7" width="12.375" style="206" customWidth="1"/>
    <col min="8" max="8" width="14.875" style="206" customWidth="1"/>
    <col min="9" max="9" width="14.00390625" style="24" customWidth="1"/>
    <col min="10" max="12" width="9.375" style="24" customWidth="1"/>
    <col min="13" max="16384" width="9.375" style="58" customWidth="1"/>
  </cols>
  <sheetData>
    <row r="1" spans="1:12" s="192" customFormat="1" ht="36" customHeight="1" thickBot="1">
      <c r="A1" s="188"/>
      <c r="B1" s="190" t="s">
        <v>1086</v>
      </c>
      <c r="C1" s="189" t="s">
        <v>1087</v>
      </c>
      <c r="D1" s="190" t="s">
        <v>1088</v>
      </c>
      <c r="E1" s="191"/>
      <c r="F1" s="188" t="s">
        <v>890</v>
      </c>
      <c r="G1" s="190" t="s">
        <v>1086</v>
      </c>
      <c r="H1" s="189" t="s">
        <v>1087</v>
      </c>
      <c r="I1" s="190" t="s">
        <v>1088</v>
      </c>
      <c r="J1" s="57"/>
      <c r="K1" s="57"/>
      <c r="L1" s="57"/>
    </row>
    <row r="2" spans="1:12" s="195" customFormat="1" ht="12.75" customHeight="1">
      <c r="A2" s="193" t="s">
        <v>580</v>
      </c>
      <c r="B2" s="53"/>
      <c r="C2" s="249"/>
      <c r="D2" s="53"/>
      <c r="E2" s="194"/>
      <c r="F2" s="193" t="s">
        <v>581</v>
      </c>
      <c r="G2" s="193"/>
      <c r="H2" s="193"/>
      <c r="I2" s="52"/>
      <c r="J2" s="56"/>
      <c r="K2" s="56"/>
      <c r="L2" s="56"/>
    </row>
    <row r="3" spans="1:9" ht="12.75" customHeight="1">
      <c r="A3" s="196" t="s">
        <v>582</v>
      </c>
      <c r="B3" s="51">
        <v>5605644</v>
      </c>
      <c r="C3" s="196">
        <v>181610</v>
      </c>
      <c r="D3" s="51">
        <f aca="true" t="shared" si="0" ref="D3:D13">SUM(B3:C3)</f>
        <v>5787254</v>
      </c>
      <c r="E3" s="197"/>
      <c r="F3" s="196" t="s">
        <v>808</v>
      </c>
      <c r="G3" s="51">
        <v>6201445</v>
      </c>
      <c r="H3" s="196">
        <v>-29324</v>
      </c>
      <c r="I3" s="51">
        <f aca="true" t="shared" si="1" ref="I3:I29">SUM(G3:H3)</f>
        <v>6172121</v>
      </c>
    </row>
    <row r="4" spans="1:9" ht="24" customHeight="1">
      <c r="A4" s="196" t="s">
        <v>490</v>
      </c>
      <c r="B4" s="51">
        <v>59600</v>
      </c>
      <c r="C4" s="196">
        <v>9371</v>
      </c>
      <c r="D4" s="51">
        <f t="shared" si="0"/>
        <v>68971</v>
      </c>
      <c r="E4" s="197"/>
      <c r="F4" s="196" t="s">
        <v>809</v>
      </c>
      <c r="G4" s="51">
        <v>1888880</v>
      </c>
      <c r="H4" s="196">
        <v>739900</v>
      </c>
      <c r="I4" s="51">
        <f t="shared" si="1"/>
        <v>2628780</v>
      </c>
    </row>
    <row r="5" spans="1:9" ht="15" customHeight="1">
      <c r="A5" s="196" t="s">
        <v>491</v>
      </c>
      <c r="B5" s="51">
        <v>186063</v>
      </c>
      <c r="C5" s="196">
        <v>174492</v>
      </c>
      <c r="D5" s="51">
        <f t="shared" si="0"/>
        <v>360555</v>
      </c>
      <c r="E5" s="197"/>
      <c r="F5" s="196" t="s">
        <v>810</v>
      </c>
      <c r="G5" s="51">
        <v>11760</v>
      </c>
      <c r="H5" s="196">
        <v>17660</v>
      </c>
      <c r="I5" s="51">
        <f t="shared" si="1"/>
        <v>29420</v>
      </c>
    </row>
    <row r="6" spans="1:9" ht="24" customHeight="1">
      <c r="A6" s="232" t="s">
        <v>492</v>
      </c>
      <c r="B6" s="233">
        <v>248000</v>
      </c>
      <c r="C6" s="232"/>
      <c r="D6" s="51">
        <f t="shared" si="0"/>
        <v>248000</v>
      </c>
      <c r="E6" s="197"/>
      <c r="F6" s="196" t="s">
        <v>811</v>
      </c>
      <c r="G6" s="39">
        <v>967192</v>
      </c>
      <c r="H6" s="196">
        <v>424970</v>
      </c>
      <c r="I6" s="51">
        <f t="shared" si="1"/>
        <v>1392162</v>
      </c>
    </row>
    <row r="7" spans="1:9" ht="13.5" customHeight="1">
      <c r="A7" s="196" t="s">
        <v>493</v>
      </c>
      <c r="B7" s="51">
        <v>2076249</v>
      </c>
      <c r="C7" s="196">
        <v>611019</v>
      </c>
      <c r="D7" s="51">
        <f t="shared" si="0"/>
        <v>2687268</v>
      </c>
      <c r="E7" s="197"/>
      <c r="F7" s="196" t="s">
        <v>593</v>
      </c>
      <c r="G7" s="51">
        <v>234727</v>
      </c>
      <c r="H7" s="196">
        <v>32711</v>
      </c>
      <c r="I7" s="51">
        <f t="shared" si="1"/>
        <v>267438</v>
      </c>
    </row>
    <row r="8" spans="1:9" ht="13.5" customHeight="1">
      <c r="A8" s="196" t="s">
        <v>494</v>
      </c>
      <c r="B8" s="199">
        <v>231745</v>
      </c>
      <c r="C8" s="196"/>
      <c r="D8" s="51">
        <f t="shared" si="0"/>
        <v>231745</v>
      </c>
      <c r="E8" s="197"/>
      <c r="F8" s="196" t="s">
        <v>594</v>
      </c>
      <c r="G8" s="51">
        <v>5000</v>
      </c>
      <c r="H8" s="196">
        <v>-1000</v>
      </c>
      <c r="I8" s="51">
        <f t="shared" si="1"/>
        <v>4000</v>
      </c>
    </row>
    <row r="9" spans="1:9" ht="13.5" customHeight="1">
      <c r="A9" s="198" t="s">
        <v>598</v>
      </c>
      <c r="B9" s="198">
        <f>SUM(B2:B8)</f>
        <v>8407301</v>
      </c>
      <c r="C9" s="198">
        <f>SUM(C2:C8)</f>
        <v>976492</v>
      </c>
      <c r="D9" s="52">
        <f t="shared" si="0"/>
        <v>9383793</v>
      </c>
      <c r="E9" s="197"/>
      <c r="F9" s="198" t="s">
        <v>597</v>
      </c>
      <c r="G9" s="193">
        <f>SUM(G3:G8)-G5</f>
        <v>9297244</v>
      </c>
      <c r="H9" s="193">
        <f>SUM(H3:H8)-H5</f>
        <v>1167257</v>
      </c>
      <c r="I9" s="193">
        <f>SUM(I3:I8)-I5</f>
        <v>10464501</v>
      </c>
    </row>
    <row r="10" spans="1:12" s="195" customFormat="1" ht="13.5" customHeight="1">
      <c r="A10" s="200" t="s">
        <v>613</v>
      </c>
      <c r="B10" s="198"/>
      <c r="C10" s="198"/>
      <c r="D10" s="51">
        <f t="shared" si="0"/>
        <v>0</v>
      </c>
      <c r="E10" s="197"/>
      <c r="F10" s="200"/>
      <c r="G10" s="51"/>
      <c r="H10" s="196"/>
      <c r="I10" s="51">
        <f t="shared" si="1"/>
        <v>0</v>
      </c>
      <c r="J10" s="56"/>
      <c r="K10" s="56"/>
      <c r="L10" s="56"/>
    </row>
    <row r="11" spans="1:12" s="195" customFormat="1" ht="13.5" customHeight="1">
      <c r="A11" s="200" t="s">
        <v>812</v>
      </c>
      <c r="B11" s="198"/>
      <c r="C11" s="200"/>
      <c r="D11" s="51">
        <f t="shared" si="0"/>
        <v>0</v>
      </c>
      <c r="E11" s="197"/>
      <c r="F11" s="200" t="s">
        <v>813</v>
      </c>
      <c r="G11" s="51"/>
      <c r="H11" s="196"/>
      <c r="I11" s="51">
        <f t="shared" si="1"/>
        <v>0</v>
      </c>
      <c r="J11" s="56"/>
      <c r="K11" s="56"/>
      <c r="L11" s="56"/>
    </row>
    <row r="12" spans="1:12" s="195" customFormat="1" ht="12" customHeight="1">
      <c r="A12" s="200" t="s">
        <v>814</v>
      </c>
      <c r="B12" s="268">
        <v>890723</v>
      </c>
      <c r="C12" s="200">
        <v>268771</v>
      </c>
      <c r="D12" s="51">
        <f t="shared" si="0"/>
        <v>1159494</v>
      </c>
      <c r="E12" s="197"/>
      <c r="F12" s="201" t="s">
        <v>599</v>
      </c>
      <c r="G12" s="201">
        <f>SUM(G9:G11)</f>
        <v>9297244</v>
      </c>
      <c r="H12" s="201">
        <f>SUM(H9:H11)</f>
        <v>1167257</v>
      </c>
      <c r="I12" s="201">
        <f>SUM(I9:I11)</f>
        <v>10464501</v>
      </c>
      <c r="J12" s="56"/>
      <c r="K12" s="56"/>
      <c r="L12" s="56"/>
    </row>
    <row r="13" spans="1:9" ht="13.5" customHeight="1">
      <c r="A13" s="200" t="s">
        <v>815</v>
      </c>
      <c r="B13" s="55"/>
      <c r="C13" s="200">
        <v>26</v>
      </c>
      <c r="D13" s="51">
        <f t="shared" si="0"/>
        <v>26</v>
      </c>
      <c r="E13" s="197"/>
      <c r="F13" s="193" t="s">
        <v>600</v>
      </c>
      <c r="G13" s="198"/>
      <c r="H13" s="193"/>
      <c r="I13" s="51">
        <f t="shared" si="1"/>
        <v>0</v>
      </c>
    </row>
    <row r="14" spans="1:9" ht="24" customHeight="1">
      <c r="A14" s="200"/>
      <c r="B14" s="55"/>
      <c r="C14" s="200"/>
      <c r="D14" s="200"/>
      <c r="E14" s="197"/>
      <c r="F14" s="196" t="s">
        <v>674</v>
      </c>
      <c r="G14" s="39">
        <v>241925</v>
      </c>
      <c r="H14" s="196">
        <v>75587</v>
      </c>
      <c r="I14" s="51">
        <f t="shared" si="1"/>
        <v>317512</v>
      </c>
    </row>
    <row r="15" spans="1:9" ht="19.5" customHeight="1">
      <c r="A15" s="202" t="s">
        <v>602</v>
      </c>
      <c r="B15" s="203">
        <f>SUM(B9:B14)</f>
        <v>9298024</v>
      </c>
      <c r="C15" s="203">
        <f>SUM(C9:C14)</f>
        <v>1245289</v>
      </c>
      <c r="D15" s="44">
        <f aca="true" t="shared" si="2" ref="D15:D25">SUM(B15:C15)</f>
        <v>10543313</v>
      </c>
      <c r="E15" s="197"/>
      <c r="F15" s="196" t="s">
        <v>601</v>
      </c>
      <c r="G15" s="51">
        <v>62918</v>
      </c>
      <c r="H15" s="196">
        <v>24654</v>
      </c>
      <c r="I15" s="51">
        <f t="shared" si="1"/>
        <v>87572</v>
      </c>
    </row>
    <row r="16" spans="1:9" ht="15" customHeight="1">
      <c r="A16" s="193" t="s">
        <v>604</v>
      </c>
      <c r="B16" s="51"/>
      <c r="C16" s="193"/>
      <c r="D16" s="51">
        <f t="shared" si="2"/>
        <v>0</v>
      </c>
      <c r="E16" s="197"/>
      <c r="F16" s="196" t="s">
        <v>603</v>
      </c>
      <c r="G16" s="55">
        <v>179007</v>
      </c>
      <c r="H16" s="196">
        <v>50490</v>
      </c>
      <c r="I16" s="51">
        <f t="shared" si="1"/>
        <v>229497</v>
      </c>
    </row>
    <row r="17" spans="1:9" ht="13.5" customHeight="1">
      <c r="A17" s="196" t="s">
        <v>582</v>
      </c>
      <c r="B17" s="51">
        <v>494894</v>
      </c>
      <c r="C17" s="196">
        <v>-103688</v>
      </c>
      <c r="D17" s="51">
        <f t="shared" si="2"/>
        <v>391206</v>
      </c>
      <c r="E17" s="197"/>
      <c r="F17" s="196" t="s">
        <v>816</v>
      </c>
      <c r="G17" s="51"/>
      <c r="H17" s="196">
        <v>443</v>
      </c>
      <c r="I17" s="51">
        <f t="shared" si="1"/>
        <v>443</v>
      </c>
    </row>
    <row r="18" spans="1:9" ht="24.75" customHeight="1">
      <c r="A18" s="196" t="s">
        <v>495</v>
      </c>
      <c r="B18" s="51">
        <v>200800</v>
      </c>
      <c r="C18" s="196">
        <v>71202</v>
      </c>
      <c r="D18" s="51">
        <f t="shared" si="2"/>
        <v>272002</v>
      </c>
      <c r="E18" s="194"/>
      <c r="F18" s="196" t="s">
        <v>605</v>
      </c>
      <c r="G18" s="51">
        <v>2496292</v>
      </c>
      <c r="H18" s="196">
        <v>2550683</v>
      </c>
      <c r="I18" s="51">
        <f t="shared" si="1"/>
        <v>5046975</v>
      </c>
    </row>
    <row r="19" spans="1:9" ht="12.75" customHeight="1">
      <c r="A19" s="196" t="s">
        <v>496</v>
      </c>
      <c r="B19" s="55">
        <v>626407</v>
      </c>
      <c r="C19" s="196">
        <v>2530159</v>
      </c>
      <c r="D19" s="51">
        <f t="shared" si="2"/>
        <v>3156566</v>
      </c>
      <c r="E19" s="194"/>
      <c r="F19" s="196" t="s">
        <v>817</v>
      </c>
      <c r="G19" s="51">
        <v>25000</v>
      </c>
      <c r="H19" s="196">
        <v>27158</v>
      </c>
      <c r="I19" s="51">
        <f t="shared" si="1"/>
        <v>52158</v>
      </c>
    </row>
    <row r="20" spans="1:9" ht="15.75" customHeight="1">
      <c r="A20" s="196" t="s">
        <v>595</v>
      </c>
      <c r="B20" s="55"/>
      <c r="C20" s="196">
        <v>274992</v>
      </c>
      <c r="D20" s="51">
        <f t="shared" si="2"/>
        <v>274992</v>
      </c>
      <c r="E20" s="197"/>
      <c r="F20" s="196" t="s">
        <v>606</v>
      </c>
      <c r="G20" s="51">
        <v>436993</v>
      </c>
      <c r="H20" s="196">
        <v>176202</v>
      </c>
      <c r="I20" s="51">
        <f t="shared" si="1"/>
        <v>613195</v>
      </c>
    </row>
    <row r="21" spans="1:9" ht="12.75" customHeight="1">
      <c r="A21" s="196" t="s">
        <v>497</v>
      </c>
      <c r="B21" s="55">
        <v>25600</v>
      </c>
      <c r="C21" s="196"/>
      <c r="D21" s="51">
        <f t="shared" si="2"/>
        <v>25600</v>
      </c>
      <c r="E21" s="197"/>
      <c r="F21" s="196" t="s">
        <v>817</v>
      </c>
      <c r="G21" s="51">
        <v>7500</v>
      </c>
      <c r="H21" s="196">
        <v>79729</v>
      </c>
      <c r="I21" s="51">
        <f t="shared" si="1"/>
        <v>87229</v>
      </c>
    </row>
    <row r="22" spans="1:9" ht="12.75" customHeight="1">
      <c r="A22" s="198" t="s">
        <v>611</v>
      </c>
      <c r="B22" s="193">
        <f>SUM(B16:B21)</f>
        <v>1347701</v>
      </c>
      <c r="C22" s="193">
        <f>SUM(C16:C21)</f>
        <v>2772665</v>
      </c>
      <c r="D22" s="52">
        <f t="shared" si="2"/>
        <v>4120366</v>
      </c>
      <c r="E22" s="197"/>
      <c r="F22" s="196" t="s">
        <v>608</v>
      </c>
      <c r="G22" s="51">
        <v>76000</v>
      </c>
      <c r="H22" s="196">
        <v>-58672</v>
      </c>
      <c r="I22" s="51">
        <f t="shared" si="1"/>
        <v>17328</v>
      </c>
    </row>
    <row r="23" spans="1:9" ht="12.75" customHeight="1">
      <c r="A23" s="200" t="s">
        <v>613</v>
      </c>
      <c r="B23" s="193"/>
      <c r="C23" s="193"/>
      <c r="D23" s="51">
        <f t="shared" si="2"/>
        <v>0</v>
      </c>
      <c r="E23" s="197"/>
      <c r="F23" s="196" t="s">
        <v>609</v>
      </c>
      <c r="G23" s="51">
        <v>20000</v>
      </c>
      <c r="H23" s="196">
        <v>32485</v>
      </c>
      <c r="I23" s="51">
        <f t="shared" si="1"/>
        <v>52485</v>
      </c>
    </row>
    <row r="24" spans="1:9" ht="12.75" customHeight="1">
      <c r="A24" s="200" t="s">
        <v>921</v>
      </c>
      <c r="B24" s="196">
        <v>862489</v>
      </c>
      <c r="C24" s="196"/>
      <c r="D24" s="51">
        <f t="shared" si="2"/>
        <v>862489</v>
      </c>
      <c r="E24" s="197"/>
      <c r="F24" s="196" t="s">
        <v>610</v>
      </c>
      <c r="G24" s="51">
        <v>85963</v>
      </c>
      <c r="H24" s="196">
        <v>-16791</v>
      </c>
      <c r="I24" s="51">
        <f t="shared" si="1"/>
        <v>69172</v>
      </c>
    </row>
    <row r="25" spans="1:9" ht="12.75" customHeight="1">
      <c r="A25" s="196" t="s">
        <v>922</v>
      </c>
      <c r="B25" s="268">
        <v>1396731</v>
      </c>
      <c r="C25" s="196">
        <v>59558</v>
      </c>
      <c r="D25" s="51">
        <f t="shared" si="2"/>
        <v>1456289</v>
      </c>
      <c r="E25" s="197"/>
      <c r="F25" s="198" t="s">
        <v>612</v>
      </c>
      <c r="G25" s="193">
        <f>SUM(G14+G18+G20+G22+G23+G24)</f>
        <v>3357173</v>
      </c>
      <c r="H25" s="193">
        <f>SUM(H14+H18+H20+H22+H23+H24)</f>
        <v>2759494</v>
      </c>
      <c r="I25" s="52">
        <f t="shared" si="1"/>
        <v>6116667</v>
      </c>
    </row>
    <row r="26" spans="1:9" ht="12.75" customHeight="1">
      <c r="A26" s="196"/>
      <c r="B26" s="268"/>
      <c r="C26" s="196"/>
      <c r="D26" s="51"/>
      <c r="E26" s="197"/>
      <c r="F26" s="200" t="s">
        <v>613</v>
      </c>
      <c r="G26" s="193"/>
      <c r="H26" s="193"/>
      <c r="I26" s="51">
        <f t="shared" si="1"/>
        <v>0</v>
      </c>
    </row>
    <row r="27" spans="1:9" ht="12.75" customHeight="1">
      <c r="A27" s="200"/>
      <c r="B27" s="196"/>
      <c r="C27" s="196"/>
      <c r="D27" s="51"/>
      <c r="E27" s="197"/>
      <c r="F27" s="200" t="s">
        <v>498</v>
      </c>
      <c r="G27" s="39">
        <v>250528</v>
      </c>
      <c r="H27" s="200">
        <v>150761</v>
      </c>
      <c r="I27" s="51">
        <f t="shared" si="1"/>
        <v>401289</v>
      </c>
    </row>
    <row r="28" spans="1:12" s="192" customFormat="1" ht="22.5" customHeight="1">
      <c r="A28" s="201" t="s">
        <v>616</v>
      </c>
      <c r="B28" s="44">
        <f>SUM(B22:B27)</f>
        <v>3606921</v>
      </c>
      <c r="C28" s="44">
        <f>SUM(C22:C27)</f>
        <v>2832223</v>
      </c>
      <c r="D28" s="43">
        <f>SUM(B28:C28)</f>
        <v>6439144</v>
      </c>
      <c r="E28" s="194"/>
      <c r="F28" s="201" t="s">
        <v>617</v>
      </c>
      <c r="G28" s="44">
        <f>SUM(G25:G27)</f>
        <v>3607701</v>
      </c>
      <c r="H28" s="44">
        <f>SUM(H25:H27)</f>
        <v>2910255</v>
      </c>
      <c r="I28" s="44">
        <f t="shared" si="1"/>
        <v>6517956</v>
      </c>
      <c r="J28" s="57"/>
      <c r="K28" s="57"/>
      <c r="L28" s="57"/>
    </row>
    <row r="29" spans="1:12" s="192" customFormat="1" ht="19.5" customHeight="1">
      <c r="A29" s="201" t="s">
        <v>818</v>
      </c>
      <c r="B29" s="44">
        <f>SUM(B15+B28)</f>
        <v>12904945</v>
      </c>
      <c r="C29" s="44">
        <f>SUM(C15+C28)</f>
        <v>4077512</v>
      </c>
      <c r="D29" s="43">
        <f>SUM(B29:C29)</f>
        <v>16982457</v>
      </c>
      <c r="E29" s="197"/>
      <c r="F29" s="201" t="s">
        <v>818</v>
      </c>
      <c r="G29" s="201">
        <f>SUM(G12+G28)</f>
        <v>12904945</v>
      </c>
      <c r="H29" s="201">
        <f>SUM(H12+H28)</f>
        <v>4077512</v>
      </c>
      <c r="I29" s="44">
        <f t="shared" si="1"/>
        <v>16982457</v>
      </c>
      <c r="J29" s="57"/>
      <c r="K29" s="57"/>
      <c r="L29" s="57"/>
    </row>
    <row r="30" spans="1:4" ht="12">
      <c r="A30" s="204"/>
      <c r="B30" s="204"/>
      <c r="C30" s="204"/>
      <c r="D30" s="59"/>
    </row>
    <row r="31" ht="12">
      <c r="D31" s="59"/>
    </row>
    <row r="32" ht="12">
      <c r="D32" s="59"/>
    </row>
    <row r="33" ht="12">
      <c r="D33" s="59"/>
    </row>
    <row r="34" ht="12">
      <c r="D34" s="59"/>
    </row>
    <row r="35" ht="12">
      <c r="D35" s="59"/>
    </row>
    <row r="36" ht="12">
      <c r="D36" s="59"/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2013.  ÉVBEN
&amp;R&amp;"Times New Roman CE,Félkövér dőlt"1. sz.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0.00390625" style="74" customWidth="1"/>
    <col min="4" max="5" width="13.875" style="74" customWidth="1"/>
    <col min="6" max="6" width="11.125" style="74" customWidth="1"/>
    <col min="7" max="7" width="12.125" style="74" customWidth="1"/>
    <col min="8" max="8" width="11.125" style="74" customWidth="1"/>
    <col min="9" max="9" width="12.875" style="74" customWidth="1"/>
    <col min="10" max="10" width="10.00390625" style="74" customWidth="1"/>
    <col min="11" max="12" width="10.625" style="74" customWidth="1"/>
    <col min="13" max="13" width="9.50390625" style="74" customWidth="1"/>
    <col min="14" max="14" width="12.625" style="74" customWidth="1"/>
    <col min="15" max="16384" width="9.375" style="74" customWidth="1"/>
  </cols>
  <sheetData>
    <row r="1" spans="1:14" ht="10.5" customHeight="1" thickBot="1">
      <c r="A1" s="891" t="s">
        <v>483</v>
      </c>
      <c r="B1" s="891" t="s">
        <v>484</v>
      </c>
      <c r="C1" s="891" t="s">
        <v>533</v>
      </c>
      <c r="D1" s="891" t="s">
        <v>573</v>
      </c>
      <c r="E1" s="891" t="s">
        <v>68</v>
      </c>
      <c r="F1" s="894" t="s">
        <v>69</v>
      </c>
      <c r="G1" s="895"/>
      <c r="H1" s="895"/>
      <c r="I1" s="895"/>
      <c r="J1" s="896"/>
      <c r="K1" s="894" t="s">
        <v>75</v>
      </c>
      <c r="L1" s="895"/>
      <c r="M1" s="896"/>
      <c r="N1" s="891" t="s">
        <v>487</v>
      </c>
    </row>
    <row r="2" spans="1:17" ht="44.25" customHeight="1" thickBot="1">
      <c r="A2" s="892"/>
      <c r="B2" s="892"/>
      <c r="C2" s="893"/>
      <c r="D2" s="893"/>
      <c r="E2" s="893"/>
      <c r="F2" s="536" t="s">
        <v>572</v>
      </c>
      <c r="G2" s="536" t="s">
        <v>485</v>
      </c>
      <c r="H2" s="536" t="s">
        <v>486</v>
      </c>
      <c r="I2" s="535" t="s">
        <v>73</v>
      </c>
      <c r="J2" s="537" t="s">
        <v>932</v>
      </c>
      <c r="K2" s="535" t="s">
        <v>76</v>
      </c>
      <c r="L2" s="536" t="s">
        <v>77</v>
      </c>
      <c r="M2" s="536" t="s">
        <v>78</v>
      </c>
      <c r="N2" s="893"/>
      <c r="O2" s="73"/>
      <c r="P2" s="73"/>
      <c r="Q2" s="73"/>
    </row>
    <row r="3" spans="1:17" ht="13.5" customHeight="1">
      <c r="A3" s="345">
        <v>2</v>
      </c>
      <c r="B3" s="345">
        <v>1</v>
      </c>
      <c r="C3" s="538" t="s">
        <v>902</v>
      </c>
      <c r="D3" s="539">
        <v>1188163</v>
      </c>
      <c r="E3" s="539">
        <f>46337+'táj.2.'!L3</f>
        <v>45345</v>
      </c>
      <c r="F3" s="539">
        <f>757245+'táj.2.'!D3</f>
        <v>761512</v>
      </c>
      <c r="G3" s="539">
        <f>196691+'táj.2.'!E3</f>
        <v>195553</v>
      </c>
      <c r="H3" s="539">
        <f>228253+'táj.2.'!F3</f>
        <v>228792</v>
      </c>
      <c r="I3" s="539">
        <f>4+'táj.2.'!G3</f>
        <v>17</v>
      </c>
      <c r="J3" s="539">
        <f>0+'táj.2.'!H3</f>
        <v>0</v>
      </c>
      <c r="K3" s="539">
        <f>39427+'táj.2.'!I3</f>
        <v>37508</v>
      </c>
      <c r="L3" s="539">
        <f>12880+'táj.2.'!J3</f>
        <v>10126</v>
      </c>
      <c r="M3" s="539">
        <f>0+'táj.2.'!K3</f>
        <v>0</v>
      </c>
      <c r="N3" s="539">
        <f>SUM(F3:M3)</f>
        <v>1233508</v>
      </c>
      <c r="O3" s="73"/>
      <c r="P3" s="73"/>
      <c r="Q3" s="73"/>
    </row>
    <row r="4" spans="1:17" ht="12" customHeight="1">
      <c r="A4" s="345">
        <v>2</v>
      </c>
      <c r="B4" s="345">
        <v>2</v>
      </c>
      <c r="C4" s="333" t="s">
        <v>168</v>
      </c>
      <c r="D4" s="344">
        <v>497197</v>
      </c>
      <c r="E4" s="344">
        <f>63682+'táj.2.'!L4</f>
        <v>-497197</v>
      </c>
      <c r="F4" s="344">
        <f>276087+'táj.2.'!D4</f>
        <v>0</v>
      </c>
      <c r="G4" s="344">
        <f>73289+'táj.2.'!E4</f>
        <v>0</v>
      </c>
      <c r="H4" s="344">
        <f>205352+'táj.2.'!F4</f>
        <v>0</v>
      </c>
      <c r="I4" s="344">
        <f>74+'táj.2.'!G4</f>
        <v>0</v>
      </c>
      <c r="J4" s="344">
        <f>0+'táj.2.'!H4</f>
        <v>0</v>
      </c>
      <c r="K4" s="539">
        <f>6077+'táj.2.'!I4</f>
        <v>0</v>
      </c>
      <c r="L4" s="539">
        <f>0+'táj.2.'!J4</f>
        <v>0</v>
      </c>
      <c r="M4" s="539">
        <f>0+'táj.2.'!K4</f>
        <v>0</v>
      </c>
      <c r="N4" s="344">
        <f>SUM(F4:M4)</f>
        <v>0</v>
      </c>
      <c r="O4" s="73"/>
      <c r="P4" s="73"/>
      <c r="Q4" s="73"/>
    </row>
    <row r="5" spans="1:17" ht="13.5" customHeight="1">
      <c r="A5" s="345">
        <v>2</v>
      </c>
      <c r="B5" s="345">
        <v>3</v>
      </c>
      <c r="C5" s="343" t="s">
        <v>87</v>
      </c>
      <c r="D5" s="344">
        <f>SUM(D6:D13)</f>
        <v>2034364</v>
      </c>
      <c r="E5" s="344">
        <f aca="true" t="shared" si="0" ref="E5:N5">SUM(E6:E13)</f>
        <v>939204</v>
      </c>
      <c r="F5" s="344">
        <f t="shared" si="0"/>
        <v>1128486</v>
      </c>
      <c r="G5" s="344">
        <f t="shared" si="0"/>
        <v>275653</v>
      </c>
      <c r="H5" s="344">
        <f t="shared" si="0"/>
        <v>1557014</v>
      </c>
      <c r="I5" s="344">
        <f t="shared" si="0"/>
        <v>274</v>
      </c>
      <c r="J5" s="344">
        <f t="shared" si="0"/>
        <v>0</v>
      </c>
      <c r="K5" s="344">
        <f t="shared" si="0"/>
        <v>3153</v>
      </c>
      <c r="L5" s="344">
        <f t="shared" si="0"/>
        <v>8988</v>
      </c>
      <c r="M5" s="344">
        <f t="shared" si="0"/>
        <v>0</v>
      </c>
      <c r="N5" s="344">
        <f t="shared" si="0"/>
        <v>2973568</v>
      </c>
      <c r="O5" s="73"/>
      <c r="P5" s="73"/>
      <c r="Q5" s="73"/>
    </row>
    <row r="6" spans="1:17" ht="13.5" customHeight="1">
      <c r="A6" s="345"/>
      <c r="B6" s="339" t="s">
        <v>853</v>
      </c>
      <c r="C6" s="285" t="s">
        <v>1068</v>
      </c>
      <c r="D6" s="284">
        <v>339145</v>
      </c>
      <c r="E6" s="347">
        <f>6787+'táj.2.'!L6</f>
        <v>16170</v>
      </c>
      <c r="F6" s="347">
        <f>177343+'táj.2.'!D6</f>
        <v>184060</v>
      </c>
      <c r="G6" s="347">
        <f>42730+'táj.2.'!E6</f>
        <v>39812</v>
      </c>
      <c r="H6" s="347">
        <f>123405+'táj.2.'!F6</f>
        <v>124702</v>
      </c>
      <c r="I6" s="347">
        <f>44+'táj.2.'!G6</f>
        <v>88</v>
      </c>
      <c r="J6" s="347">
        <f>0+'táj.2.'!H6</f>
        <v>0</v>
      </c>
      <c r="K6" s="639">
        <f>165+'táj.2.'!I6</f>
        <v>165</v>
      </c>
      <c r="L6" s="639">
        <f>2245+'táj.2.'!J6</f>
        <v>6488</v>
      </c>
      <c r="M6" s="639">
        <f>0+'táj.2.'!K6</f>
        <v>0</v>
      </c>
      <c r="N6" s="347">
        <f aca="true" t="shared" si="1" ref="N6:N27">SUM(F6:M6)</f>
        <v>355315</v>
      </c>
      <c r="O6" s="73"/>
      <c r="P6" s="73"/>
      <c r="Q6" s="73"/>
    </row>
    <row r="7" spans="1:17" ht="22.5" customHeight="1">
      <c r="A7" s="345"/>
      <c r="B7" s="339" t="s">
        <v>854</v>
      </c>
      <c r="C7" s="638" t="s">
        <v>170</v>
      </c>
      <c r="D7" s="284">
        <v>96603</v>
      </c>
      <c r="E7" s="347">
        <f>8553+'táj.2.'!L7</f>
        <v>-96603</v>
      </c>
      <c r="F7" s="347">
        <f>69899+'táj.2.'!D7</f>
        <v>0</v>
      </c>
      <c r="G7" s="347">
        <f>18534+'táj.2.'!E7</f>
        <v>0</v>
      </c>
      <c r="H7" s="347">
        <f>12003+'táj.2.'!F7</f>
        <v>0</v>
      </c>
      <c r="I7" s="347">
        <f>2000+'táj.2.'!G7</f>
        <v>0</v>
      </c>
      <c r="J7" s="347">
        <f>0+'táj.2.'!H7</f>
        <v>0</v>
      </c>
      <c r="K7" s="639">
        <f>0+'táj.2.'!I7</f>
        <v>0</v>
      </c>
      <c r="L7" s="639">
        <f>2720+'táj.2.'!J7</f>
        <v>0</v>
      </c>
      <c r="M7" s="639">
        <f>0+'táj.2.'!K7</f>
        <v>0</v>
      </c>
      <c r="N7" s="347">
        <f t="shared" si="1"/>
        <v>0</v>
      </c>
      <c r="O7" s="73"/>
      <c r="P7" s="73"/>
      <c r="Q7" s="73"/>
    </row>
    <row r="8" spans="1:17" ht="13.5" customHeight="1">
      <c r="A8" s="345"/>
      <c r="B8" s="339" t="s">
        <v>876</v>
      </c>
      <c r="C8" s="285" t="s">
        <v>171</v>
      </c>
      <c r="D8" s="284">
        <v>266362</v>
      </c>
      <c r="E8" s="347">
        <f>60358+'táj.2.'!L8</f>
        <v>59899</v>
      </c>
      <c r="F8" s="347">
        <f>144425+'táj.2.'!D8</f>
        <v>145816</v>
      </c>
      <c r="G8" s="347">
        <f>41821+'táj.2.'!E8</f>
        <v>40941</v>
      </c>
      <c r="H8" s="347">
        <f>140474+'táj.2.'!F8</f>
        <v>139504</v>
      </c>
      <c r="I8" s="347">
        <f>0+'táj.2.'!G8</f>
        <v>0</v>
      </c>
      <c r="J8" s="347">
        <f>0+'táj.2.'!H8</f>
        <v>0</v>
      </c>
      <c r="K8" s="639">
        <f>0+'táj.2.'!I8</f>
        <v>0</v>
      </c>
      <c r="L8" s="639">
        <f>0+'táj.2.'!J8</f>
        <v>0</v>
      </c>
      <c r="M8" s="639">
        <f>0+'táj.2.'!K8</f>
        <v>0</v>
      </c>
      <c r="N8" s="347">
        <f t="shared" si="1"/>
        <v>326261</v>
      </c>
      <c r="O8" s="73"/>
      <c r="P8" s="73"/>
      <c r="Q8" s="73"/>
    </row>
    <row r="9" spans="1:17" ht="13.5" customHeight="1">
      <c r="A9" s="345"/>
      <c r="B9" s="339" t="s">
        <v>523</v>
      </c>
      <c r="C9" s="285" t="s">
        <v>172</v>
      </c>
      <c r="D9" s="284">
        <v>0</v>
      </c>
      <c r="E9" s="347">
        <f>0+'táj.2.'!L9</f>
        <v>235203</v>
      </c>
      <c r="F9" s="347">
        <f>0+'táj.2.'!D9</f>
        <v>133913</v>
      </c>
      <c r="G9" s="347">
        <f>0+'táj.2.'!E9</f>
        <v>34472</v>
      </c>
      <c r="H9" s="347">
        <f>0+'táj.2.'!F9</f>
        <v>66810</v>
      </c>
      <c r="I9" s="347">
        <f>0+'táj.2.'!G9</f>
        <v>8</v>
      </c>
      <c r="J9" s="347">
        <f>0+'táj.2.'!H9</f>
        <v>0</v>
      </c>
      <c r="K9" s="639">
        <f>0+'táj.2.'!I9</f>
        <v>0</v>
      </c>
      <c r="L9" s="639">
        <f>0+'táj.2.'!J9</f>
        <v>0</v>
      </c>
      <c r="M9" s="639">
        <f>0+'táj.2.'!K9</f>
        <v>0</v>
      </c>
      <c r="N9" s="347">
        <f t="shared" si="1"/>
        <v>235203</v>
      </c>
      <c r="O9" s="73"/>
      <c r="P9" s="73"/>
      <c r="Q9" s="73"/>
    </row>
    <row r="10" spans="1:17" ht="13.5" customHeight="1">
      <c r="A10" s="345"/>
      <c r="B10" s="339" t="s">
        <v>31</v>
      </c>
      <c r="C10" s="285" t="s">
        <v>173</v>
      </c>
      <c r="D10" s="284">
        <v>0</v>
      </c>
      <c r="E10" s="347">
        <f>0+'táj.2.'!L10</f>
        <v>230286</v>
      </c>
      <c r="F10" s="347">
        <f>0+'táj.2.'!D10</f>
        <v>134457</v>
      </c>
      <c r="G10" s="347">
        <f>0+'táj.2.'!E10</f>
        <v>33638</v>
      </c>
      <c r="H10" s="347">
        <f>0+'táj.2.'!F10</f>
        <v>60025</v>
      </c>
      <c r="I10" s="347">
        <f>0+'táj.2.'!G10</f>
        <v>178</v>
      </c>
      <c r="J10" s="347">
        <f>0+'táj.2.'!H10</f>
        <v>0</v>
      </c>
      <c r="K10" s="639">
        <f>0+'táj.2.'!I10</f>
        <v>1988</v>
      </c>
      <c r="L10" s="639">
        <f>0+'táj.2.'!J10</f>
        <v>0</v>
      </c>
      <c r="M10" s="639">
        <f>0+'táj.2.'!K10</f>
        <v>0</v>
      </c>
      <c r="N10" s="347">
        <f t="shared" si="1"/>
        <v>230286</v>
      </c>
      <c r="O10" s="73"/>
      <c r="P10" s="73"/>
      <c r="Q10" s="73"/>
    </row>
    <row r="11" spans="1:17" ht="13.5" customHeight="1">
      <c r="A11" s="345"/>
      <c r="B11" s="339" t="s">
        <v>32</v>
      </c>
      <c r="C11" s="285" t="s">
        <v>174</v>
      </c>
      <c r="D11" s="284">
        <v>0</v>
      </c>
      <c r="E11" s="347">
        <f>0+'táj.2.'!L11</f>
        <v>206934</v>
      </c>
      <c r="F11" s="347">
        <f>0+'táj.2.'!D11</f>
        <v>118120</v>
      </c>
      <c r="G11" s="347">
        <f>0+'táj.2.'!E11</f>
        <v>30091</v>
      </c>
      <c r="H11" s="347">
        <f>0+'táj.2.'!F11</f>
        <v>58723</v>
      </c>
      <c r="I11" s="347">
        <f>0+'táj.2.'!G11</f>
        <v>0</v>
      </c>
      <c r="J11" s="347">
        <f>0+'táj.2.'!H11</f>
        <v>0</v>
      </c>
      <c r="K11" s="639">
        <f>0+'táj.2.'!I11</f>
        <v>0</v>
      </c>
      <c r="L11" s="639">
        <f>0+'táj.2.'!J11</f>
        <v>0</v>
      </c>
      <c r="M11" s="639">
        <f>0+'táj.2.'!K11</f>
        <v>0</v>
      </c>
      <c r="N11" s="347">
        <f t="shared" si="1"/>
        <v>206934</v>
      </c>
      <c r="O11" s="73"/>
      <c r="P11" s="73"/>
      <c r="Q11" s="73"/>
    </row>
    <row r="12" spans="1:17" ht="13.5" customHeight="1">
      <c r="A12" s="345"/>
      <c r="B12" s="339" t="s">
        <v>33</v>
      </c>
      <c r="C12" s="285" t="s">
        <v>175</v>
      </c>
      <c r="D12" s="284">
        <v>0</v>
      </c>
      <c r="E12" s="347">
        <f>0+'táj.2.'!L12</f>
        <v>225955</v>
      </c>
      <c r="F12" s="347">
        <f>0+'táj.2.'!D12</f>
        <v>130366</v>
      </c>
      <c r="G12" s="347">
        <f>0+'táj.2.'!E12</f>
        <v>33345</v>
      </c>
      <c r="H12" s="347">
        <f>0+'táj.2.'!F12</f>
        <v>61744</v>
      </c>
      <c r="I12" s="347">
        <f>0+'táj.2.'!G12</f>
        <v>0</v>
      </c>
      <c r="J12" s="347">
        <f>0+'táj.2.'!H12</f>
        <v>0</v>
      </c>
      <c r="K12" s="639">
        <f>0+'táj.2.'!I12</f>
        <v>500</v>
      </c>
      <c r="L12" s="639">
        <f>0+'táj.2.'!J12</f>
        <v>0</v>
      </c>
      <c r="M12" s="639">
        <f>0+'táj.2.'!K12</f>
        <v>0</v>
      </c>
      <c r="N12" s="347">
        <f t="shared" si="1"/>
        <v>225955</v>
      </c>
      <c r="O12" s="73"/>
      <c r="P12" s="73"/>
      <c r="Q12" s="73"/>
    </row>
    <row r="13" spans="1:17" ht="13.5" customHeight="1">
      <c r="A13" s="345"/>
      <c r="B13" s="339" t="s">
        <v>34</v>
      </c>
      <c r="C13" s="285" t="s">
        <v>176</v>
      </c>
      <c r="D13" s="284">
        <v>1332254</v>
      </c>
      <c r="E13" s="347">
        <f>16910+'táj.2.'!L13</f>
        <v>61360</v>
      </c>
      <c r="F13" s="347">
        <f>274223+'táj.2.'!D13</f>
        <v>281754</v>
      </c>
      <c r="G13" s="347">
        <f>73511+'táj.2.'!E13</f>
        <v>63354</v>
      </c>
      <c r="H13" s="347">
        <f>1000930+'táj.2.'!F13</f>
        <v>1045506</v>
      </c>
      <c r="I13" s="347">
        <f>0+'táj.2.'!G13</f>
        <v>0</v>
      </c>
      <c r="J13" s="347">
        <f>0+'táj.2.'!H13</f>
        <v>0</v>
      </c>
      <c r="K13" s="639">
        <f>500+'táj.2.'!I13</f>
        <v>500</v>
      </c>
      <c r="L13" s="639">
        <f>0+'táj.2.'!J13</f>
        <v>2500</v>
      </c>
      <c r="M13" s="639">
        <f>0+'táj.2.'!K13</f>
        <v>0</v>
      </c>
      <c r="N13" s="347">
        <f t="shared" si="1"/>
        <v>1393614</v>
      </c>
      <c r="O13" s="73"/>
      <c r="P13" s="73"/>
      <c r="Q13" s="73"/>
    </row>
    <row r="14" spans="1:17" ht="13.5" customHeight="1">
      <c r="A14" s="345">
        <v>2</v>
      </c>
      <c r="B14" s="345">
        <v>4</v>
      </c>
      <c r="C14" s="252" t="s">
        <v>488</v>
      </c>
      <c r="D14" s="283">
        <f>SUM(D15:D19)</f>
        <v>850235</v>
      </c>
      <c r="E14" s="283">
        <f aca="true" t="shared" si="2" ref="E14:N14">SUM(E15:E19)</f>
        <v>-831933</v>
      </c>
      <c r="F14" s="283">
        <f t="shared" si="2"/>
        <v>8613</v>
      </c>
      <c r="G14" s="283">
        <f t="shared" si="2"/>
        <v>1822</v>
      </c>
      <c r="H14" s="283">
        <f t="shared" si="2"/>
        <v>5889</v>
      </c>
      <c r="I14" s="283">
        <f t="shared" si="2"/>
        <v>1978</v>
      </c>
      <c r="J14" s="283">
        <f t="shared" si="2"/>
        <v>0</v>
      </c>
      <c r="K14" s="284">
        <f t="shared" si="2"/>
        <v>0</v>
      </c>
      <c r="L14" s="284">
        <f t="shared" si="2"/>
        <v>0</v>
      </c>
      <c r="M14" s="284">
        <f t="shared" si="2"/>
        <v>0</v>
      </c>
      <c r="N14" s="284">
        <f t="shared" si="2"/>
        <v>18302</v>
      </c>
      <c r="O14" s="73"/>
      <c r="P14" s="73"/>
      <c r="Q14" s="73"/>
    </row>
    <row r="15" spans="1:17" ht="13.5" customHeight="1">
      <c r="A15" s="345"/>
      <c r="B15" s="346" t="s">
        <v>856</v>
      </c>
      <c r="C15" s="285" t="s">
        <v>177</v>
      </c>
      <c r="D15" s="284">
        <v>207494</v>
      </c>
      <c r="E15" s="347">
        <f>18121+'táj.2.'!L15</f>
        <v>-207494</v>
      </c>
      <c r="F15" s="347">
        <f>128103+'táj.2.'!D15</f>
        <v>0</v>
      </c>
      <c r="G15" s="347">
        <f>33699+'táj.2.'!E15</f>
        <v>0</v>
      </c>
      <c r="H15" s="347">
        <f>63805+'táj.2.'!F15</f>
        <v>0</v>
      </c>
      <c r="I15" s="347">
        <f>8+'táj.2.'!G15</f>
        <v>0</v>
      </c>
      <c r="J15" s="347">
        <f>0+'táj.2.'!H15</f>
        <v>0</v>
      </c>
      <c r="K15" s="639">
        <f>0+'táj.2.'!I15</f>
        <v>0</v>
      </c>
      <c r="L15" s="639">
        <f>0+'táj.2.'!J15</f>
        <v>0</v>
      </c>
      <c r="M15" s="639">
        <f>0+'táj.2.'!K15</f>
        <v>0</v>
      </c>
      <c r="N15" s="347">
        <f t="shared" si="1"/>
        <v>0</v>
      </c>
      <c r="O15" s="73"/>
      <c r="P15" s="73"/>
      <c r="Q15" s="73"/>
    </row>
    <row r="16" spans="1:17" ht="12" customHeight="1">
      <c r="A16" s="345"/>
      <c r="B16" s="346" t="s">
        <v>857</v>
      </c>
      <c r="C16" s="285" t="s">
        <v>178</v>
      </c>
      <c r="D16" s="284">
        <v>205632</v>
      </c>
      <c r="E16" s="347">
        <f>18878+'táj.2.'!L16</f>
        <v>-205632</v>
      </c>
      <c r="F16" s="347">
        <f>130425+'táj.2.'!D16</f>
        <v>0</v>
      </c>
      <c r="G16" s="347">
        <f>33972+'táj.2.'!E16</f>
        <v>0</v>
      </c>
      <c r="H16" s="347">
        <f>59935+'táj.2.'!F16</f>
        <v>0</v>
      </c>
      <c r="I16" s="347">
        <f>178+'táj.2.'!G16</f>
        <v>0</v>
      </c>
      <c r="J16" s="347">
        <f>0+'táj.2.'!H16</f>
        <v>0</v>
      </c>
      <c r="K16" s="639">
        <f>0+'táj.2.'!I16</f>
        <v>0</v>
      </c>
      <c r="L16" s="639">
        <f>0+'táj.2.'!J16</f>
        <v>0</v>
      </c>
      <c r="M16" s="639">
        <f>0+'táj.2.'!K16</f>
        <v>0</v>
      </c>
      <c r="N16" s="347">
        <f t="shared" si="1"/>
        <v>0</v>
      </c>
      <c r="O16" s="73"/>
      <c r="P16" s="73"/>
      <c r="Q16" s="73"/>
    </row>
    <row r="17" spans="1:17" ht="13.5" customHeight="1">
      <c r="A17" s="345"/>
      <c r="B17" s="346" t="s">
        <v>858</v>
      </c>
      <c r="C17" s="285" t="s">
        <v>179</v>
      </c>
      <c r="D17" s="284">
        <v>169219</v>
      </c>
      <c r="E17" s="347">
        <f>13309+'táj.2.'!L17</f>
        <v>-169219</v>
      </c>
      <c r="F17" s="347">
        <f>104023+'táj.2.'!D17</f>
        <v>0</v>
      </c>
      <c r="G17" s="347">
        <f>27228+'táj.2.'!E17</f>
        <v>0</v>
      </c>
      <c r="H17" s="347">
        <f>51277+'táj.2.'!F17</f>
        <v>0</v>
      </c>
      <c r="I17" s="347">
        <f>0+'táj.2.'!G17</f>
        <v>0</v>
      </c>
      <c r="J17" s="347">
        <f>0+'táj.2.'!H17</f>
        <v>0</v>
      </c>
      <c r="K17" s="639">
        <f>0+'táj.2.'!I17</f>
        <v>0</v>
      </c>
      <c r="L17" s="639">
        <f>0+'táj.2.'!J17</f>
        <v>0</v>
      </c>
      <c r="M17" s="639">
        <f>0+'táj.2.'!K17</f>
        <v>0</v>
      </c>
      <c r="N17" s="347">
        <f t="shared" si="1"/>
        <v>0</v>
      </c>
      <c r="O17" s="73"/>
      <c r="P17" s="73"/>
      <c r="Q17" s="73"/>
    </row>
    <row r="18" spans="1:17" ht="13.5" customHeight="1">
      <c r="A18" s="345"/>
      <c r="B18" s="346" t="s">
        <v>859</v>
      </c>
      <c r="C18" s="285" t="s">
        <v>175</v>
      </c>
      <c r="D18" s="284">
        <v>207492</v>
      </c>
      <c r="E18" s="347">
        <f>17570+'táj.2.'!L18</f>
        <v>-207492</v>
      </c>
      <c r="F18" s="347">
        <f>129344+'táj.2.'!D18</f>
        <v>0</v>
      </c>
      <c r="G18" s="347">
        <f>33679+'táj.2.'!E18</f>
        <v>0</v>
      </c>
      <c r="H18" s="347">
        <f>61539+'táj.2.'!F18</f>
        <v>0</v>
      </c>
      <c r="I18" s="347">
        <f>0+'táj.2.'!G18</f>
        <v>0</v>
      </c>
      <c r="J18" s="347">
        <f>0+'táj.2.'!H18</f>
        <v>0</v>
      </c>
      <c r="K18" s="639">
        <f>500+'táj.2.'!I18</f>
        <v>0</v>
      </c>
      <c r="L18" s="639">
        <f>0+'táj.2.'!J18</f>
        <v>0</v>
      </c>
      <c r="M18" s="639">
        <f>0+'táj.2.'!K18</f>
        <v>0</v>
      </c>
      <c r="N18" s="347">
        <f t="shared" si="1"/>
        <v>0</v>
      </c>
      <c r="O18" s="73"/>
      <c r="P18" s="73"/>
      <c r="Q18" s="73"/>
    </row>
    <row r="19" spans="1:17" ht="13.5" customHeight="1">
      <c r="A19" s="345"/>
      <c r="B19" s="346" t="s">
        <v>860</v>
      </c>
      <c r="C19" s="285" t="s">
        <v>163</v>
      </c>
      <c r="D19" s="284">
        <v>60398</v>
      </c>
      <c r="E19" s="347">
        <f>-34598+'táj.2.'!L19</f>
        <v>-42096</v>
      </c>
      <c r="F19" s="347">
        <f>13951+'táj.2.'!D19</f>
        <v>8613</v>
      </c>
      <c r="G19" s="347">
        <f>3650+'táj.2.'!E19</f>
        <v>1822</v>
      </c>
      <c r="H19" s="347">
        <f>8198+'táj.2.'!F19</f>
        <v>5889</v>
      </c>
      <c r="I19" s="347">
        <f>1+'táj.2.'!G19</f>
        <v>1978</v>
      </c>
      <c r="J19" s="347">
        <f>0+'táj.2.'!H19</f>
        <v>0</v>
      </c>
      <c r="K19" s="639">
        <f>0+'táj.2.'!I19</f>
        <v>0</v>
      </c>
      <c r="L19" s="639">
        <f>0+'táj.2.'!J19</f>
        <v>0</v>
      </c>
      <c r="M19" s="639">
        <f>0+'táj.2.'!K19</f>
        <v>0</v>
      </c>
      <c r="N19" s="347">
        <f t="shared" si="1"/>
        <v>18302</v>
      </c>
      <c r="O19" s="73"/>
      <c r="P19" s="73"/>
      <c r="Q19" s="73"/>
    </row>
    <row r="20" spans="1:17" ht="13.5" customHeight="1">
      <c r="A20" s="345">
        <v>2</v>
      </c>
      <c r="B20" s="345">
        <v>5</v>
      </c>
      <c r="C20" s="252" t="s">
        <v>564</v>
      </c>
      <c r="D20" s="283">
        <v>93058</v>
      </c>
      <c r="E20" s="344">
        <f>3607+'táj.2.'!L20</f>
        <v>-35135</v>
      </c>
      <c r="F20" s="344">
        <f>28741+'táj.2.'!D20</f>
        <v>15555</v>
      </c>
      <c r="G20" s="344">
        <f>7844+'táj.2.'!E20</f>
        <v>3877</v>
      </c>
      <c r="H20" s="344">
        <f>57508+'táj.2.'!F20</f>
        <v>32865</v>
      </c>
      <c r="I20" s="344">
        <f>0+'táj.2.'!G20</f>
        <v>531</v>
      </c>
      <c r="J20" s="344">
        <f>0+'táj.2.'!H20</f>
        <v>158</v>
      </c>
      <c r="K20" s="539">
        <f>0+'táj.2.'!I20</f>
        <v>2341</v>
      </c>
      <c r="L20" s="539">
        <f>2572+'táj.2.'!J20</f>
        <v>2153</v>
      </c>
      <c r="M20" s="539">
        <f>0+'táj.2.'!K20</f>
        <v>443</v>
      </c>
      <c r="N20" s="344">
        <f t="shared" si="1"/>
        <v>57923</v>
      </c>
      <c r="O20" s="73"/>
      <c r="P20" s="73"/>
      <c r="Q20" s="73"/>
    </row>
    <row r="21" spans="1:17" ht="13.5" customHeight="1">
      <c r="A21" s="345">
        <v>2</v>
      </c>
      <c r="B21" s="345">
        <v>6</v>
      </c>
      <c r="C21" s="252" t="s">
        <v>565</v>
      </c>
      <c r="D21" s="283">
        <v>77936</v>
      </c>
      <c r="E21" s="344">
        <f>1932+'táj.2.'!L21</f>
        <v>-32012</v>
      </c>
      <c r="F21" s="344">
        <f>33926+'táj.2.'!D21</f>
        <v>19254</v>
      </c>
      <c r="G21" s="344">
        <f>9090+'táj.2.'!E21</f>
        <v>4901</v>
      </c>
      <c r="H21" s="344">
        <f>36852+'táj.2.'!F21</f>
        <v>21739</v>
      </c>
      <c r="I21" s="344">
        <f>0+'táj.2.'!G21</f>
        <v>30</v>
      </c>
      <c r="J21" s="344">
        <f>0+'táj.2.'!H21</f>
        <v>0</v>
      </c>
      <c r="K21" s="539">
        <f>0+'táj.2.'!I21</f>
        <v>0</v>
      </c>
      <c r="L21" s="539">
        <f>0+'táj.2.'!J21</f>
        <v>0</v>
      </c>
      <c r="M21" s="539">
        <f>0+'táj.2.'!K21</f>
        <v>0</v>
      </c>
      <c r="N21" s="344">
        <f t="shared" si="1"/>
        <v>45924</v>
      </c>
      <c r="O21" s="73"/>
      <c r="P21" s="73"/>
      <c r="Q21" s="73"/>
    </row>
    <row r="22" spans="1:17" ht="23.25" customHeight="1">
      <c r="A22" s="345">
        <v>2</v>
      </c>
      <c r="B22" s="345">
        <v>7</v>
      </c>
      <c r="C22" s="580" t="s">
        <v>182</v>
      </c>
      <c r="D22" s="283">
        <v>69724</v>
      </c>
      <c r="E22" s="344">
        <f>14784+'táj.2.'!L22</f>
        <v>69498</v>
      </c>
      <c r="F22" s="344">
        <f>31085+'táj.2.'!D22</f>
        <v>44523</v>
      </c>
      <c r="G22" s="344">
        <f>8770+'táj.2.'!E22</f>
        <v>12577</v>
      </c>
      <c r="H22" s="344">
        <f>44653+'táj.2.'!F22</f>
        <v>78880</v>
      </c>
      <c r="I22" s="344">
        <f>0+'táj.2.'!G22</f>
        <v>0</v>
      </c>
      <c r="J22" s="344">
        <f>0+'táj.2.'!H22</f>
        <v>0</v>
      </c>
      <c r="K22" s="539">
        <f>0+'táj.2.'!I22</f>
        <v>2443</v>
      </c>
      <c r="L22" s="539">
        <f>0+'táj.2.'!J22</f>
        <v>799</v>
      </c>
      <c r="M22" s="539">
        <f>0+'táj.2.'!K22</f>
        <v>0</v>
      </c>
      <c r="N22" s="344">
        <f t="shared" si="1"/>
        <v>139222</v>
      </c>
      <c r="O22" s="73"/>
      <c r="P22" s="73"/>
      <c r="Q22" s="73"/>
    </row>
    <row r="23" spans="1:14" s="75" customFormat="1" ht="13.5" customHeight="1">
      <c r="A23" s="267">
        <v>2</v>
      </c>
      <c r="B23" s="267">
        <v>8</v>
      </c>
      <c r="C23" s="133" t="s">
        <v>566</v>
      </c>
      <c r="D23" s="348">
        <f>SUM(D24:D25)</f>
        <v>204182</v>
      </c>
      <c r="E23" s="348">
        <f aca="true" t="shared" si="3" ref="E23:N23">SUM(E24:E25)</f>
        <v>45685</v>
      </c>
      <c r="F23" s="348">
        <f t="shared" si="3"/>
        <v>108274</v>
      </c>
      <c r="G23" s="348">
        <f t="shared" si="3"/>
        <v>25367</v>
      </c>
      <c r="H23" s="348">
        <f t="shared" si="3"/>
        <v>115566</v>
      </c>
      <c r="I23" s="348">
        <f t="shared" si="3"/>
        <v>17</v>
      </c>
      <c r="J23" s="640">
        <f t="shared" si="3"/>
        <v>0</v>
      </c>
      <c r="K23" s="640">
        <f t="shared" si="3"/>
        <v>404</v>
      </c>
      <c r="L23" s="640">
        <f t="shared" si="3"/>
        <v>239</v>
      </c>
      <c r="M23" s="640">
        <f t="shared" si="3"/>
        <v>0</v>
      </c>
      <c r="N23" s="640">
        <f t="shared" si="3"/>
        <v>249867</v>
      </c>
    </row>
    <row r="24" spans="1:14" s="75" customFormat="1" ht="13.5" customHeight="1">
      <c r="A24" s="267"/>
      <c r="B24" s="266" t="s">
        <v>567</v>
      </c>
      <c r="C24" s="285" t="s">
        <v>180</v>
      </c>
      <c r="D24" s="284">
        <v>191427</v>
      </c>
      <c r="E24" s="347">
        <f>20428+'táj.2.'!L24</f>
        <v>39025</v>
      </c>
      <c r="F24" s="347">
        <f>92714+'táj.2.'!D24</f>
        <v>98433</v>
      </c>
      <c r="G24" s="347">
        <f>23185+'táj.2.'!E24</f>
        <v>22865</v>
      </c>
      <c r="H24" s="347">
        <f>95296+'táj.2.'!F24</f>
        <v>108494</v>
      </c>
      <c r="I24" s="347">
        <f>17+'táj.2.'!G24</f>
        <v>17</v>
      </c>
      <c r="J24" s="347">
        <f>0+'táj.2.'!H24</f>
        <v>0</v>
      </c>
      <c r="K24" s="639">
        <f>404+'táj.2.'!I24</f>
        <v>404</v>
      </c>
      <c r="L24" s="639">
        <f>239+'táj.2.'!J24</f>
        <v>239</v>
      </c>
      <c r="M24" s="639">
        <f>0+'táj.2.'!K24</f>
        <v>0</v>
      </c>
      <c r="N24" s="347">
        <f t="shared" si="1"/>
        <v>230452</v>
      </c>
    </row>
    <row r="25" spans="1:14" s="75" customFormat="1" ht="13.5" customHeight="1">
      <c r="A25" s="267"/>
      <c r="B25" s="266" t="s">
        <v>568</v>
      </c>
      <c r="C25" s="285" t="s">
        <v>181</v>
      </c>
      <c r="D25" s="284">
        <v>12755</v>
      </c>
      <c r="E25" s="347">
        <f>4415+'táj.2.'!L25</f>
        <v>6660</v>
      </c>
      <c r="F25" s="347">
        <f>9606+'táj.2.'!D25</f>
        <v>9841</v>
      </c>
      <c r="G25" s="347">
        <f>2542+'táj.2.'!E25</f>
        <v>2502</v>
      </c>
      <c r="H25" s="347">
        <f>5022+'táj.2.'!F25</f>
        <v>7072</v>
      </c>
      <c r="I25" s="347">
        <f>0+'táj.2.'!G25</f>
        <v>0</v>
      </c>
      <c r="J25" s="347">
        <f>0+'táj.2.'!H25</f>
        <v>0</v>
      </c>
      <c r="K25" s="639">
        <f>0+'táj.2.'!I25</f>
        <v>0</v>
      </c>
      <c r="L25" s="639">
        <f>0+'táj.2.'!J25</f>
        <v>0</v>
      </c>
      <c r="M25" s="639">
        <f>0+'táj.2.'!K25</f>
        <v>0</v>
      </c>
      <c r="N25" s="347">
        <f t="shared" si="1"/>
        <v>19415</v>
      </c>
    </row>
    <row r="26" spans="1:14" s="75" customFormat="1" ht="13.5" customHeight="1">
      <c r="A26" s="267">
        <v>2</v>
      </c>
      <c r="B26" s="267">
        <v>9</v>
      </c>
      <c r="C26" s="102" t="s">
        <v>569</v>
      </c>
      <c r="D26" s="103">
        <v>163611</v>
      </c>
      <c r="E26" s="344">
        <f>171125+'táj.2.'!L26</f>
        <v>181530</v>
      </c>
      <c r="F26" s="344">
        <f>133467+'táj.2.'!D26</f>
        <v>135824</v>
      </c>
      <c r="G26" s="344">
        <f>34565+'táj.2.'!E26</f>
        <v>34084</v>
      </c>
      <c r="H26" s="344">
        <f>163904+'táj.2.'!F26</f>
        <v>173857</v>
      </c>
      <c r="I26" s="344">
        <f>800+'táj.2.'!G26</f>
        <v>800</v>
      </c>
      <c r="J26" s="344">
        <f>0+'táj.2.'!H26</f>
        <v>0</v>
      </c>
      <c r="K26" s="539">
        <f>2000+'táj.2.'!I26</f>
        <v>576</v>
      </c>
      <c r="L26" s="539">
        <f>0+'táj.2.'!J26</f>
        <v>0</v>
      </c>
      <c r="M26" s="539">
        <f>0+'táj.2.'!K26</f>
        <v>0</v>
      </c>
      <c r="N26" s="344">
        <f t="shared" si="1"/>
        <v>345141</v>
      </c>
    </row>
    <row r="27" spans="1:14" s="75" customFormat="1" ht="13.5" customHeight="1">
      <c r="A27" s="267">
        <v>2</v>
      </c>
      <c r="B27" s="267">
        <v>10</v>
      </c>
      <c r="C27" s="102" t="s">
        <v>570</v>
      </c>
      <c r="D27" s="103">
        <v>200000</v>
      </c>
      <c r="E27" s="344">
        <f>56025+'táj.2.'!L27</f>
        <v>153545</v>
      </c>
      <c r="F27" s="344">
        <f>107797+'táj.2.'!D27</f>
        <v>119687</v>
      </c>
      <c r="G27" s="344">
        <f>28633+'táj.2.'!E27</f>
        <v>29626</v>
      </c>
      <c r="H27" s="344">
        <f>90195+'táj.2.'!F27</f>
        <v>134572</v>
      </c>
      <c r="I27" s="344">
        <f>445+'táj.2.'!G27</f>
        <v>493</v>
      </c>
      <c r="J27" s="344">
        <f>0+'táj.2.'!H27</f>
        <v>0</v>
      </c>
      <c r="K27" s="539">
        <f>5343+'táj.2.'!I27</f>
        <v>5343</v>
      </c>
      <c r="L27" s="539">
        <f>23612+'táj.2.'!J27</f>
        <v>63824</v>
      </c>
      <c r="M27" s="539">
        <f>0+'táj.2.'!K27</f>
        <v>0</v>
      </c>
      <c r="N27" s="344">
        <f t="shared" si="1"/>
        <v>353545</v>
      </c>
    </row>
    <row r="28" spans="1:14" s="75" customFormat="1" ht="13.5" customHeight="1">
      <c r="A28" s="267">
        <v>2</v>
      </c>
      <c r="B28" s="267">
        <v>11</v>
      </c>
      <c r="C28" s="102" t="s">
        <v>615</v>
      </c>
      <c r="D28" s="103">
        <v>561466</v>
      </c>
      <c r="E28" s="344">
        <f>15814+'táj.2.'!L28</f>
        <v>18931</v>
      </c>
      <c r="F28" s="344">
        <f>291509+'táj.2.'!D28</f>
        <v>293770</v>
      </c>
      <c r="G28" s="344">
        <f>73711+'táj.2.'!E28</f>
        <v>72860</v>
      </c>
      <c r="H28" s="344">
        <f>212060+'táj.2.'!F28</f>
        <v>213617</v>
      </c>
      <c r="I28" s="344">
        <f>0+'táj.2.'!G28</f>
        <v>0</v>
      </c>
      <c r="J28" s="344">
        <f>0+'táj.2.'!H28</f>
        <v>0</v>
      </c>
      <c r="K28" s="539">
        <f>0+'táj.2.'!I28</f>
        <v>150</v>
      </c>
      <c r="L28" s="539">
        <f>0+'táj.2.'!J28</f>
        <v>0</v>
      </c>
      <c r="M28" s="539">
        <f>0+'táj.2.'!K28</f>
        <v>0</v>
      </c>
      <c r="N28" s="344">
        <f>SUM(F28:M28)</f>
        <v>580397</v>
      </c>
    </row>
    <row r="29" spans="1:14" s="75" customFormat="1" ht="11.25" customHeight="1">
      <c r="A29" s="267">
        <v>2</v>
      </c>
      <c r="B29" s="267">
        <v>12</v>
      </c>
      <c r="C29" s="102" t="s">
        <v>574</v>
      </c>
      <c r="D29" s="103">
        <v>101364</v>
      </c>
      <c r="E29" s="344">
        <f>3235+'táj.2.'!L29</f>
        <v>3645</v>
      </c>
      <c r="F29" s="344">
        <f>51338+'táj.2.'!D29</f>
        <v>51817</v>
      </c>
      <c r="G29" s="344">
        <f>13425+'táj.2.'!E29</f>
        <v>13356</v>
      </c>
      <c r="H29" s="344">
        <f>39836+'táj.2.'!F29</f>
        <v>39836</v>
      </c>
      <c r="I29" s="344">
        <f>0+'táj.2.'!G29</f>
        <v>0</v>
      </c>
      <c r="J29" s="344">
        <f>0+'táj.2.'!H29</f>
        <v>0</v>
      </c>
      <c r="K29" s="539">
        <f>0+'táj.2.'!I29</f>
        <v>0</v>
      </c>
      <c r="L29" s="539">
        <f>0+'táj.2.'!J29</f>
        <v>0</v>
      </c>
      <c r="M29" s="539">
        <f>0+'táj.2.'!K29</f>
        <v>0</v>
      </c>
      <c r="N29" s="344">
        <f>SUM(F29:M29)</f>
        <v>105009</v>
      </c>
    </row>
    <row r="30" spans="1:14" s="75" customFormat="1" ht="12" customHeight="1">
      <c r="A30" s="267">
        <v>2</v>
      </c>
      <c r="B30" s="267">
        <v>13</v>
      </c>
      <c r="C30" s="102" t="s">
        <v>571</v>
      </c>
      <c r="D30" s="103">
        <v>101745</v>
      </c>
      <c r="E30" s="344">
        <f>5294+'táj.2.'!L30</f>
        <v>7788</v>
      </c>
      <c r="F30" s="344">
        <f>35724+'táj.2.'!D30</f>
        <v>38253</v>
      </c>
      <c r="G30" s="344">
        <f>8286+'táj.2.'!E30</f>
        <v>8251</v>
      </c>
      <c r="H30" s="344">
        <f>61899+'táj.2.'!F30</f>
        <v>61899</v>
      </c>
      <c r="I30" s="344">
        <f>0+'táj.2.'!G30</f>
        <v>0</v>
      </c>
      <c r="J30" s="344">
        <f>0+'táj.2.'!H30</f>
        <v>0</v>
      </c>
      <c r="K30" s="539">
        <f>30+'táj.2.'!I30</f>
        <v>30</v>
      </c>
      <c r="L30" s="539">
        <f>1100+'táj.2.'!J30</f>
        <v>1100</v>
      </c>
      <c r="M30" s="539">
        <f>0+'táj.2.'!K30</f>
        <v>0</v>
      </c>
      <c r="N30" s="344">
        <f>SUM(F30:M30)</f>
        <v>109533</v>
      </c>
    </row>
    <row r="31" spans="1:14" s="75" customFormat="1" ht="12" customHeight="1" thickBot="1">
      <c r="A31" s="267">
        <v>2</v>
      </c>
      <c r="B31" s="267">
        <v>14</v>
      </c>
      <c r="C31" s="102" t="s">
        <v>489</v>
      </c>
      <c r="D31" s="103">
        <v>90900</v>
      </c>
      <c r="E31" s="344">
        <f>8763+'táj.2.'!L31</f>
        <v>9112</v>
      </c>
      <c r="F31" s="344">
        <f>28076+'táj.2.'!D31</f>
        <v>28193</v>
      </c>
      <c r="G31" s="344">
        <f>7592+'táj.2.'!E31</f>
        <v>7624</v>
      </c>
      <c r="H31" s="344">
        <f>63985+'táj.2.'!F31</f>
        <v>63985</v>
      </c>
      <c r="I31" s="344">
        <f>0+'táj.2.'!G31</f>
        <v>0</v>
      </c>
      <c r="J31" s="344">
        <f>0+'táj.2.'!H31</f>
        <v>0</v>
      </c>
      <c r="K31" s="539">
        <f>10+'táj.2.'!I31</f>
        <v>210</v>
      </c>
      <c r="L31" s="539">
        <f>0+'táj.2.'!J31</f>
        <v>0</v>
      </c>
      <c r="M31" s="539">
        <f>0+'táj.2.'!K31</f>
        <v>0</v>
      </c>
      <c r="N31" s="344">
        <f>SUM(F31:M31)</f>
        <v>100012</v>
      </c>
    </row>
    <row r="32" spans="1:14" s="75" customFormat="1" ht="13.5" customHeight="1" thickBot="1">
      <c r="A32" s="113"/>
      <c r="B32" s="114"/>
      <c r="C32" s="107" t="s">
        <v>534</v>
      </c>
      <c r="D32" s="108">
        <f>SUM(D3+D4+D5+D14+D20+D21+D22+D23+D26+D27+D28+D29+D30+D31)</f>
        <v>6233945</v>
      </c>
      <c r="E32" s="108">
        <f>SUM(E3+E4+E5+E14+E20+E21+E22+E23+E26+E27+E28+E29+E30+E31)</f>
        <v>78006</v>
      </c>
      <c r="F32" s="108">
        <f aca="true" t="shared" si="4" ref="F32:N32">SUM(F3+F4+F5+F14+F20+F21+F22+F23+F26+F27+F28+F29+F30+F31)</f>
        <v>2753761</v>
      </c>
      <c r="G32" s="108">
        <f t="shared" si="4"/>
        <v>685551</v>
      </c>
      <c r="H32" s="108">
        <f t="shared" si="4"/>
        <v>2728511</v>
      </c>
      <c r="I32" s="108">
        <f t="shared" si="4"/>
        <v>4140</v>
      </c>
      <c r="J32" s="108">
        <f t="shared" si="4"/>
        <v>158</v>
      </c>
      <c r="K32" s="108">
        <f t="shared" si="4"/>
        <v>52158</v>
      </c>
      <c r="L32" s="108">
        <f t="shared" si="4"/>
        <v>87229</v>
      </c>
      <c r="M32" s="108">
        <f t="shared" si="4"/>
        <v>443</v>
      </c>
      <c r="N32" s="108">
        <f t="shared" si="4"/>
        <v>6311951</v>
      </c>
    </row>
    <row r="33" spans="1:14" s="75" customFormat="1" ht="12.75">
      <c r="A33" s="115"/>
      <c r="B33" s="115"/>
      <c r="C33" s="110"/>
      <c r="D33" s="110"/>
      <c r="E33" s="110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s="75" customFormat="1" ht="12.75">
      <c r="A34" s="115"/>
      <c r="B34" s="115"/>
      <c r="C34" s="110"/>
      <c r="D34" s="110"/>
      <c r="E34" s="110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s="75" customFormat="1" ht="12.75">
      <c r="A35" s="115"/>
      <c r="B35" s="115"/>
      <c r="C35" s="110"/>
      <c r="D35" s="110"/>
      <c r="E35" s="110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s="75" customFormat="1" ht="12.75">
      <c r="A36" s="115"/>
      <c r="B36" s="115"/>
      <c r="C36" s="110"/>
      <c r="D36" s="110"/>
      <c r="E36" s="110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s="75" customFormat="1" ht="12.75">
      <c r="A37" s="115"/>
      <c r="B37" s="115"/>
      <c r="C37" s="110"/>
      <c r="D37" s="110"/>
      <c r="E37" s="110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 s="75" customFormat="1" ht="12.75">
      <c r="A38" s="115"/>
      <c r="B38" s="115"/>
      <c r="C38" s="110"/>
      <c r="D38" s="110"/>
      <c r="E38" s="110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s="75" customFormat="1" ht="12.75">
      <c r="A39" s="115"/>
      <c r="B39" s="115"/>
      <c r="C39" s="110"/>
      <c r="D39" s="110"/>
      <c r="E39" s="110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s="75" customFormat="1" ht="12.75">
      <c r="A40" s="115"/>
      <c r="B40" s="115"/>
      <c r="C40" s="110"/>
      <c r="D40" s="110"/>
      <c r="E40" s="110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s="75" customFormat="1" ht="12.75">
      <c r="A41" s="115"/>
      <c r="B41" s="115"/>
      <c r="C41" s="110"/>
      <c r="D41" s="110"/>
      <c r="E41" s="110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s="75" customFormat="1" ht="12.75">
      <c r="A42" s="115"/>
      <c r="B42" s="115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s="75" customFormat="1" ht="12.75">
      <c r="A43" s="115"/>
      <c r="B43" s="115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s="75" customFormat="1" ht="12.75">
      <c r="A44" s="115"/>
      <c r="B44" s="115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45" spans="1:14" s="75" customFormat="1" ht="12.75">
      <c r="A45" s="115"/>
      <c r="B45" s="115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4" s="75" customFormat="1" ht="12.75">
      <c r="A46" s="115"/>
      <c r="B46" s="115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  <row r="47" spans="1:14" s="75" customFormat="1" ht="12.75">
      <c r="A47" s="115"/>
      <c r="B47" s="115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4" s="75" customFormat="1" ht="12.75">
      <c r="A48" s="115"/>
      <c r="B48" s="115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</row>
    <row r="49" spans="1:14" s="75" customFormat="1" ht="12.75">
      <c r="A49" s="115"/>
      <c r="B49" s="115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8">
    <mergeCell ref="A1:A2"/>
    <mergeCell ref="B1:B2"/>
    <mergeCell ref="C1:C2"/>
    <mergeCell ref="D1:D2"/>
    <mergeCell ref="E1:E2"/>
    <mergeCell ref="N1:N2"/>
    <mergeCell ref="F1:J1"/>
    <mergeCell ref="K1:M1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MEGYEI JOGÚ VÁROS ÖNKORMÁNYZATA ÁLTAL IRÁNYÍTOTT KÖLTSÉGVETÉSI SZERVEK
2013. ÉVI  KIADÁSI ELŐIRÁNYZATAI&amp;R&amp;"Times New Roman,Dőlt"&amp;9 10.  számú melléklet
Adatok: eFt-ban</oddHeader>
    <oddFooter>&amp;C 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93"/>
  <sheetViews>
    <sheetView zoomScale="80" zoomScaleNormal="80" zoomScalePageLayoutView="0" workbookViewId="0" topLeftCell="A1">
      <pane ySplit="2" topLeftCell="A42" activePane="bottomLeft" state="frozen"/>
      <selection pane="topLeft" activeCell="A1" sqref="A1"/>
      <selection pane="bottomLeft" activeCell="I22" sqref="I22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9.8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8.50390625" style="4" customWidth="1"/>
    <col min="11" max="11" width="9.50390625" style="4" customWidth="1"/>
    <col min="12" max="14" width="11.00390625" style="4" customWidth="1"/>
    <col min="15" max="15" width="11.875" style="4" customWidth="1"/>
    <col min="16" max="16384" width="9.375" style="4" customWidth="1"/>
  </cols>
  <sheetData>
    <row r="1" spans="1:15" s="3" customFormat="1" ht="16.5" customHeight="1">
      <c r="A1" s="1"/>
      <c r="B1" s="2"/>
      <c r="C1" s="5"/>
      <c r="D1" s="897" t="s">
        <v>893</v>
      </c>
      <c r="E1" s="898"/>
      <c r="F1" s="901" t="s">
        <v>100</v>
      </c>
      <c r="G1" s="899" t="s">
        <v>894</v>
      </c>
      <c r="H1" s="900"/>
      <c r="I1" s="5"/>
      <c r="J1" s="13" t="s">
        <v>928</v>
      </c>
      <c r="K1" s="14"/>
      <c r="L1" s="15"/>
      <c r="M1" s="5"/>
      <c r="N1" s="5"/>
      <c r="O1" s="6"/>
    </row>
    <row r="2" spans="1:15" s="3" customFormat="1" ht="49.5" customHeight="1" thickBot="1">
      <c r="A2" s="8" t="s">
        <v>891</v>
      </c>
      <c r="B2" s="9" t="s">
        <v>892</v>
      </c>
      <c r="C2" s="16" t="s">
        <v>890</v>
      </c>
      <c r="D2" s="9" t="s">
        <v>926</v>
      </c>
      <c r="E2" s="9" t="s">
        <v>927</v>
      </c>
      <c r="F2" s="902"/>
      <c r="G2" s="9" t="s">
        <v>926</v>
      </c>
      <c r="H2" s="9" t="s">
        <v>927</v>
      </c>
      <c r="I2" s="9" t="s">
        <v>895</v>
      </c>
      <c r="J2" s="17" t="s">
        <v>896</v>
      </c>
      <c r="K2" s="17" t="s">
        <v>897</v>
      </c>
      <c r="L2" s="9" t="s">
        <v>898</v>
      </c>
      <c r="M2" s="9" t="s">
        <v>899</v>
      </c>
      <c r="N2" s="9" t="s">
        <v>900</v>
      </c>
      <c r="O2" s="18" t="s">
        <v>901</v>
      </c>
    </row>
    <row r="3" spans="1:15" s="3" customFormat="1" ht="12.75" customHeight="1">
      <c r="A3" s="10">
        <v>1</v>
      </c>
      <c r="B3" s="10"/>
      <c r="C3" s="19" t="s">
        <v>527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20"/>
    </row>
    <row r="4" spans="1:15" s="3" customFormat="1" ht="12.75" customHeight="1">
      <c r="A4" s="10">
        <v>1</v>
      </c>
      <c r="B4" s="10">
        <v>1</v>
      </c>
      <c r="C4" s="559" t="s">
        <v>106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20"/>
    </row>
    <row r="5" spans="1:15" s="3" customFormat="1" ht="12.75" customHeight="1">
      <c r="A5" s="10">
        <v>1</v>
      </c>
      <c r="B5" s="10">
        <v>12</v>
      </c>
      <c r="C5" s="21" t="s">
        <v>103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20"/>
    </row>
    <row r="6" spans="1:15" s="3" customFormat="1" ht="12.75" customHeight="1">
      <c r="A6" s="10"/>
      <c r="B6" s="10"/>
      <c r="C6" s="546" t="s">
        <v>961</v>
      </c>
      <c r="D6" s="560"/>
      <c r="E6" s="560"/>
      <c r="F6" s="560"/>
      <c r="G6" s="560"/>
      <c r="H6" s="560"/>
      <c r="I6" s="560"/>
      <c r="J6" s="560"/>
      <c r="K6" s="560">
        <v>27</v>
      </c>
      <c r="L6" s="560"/>
      <c r="M6" s="560"/>
      <c r="N6" s="560"/>
      <c r="O6" s="561">
        <f>SUM(D6:N6)</f>
        <v>27</v>
      </c>
    </row>
    <row r="7" spans="1:15" s="3" customFormat="1" ht="12.75" customHeight="1">
      <c r="A7" s="10"/>
      <c r="B7" s="10"/>
      <c r="C7" s="637" t="s">
        <v>308</v>
      </c>
      <c r="D7" s="748">
        <v>1107</v>
      </c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1">
        <f>SUM(D7:N7)</f>
        <v>1107</v>
      </c>
    </row>
    <row r="8" spans="1:15" s="3" customFormat="1" ht="16.5" customHeight="1">
      <c r="A8" s="11"/>
      <c r="B8" s="11"/>
      <c r="C8" s="562" t="s">
        <v>107</v>
      </c>
      <c r="D8" s="563">
        <f aca="true" t="shared" si="0" ref="D8:O8">SUM(D6:D7)</f>
        <v>1107</v>
      </c>
      <c r="E8" s="563">
        <f t="shared" si="0"/>
        <v>0</v>
      </c>
      <c r="F8" s="563">
        <f t="shared" si="0"/>
        <v>0</v>
      </c>
      <c r="G8" s="563">
        <f t="shared" si="0"/>
        <v>0</v>
      </c>
      <c r="H8" s="563">
        <f t="shared" si="0"/>
        <v>0</v>
      </c>
      <c r="I8" s="563">
        <f t="shared" si="0"/>
        <v>0</v>
      </c>
      <c r="J8" s="563">
        <f t="shared" si="0"/>
        <v>0</v>
      </c>
      <c r="K8" s="563">
        <f t="shared" si="0"/>
        <v>27</v>
      </c>
      <c r="L8" s="563">
        <f t="shared" si="0"/>
        <v>0</v>
      </c>
      <c r="M8" s="563">
        <f t="shared" si="0"/>
        <v>0</v>
      </c>
      <c r="N8" s="563">
        <f t="shared" si="0"/>
        <v>0</v>
      </c>
      <c r="O8" s="563">
        <f t="shared" si="0"/>
        <v>1134</v>
      </c>
    </row>
    <row r="9" spans="1:15" s="3" customFormat="1" ht="12.75" customHeight="1">
      <c r="A9" s="10">
        <v>1</v>
      </c>
      <c r="B9" s="10">
        <v>13</v>
      </c>
      <c r="C9" s="559" t="s">
        <v>104</v>
      </c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1"/>
    </row>
    <row r="10" spans="1:15" s="3" customFormat="1" ht="12.75" customHeight="1">
      <c r="A10" s="10"/>
      <c r="B10" s="10"/>
      <c r="C10" s="903" t="s">
        <v>1011</v>
      </c>
      <c r="D10" s="904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1"/>
    </row>
    <row r="11" spans="1:15" s="3" customFormat="1" ht="12.75" customHeight="1">
      <c r="A11" s="10"/>
      <c r="B11" s="10"/>
      <c r="C11" s="21" t="s">
        <v>236</v>
      </c>
      <c r="D11" s="560"/>
      <c r="E11" s="560">
        <v>2000</v>
      </c>
      <c r="F11" s="560"/>
      <c r="G11" s="560"/>
      <c r="H11" s="560"/>
      <c r="I11" s="560"/>
      <c r="J11" s="560"/>
      <c r="K11" s="560"/>
      <c r="L11" s="560"/>
      <c r="M11" s="560"/>
      <c r="N11" s="560"/>
      <c r="O11" s="561">
        <v>2000</v>
      </c>
    </row>
    <row r="12" spans="1:15" s="3" customFormat="1" ht="12.75" customHeight="1">
      <c r="A12" s="10"/>
      <c r="B12" s="10"/>
      <c r="C12" s="21" t="s">
        <v>242</v>
      </c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1"/>
    </row>
    <row r="13" spans="1:15" s="3" customFormat="1" ht="24.75" customHeight="1">
      <c r="A13" s="10"/>
      <c r="B13" s="10"/>
      <c r="C13" s="566" t="s">
        <v>243</v>
      </c>
      <c r="D13" s="560"/>
      <c r="E13" s="560"/>
      <c r="F13" s="560"/>
      <c r="G13" s="560"/>
      <c r="H13" s="560"/>
      <c r="I13" s="560"/>
      <c r="J13" s="560"/>
      <c r="K13" s="560"/>
      <c r="L13" s="571">
        <v>10067</v>
      </c>
      <c r="M13" s="560"/>
      <c r="N13" s="560"/>
      <c r="O13" s="561">
        <f>SUM(L13:N13)</f>
        <v>10067</v>
      </c>
    </row>
    <row r="14" spans="1:15" s="3" customFormat="1" ht="18.75" customHeight="1">
      <c r="A14" s="12"/>
      <c r="B14" s="12"/>
      <c r="C14" s="778" t="s">
        <v>108</v>
      </c>
      <c r="D14" s="563">
        <f>SUM(D11:D13)</f>
        <v>0</v>
      </c>
      <c r="E14" s="563">
        <f>SUM(E11:E13)</f>
        <v>2000</v>
      </c>
      <c r="F14" s="563">
        <f aca="true" t="shared" si="1" ref="F14:O14">SUM(F11:F13)</f>
        <v>0</v>
      </c>
      <c r="G14" s="563">
        <f t="shared" si="1"/>
        <v>0</v>
      </c>
      <c r="H14" s="563">
        <f t="shared" si="1"/>
        <v>0</v>
      </c>
      <c r="I14" s="563">
        <f t="shared" si="1"/>
        <v>0</v>
      </c>
      <c r="J14" s="563">
        <f t="shared" si="1"/>
        <v>0</v>
      </c>
      <c r="K14" s="563">
        <f t="shared" si="1"/>
        <v>0</v>
      </c>
      <c r="L14" s="563">
        <f t="shared" si="1"/>
        <v>10067</v>
      </c>
      <c r="M14" s="563">
        <f t="shared" si="1"/>
        <v>0</v>
      </c>
      <c r="N14" s="563">
        <f t="shared" si="1"/>
        <v>0</v>
      </c>
      <c r="O14" s="563">
        <f t="shared" si="1"/>
        <v>12067</v>
      </c>
    </row>
    <row r="15" spans="1:15" s="3" customFormat="1" ht="12.75" customHeight="1">
      <c r="A15" s="10">
        <v>1</v>
      </c>
      <c r="B15" s="10">
        <v>15</v>
      </c>
      <c r="C15" s="559" t="s">
        <v>903</v>
      </c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1"/>
    </row>
    <row r="16" spans="1:15" s="3" customFormat="1" ht="12.75" customHeight="1">
      <c r="A16" s="10"/>
      <c r="B16" s="10"/>
      <c r="C16" s="564" t="s">
        <v>962</v>
      </c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1"/>
    </row>
    <row r="17" spans="1:15" s="3" customFormat="1" ht="24.75" customHeight="1">
      <c r="A17" s="10"/>
      <c r="B17" s="10"/>
      <c r="C17" s="750" t="s">
        <v>275</v>
      </c>
      <c r="D17" s="560"/>
      <c r="E17" s="560"/>
      <c r="F17" s="560"/>
      <c r="G17" s="560"/>
      <c r="H17" s="560">
        <v>530</v>
      </c>
      <c r="I17" s="560"/>
      <c r="J17" s="560"/>
      <c r="K17" s="560"/>
      <c r="L17" s="560"/>
      <c r="M17" s="560"/>
      <c r="N17" s="560"/>
      <c r="O17" s="561">
        <f>SUM(D17:N17)</f>
        <v>530</v>
      </c>
    </row>
    <row r="18" spans="1:15" s="3" customFormat="1" ht="24.75" customHeight="1">
      <c r="A18" s="10"/>
      <c r="B18" s="10"/>
      <c r="C18" s="750" t="s">
        <v>276</v>
      </c>
      <c r="D18" s="560"/>
      <c r="E18" s="560"/>
      <c r="F18" s="560"/>
      <c r="G18" s="560"/>
      <c r="H18" s="560">
        <v>500</v>
      </c>
      <c r="I18" s="560"/>
      <c r="J18" s="560"/>
      <c r="K18" s="560"/>
      <c r="L18" s="560"/>
      <c r="M18" s="560"/>
      <c r="N18" s="560"/>
      <c r="O18" s="561">
        <f>SUM(D18:N18)</f>
        <v>500</v>
      </c>
    </row>
    <row r="19" spans="1:15" s="3" customFormat="1" ht="24.75" customHeight="1">
      <c r="A19" s="10"/>
      <c r="B19" s="10"/>
      <c r="C19" s="753" t="s">
        <v>1019</v>
      </c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1"/>
    </row>
    <row r="20" spans="1:15" s="3" customFormat="1" ht="15" customHeight="1">
      <c r="A20" s="10"/>
      <c r="B20" s="10"/>
      <c r="C20" s="815" t="s">
        <v>158</v>
      </c>
      <c r="D20" s="560">
        <v>2115</v>
      </c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1">
        <v>2115</v>
      </c>
    </row>
    <row r="21" spans="1:15" s="3" customFormat="1" ht="24.75" customHeight="1">
      <c r="A21" s="10"/>
      <c r="B21" s="10"/>
      <c r="C21" s="749" t="s">
        <v>963</v>
      </c>
      <c r="D21" s="560"/>
      <c r="E21" s="560"/>
      <c r="F21" s="560"/>
      <c r="G21" s="560"/>
      <c r="H21" s="560"/>
      <c r="I21" s="560"/>
      <c r="J21" s="560"/>
      <c r="K21" s="560"/>
      <c r="L21" s="560"/>
      <c r="M21" s="560"/>
      <c r="N21" s="560"/>
      <c r="O21" s="561"/>
    </row>
    <row r="22" spans="1:15" s="3" customFormat="1" ht="15" customHeight="1">
      <c r="A22" s="10"/>
      <c r="B22" s="10"/>
      <c r="C22" s="750" t="s">
        <v>313</v>
      </c>
      <c r="D22" s="560"/>
      <c r="E22" s="560"/>
      <c r="F22" s="560"/>
      <c r="G22" s="560"/>
      <c r="H22" s="560">
        <v>20268</v>
      </c>
      <c r="I22" s="560"/>
      <c r="J22" s="560"/>
      <c r="K22" s="560"/>
      <c r="L22" s="560"/>
      <c r="M22" s="560"/>
      <c r="N22" s="560"/>
      <c r="O22" s="561">
        <f>SUM(D22:N22)</f>
        <v>20268</v>
      </c>
    </row>
    <row r="23" spans="1:15" s="3" customFormat="1" ht="18.75" customHeight="1">
      <c r="A23" s="11"/>
      <c r="B23" s="11"/>
      <c r="C23" s="562" t="s">
        <v>827</v>
      </c>
      <c r="D23" s="563">
        <f aca="true" t="shared" si="2" ref="D23:O23">SUM(D16:D22)</f>
        <v>2115</v>
      </c>
      <c r="E23" s="563">
        <f t="shared" si="2"/>
        <v>0</v>
      </c>
      <c r="F23" s="563">
        <f t="shared" si="2"/>
        <v>0</v>
      </c>
      <c r="G23" s="563">
        <f t="shared" si="2"/>
        <v>0</v>
      </c>
      <c r="H23" s="563">
        <f t="shared" si="2"/>
        <v>21298</v>
      </c>
      <c r="I23" s="563">
        <f t="shared" si="2"/>
        <v>0</v>
      </c>
      <c r="J23" s="563">
        <f t="shared" si="2"/>
        <v>0</v>
      </c>
      <c r="K23" s="563">
        <f t="shared" si="2"/>
        <v>0</v>
      </c>
      <c r="L23" s="563">
        <f t="shared" si="2"/>
        <v>0</v>
      </c>
      <c r="M23" s="563">
        <f t="shared" si="2"/>
        <v>0</v>
      </c>
      <c r="N23" s="563">
        <f t="shared" si="2"/>
        <v>0</v>
      </c>
      <c r="O23" s="563">
        <f t="shared" si="2"/>
        <v>23413</v>
      </c>
    </row>
    <row r="24" spans="1:15" s="3" customFormat="1" ht="12.75" customHeight="1">
      <c r="A24" s="10">
        <v>1</v>
      </c>
      <c r="B24" s="10">
        <v>16</v>
      </c>
      <c r="C24" s="559" t="s">
        <v>467</v>
      </c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1"/>
    </row>
    <row r="25" spans="1:15" s="3" customFormat="1" ht="24.75" customHeight="1">
      <c r="A25" s="10"/>
      <c r="B25" s="10"/>
      <c r="C25" s="573" t="s">
        <v>964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1"/>
    </row>
    <row r="26" spans="1:15" s="3" customFormat="1" ht="49.5" customHeight="1">
      <c r="A26" s="10"/>
      <c r="B26" s="10"/>
      <c r="C26" s="751" t="s">
        <v>272</v>
      </c>
      <c r="D26" s="560"/>
      <c r="E26" s="560"/>
      <c r="F26" s="560"/>
      <c r="G26" s="560"/>
      <c r="H26" s="560"/>
      <c r="I26" s="560"/>
      <c r="J26" s="560"/>
      <c r="K26" s="560"/>
      <c r="L26" s="560">
        <v>649018</v>
      </c>
      <c r="M26" s="560"/>
      <c r="N26" s="560"/>
      <c r="O26" s="561">
        <f>SUM(D26:N26)</f>
        <v>649018</v>
      </c>
    </row>
    <row r="27" spans="1:15" s="3" customFormat="1" ht="40.5" customHeight="1">
      <c r="A27" s="10"/>
      <c r="B27" s="10"/>
      <c r="C27" s="752" t="s">
        <v>588</v>
      </c>
      <c r="D27" s="237"/>
      <c r="E27" s="560"/>
      <c r="F27" s="560"/>
      <c r="G27" s="560"/>
      <c r="H27" s="560"/>
      <c r="I27" s="560"/>
      <c r="J27" s="560"/>
      <c r="K27" s="560"/>
      <c r="L27" s="560">
        <v>39694</v>
      </c>
      <c r="M27" s="560"/>
      <c r="N27" s="560"/>
      <c r="O27" s="561">
        <f>SUM(D27:N27)</f>
        <v>39694</v>
      </c>
    </row>
    <row r="28" spans="1:15" s="3" customFormat="1" ht="19.5" customHeight="1">
      <c r="A28" s="12"/>
      <c r="B28" s="12"/>
      <c r="C28" s="562" t="s">
        <v>475</v>
      </c>
      <c r="D28" s="563">
        <f aca="true" t="shared" si="3" ref="D28:O28">SUM(D25:D27)</f>
        <v>0</v>
      </c>
      <c r="E28" s="563">
        <f t="shared" si="3"/>
        <v>0</v>
      </c>
      <c r="F28" s="563">
        <f t="shared" si="3"/>
        <v>0</v>
      </c>
      <c r="G28" s="563">
        <f t="shared" si="3"/>
        <v>0</v>
      </c>
      <c r="H28" s="563">
        <f t="shared" si="3"/>
        <v>0</v>
      </c>
      <c r="I28" s="563">
        <f t="shared" si="3"/>
        <v>0</v>
      </c>
      <c r="J28" s="563">
        <f t="shared" si="3"/>
        <v>0</v>
      </c>
      <c r="K28" s="563">
        <f t="shared" si="3"/>
        <v>0</v>
      </c>
      <c r="L28" s="563">
        <f t="shared" si="3"/>
        <v>688712</v>
      </c>
      <c r="M28" s="563">
        <f t="shared" si="3"/>
        <v>0</v>
      </c>
      <c r="N28" s="563">
        <f t="shared" si="3"/>
        <v>0</v>
      </c>
      <c r="O28" s="563">
        <f t="shared" si="3"/>
        <v>688712</v>
      </c>
    </row>
    <row r="29" spans="1:15" s="3" customFormat="1" ht="12.75" customHeight="1">
      <c r="A29" s="10">
        <v>1</v>
      </c>
      <c r="B29" s="10">
        <v>17</v>
      </c>
      <c r="C29" s="559" t="s">
        <v>904</v>
      </c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1"/>
    </row>
    <row r="30" spans="1:15" s="3" customFormat="1" ht="24.75" customHeight="1">
      <c r="A30" s="10"/>
      <c r="B30" s="10"/>
      <c r="C30" s="574" t="s">
        <v>965</v>
      </c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1"/>
    </row>
    <row r="31" spans="1:15" s="3" customFormat="1" ht="24.75" customHeight="1">
      <c r="A31" s="10"/>
      <c r="B31" s="10"/>
      <c r="C31" s="565" t="s">
        <v>10</v>
      </c>
      <c r="D31" s="560">
        <v>-8100</v>
      </c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1">
        <f>SUM(D31:N31)</f>
        <v>-8100</v>
      </c>
    </row>
    <row r="32" spans="1:15" s="3" customFormat="1" ht="24.75" customHeight="1">
      <c r="A32" s="10"/>
      <c r="B32" s="10"/>
      <c r="C32" s="753" t="s">
        <v>1019</v>
      </c>
      <c r="D32" s="754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1"/>
    </row>
    <row r="33" spans="1:15" s="3" customFormat="1" ht="15" customHeight="1">
      <c r="A33" s="10"/>
      <c r="B33" s="10"/>
      <c r="C33" s="755" t="s">
        <v>293</v>
      </c>
      <c r="D33" s="560"/>
      <c r="E33" s="560"/>
      <c r="F33" s="560"/>
      <c r="G33" s="560">
        <v>200</v>
      </c>
      <c r="H33" s="560"/>
      <c r="I33" s="560"/>
      <c r="J33" s="560"/>
      <c r="K33" s="560"/>
      <c r="L33" s="560"/>
      <c r="M33" s="560"/>
      <c r="N33" s="560"/>
      <c r="O33" s="561">
        <f>SUM(D33:N33)</f>
        <v>200</v>
      </c>
    </row>
    <row r="34" spans="1:15" s="3" customFormat="1" ht="15" customHeight="1">
      <c r="A34" s="10"/>
      <c r="B34" s="10"/>
      <c r="C34" s="779" t="s">
        <v>46</v>
      </c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1"/>
    </row>
    <row r="35" spans="1:15" s="3" customFormat="1" ht="24.75" customHeight="1">
      <c r="A35" s="10"/>
      <c r="B35" s="10"/>
      <c r="C35" s="780" t="s">
        <v>47</v>
      </c>
      <c r="D35" s="571">
        <v>25400</v>
      </c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1">
        <f>SUM(D35:N35)</f>
        <v>25400</v>
      </c>
    </row>
    <row r="36" spans="1:15" s="3" customFormat="1" ht="24.75" customHeight="1">
      <c r="A36" s="10"/>
      <c r="B36" s="10"/>
      <c r="C36" s="753" t="s">
        <v>1019</v>
      </c>
      <c r="D36" s="571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1">
        <f>SUM(D36:N36)</f>
        <v>0</v>
      </c>
    </row>
    <row r="37" spans="1:15" s="3" customFormat="1" ht="15" customHeight="1">
      <c r="A37" s="10"/>
      <c r="B37" s="10"/>
      <c r="C37" s="783" t="s">
        <v>714</v>
      </c>
      <c r="D37" s="560"/>
      <c r="E37" s="560"/>
      <c r="F37" s="560"/>
      <c r="G37" s="560">
        <v>4452</v>
      </c>
      <c r="H37" s="560"/>
      <c r="I37" s="560"/>
      <c r="J37" s="560"/>
      <c r="K37" s="560"/>
      <c r="L37" s="560"/>
      <c r="M37" s="560"/>
      <c r="N37" s="560"/>
      <c r="O37" s="561">
        <f>SUM(D37:N37)</f>
        <v>4452</v>
      </c>
    </row>
    <row r="38" spans="1:15" s="3" customFormat="1" ht="16.5" customHeight="1">
      <c r="A38" s="11"/>
      <c r="B38" s="11"/>
      <c r="C38" s="562" t="s">
        <v>447</v>
      </c>
      <c r="D38" s="563">
        <f aca="true" t="shared" si="4" ref="D38:O38">SUM(D30:D37)</f>
        <v>17300</v>
      </c>
      <c r="E38" s="563">
        <f t="shared" si="4"/>
        <v>0</v>
      </c>
      <c r="F38" s="563">
        <f t="shared" si="4"/>
        <v>0</v>
      </c>
      <c r="G38" s="563">
        <f t="shared" si="4"/>
        <v>4652</v>
      </c>
      <c r="H38" s="563">
        <f t="shared" si="4"/>
        <v>0</v>
      </c>
      <c r="I38" s="563">
        <f t="shared" si="4"/>
        <v>0</v>
      </c>
      <c r="J38" s="563">
        <f t="shared" si="4"/>
        <v>0</v>
      </c>
      <c r="K38" s="563">
        <f t="shared" si="4"/>
        <v>0</v>
      </c>
      <c r="L38" s="563">
        <f t="shared" si="4"/>
        <v>0</v>
      </c>
      <c r="M38" s="563">
        <f t="shared" si="4"/>
        <v>0</v>
      </c>
      <c r="N38" s="563">
        <f t="shared" si="4"/>
        <v>0</v>
      </c>
      <c r="O38" s="563">
        <f t="shared" si="4"/>
        <v>21952</v>
      </c>
    </row>
    <row r="39" spans="1:15" s="3" customFormat="1" ht="12.75" customHeight="1">
      <c r="A39" s="10">
        <v>1</v>
      </c>
      <c r="B39" s="10">
        <v>18</v>
      </c>
      <c r="C39" s="559" t="s">
        <v>109</v>
      </c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1"/>
    </row>
    <row r="40" spans="1:15" s="3" customFormat="1" ht="12.75" customHeight="1">
      <c r="A40" s="10"/>
      <c r="B40" s="10"/>
      <c r="C40" s="559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1">
        <f>SUM(D40:N40)</f>
        <v>0</v>
      </c>
    </row>
    <row r="41" spans="1:15" s="3" customFormat="1" ht="18.75" customHeight="1">
      <c r="A41" s="12"/>
      <c r="B41" s="12"/>
      <c r="C41" s="562" t="s">
        <v>110</v>
      </c>
      <c r="D41" s="563">
        <f aca="true" t="shared" si="5" ref="D41:O41">SUM(D40:D40)</f>
        <v>0</v>
      </c>
      <c r="E41" s="563">
        <f t="shared" si="5"/>
        <v>0</v>
      </c>
      <c r="F41" s="563">
        <f t="shared" si="5"/>
        <v>0</v>
      </c>
      <c r="G41" s="563">
        <f t="shared" si="5"/>
        <v>0</v>
      </c>
      <c r="H41" s="563">
        <f t="shared" si="5"/>
        <v>0</v>
      </c>
      <c r="I41" s="563">
        <f t="shared" si="5"/>
        <v>0</v>
      </c>
      <c r="J41" s="563">
        <f t="shared" si="5"/>
        <v>0</v>
      </c>
      <c r="K41" s="563">
        <f t="shared" si="5"/>
        <v>0</v>
      </c>
      <c r="L41" s="563">
        <f t="shared" si="5"/>
        <v>0</v>
      </c>
      <c r="M41" s="563">
        <f t="shared" si="5"/>
        <v>0</v>
      </c>
      <c r="N41" s="563">
        <f t="shared" si="5"/>
        <v>0</v>
      </c>
      <c r="O41" s="563">
        <f t="shared" si="5"/>
        <v>0</v>
      </c>
    </row>
    <row r="42" spans="1:15" s="3" customFormat="1" ht="15" customHeight="1">
      <c r="A42" s="10">
        <v>1</v>
      </c>
      <c r="B42" s="10">
        <v>19</v>
      </c>
      <c r="C42" s="559" t="s">
        <v>905</v>
      </c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1"/>
    </row>
    <row r="43" spans="1:15" s="3" customFormat="1" ht="37.5" customHeight="1">
      <c r="A43" s="10"/>
      <c r="B43" s="10"/>
      <c r="C43" s="566" t="s">
        <v>698</v>
      </c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1"/>
    </row>
    <row r="44" spans="1:15" s="3" customFormat="1" ht="24.75" customHeight="1">
      <c r="A44" s="10"/>
      <c r="B44" s="10"/>
      <c r="C44" s="566" t="s">
        <v>101</v>
      </c>
      <c r="D44" s="560"/>
      <c r="E44" s="560"/>
      <c r="F44" s="560"/>
      <c r="G44" s="560"/>
      <c r="H44" s="560"/>
      <c r="I44" s="560">
        <v>139856</v>
      </c>
      <c r="J44" s="560"/>
      <c r="K44" s="560"/>
      <c r="L44" s="560"/>
      <c r="M44" s="560"/>
      <c r="N44" s="560"/>
      <c r="O44" s="561">
        <f aca="true" t="shared" si="6" ref="O44:O56">SUM(D44:N44)</f>
        <v>139856</v>
      </c>
    </row>
    <row r="45" spans="1:15" s="3" customFormat="1" ht="15" customHeight="1">
      <c r="A45" s="10"/>
      <c r="B45" s="10"/>
      <c r="C45" s="21" t="s">
        <v>444</v>
      </c>
      <c r="D45" s="560"/>
      <c r="E45" s="560"/>
      <c r="F45" s="560"/>
      <c r="G45" s="560"/>
      <c r="H45" s="560"/>
      <c r="I45" s="560">
        <v>21695</v>
      </c>
      <c r="J45" s="560"/>
      <c r="K45" s="560"/>
      <c r="L45" s="560"/>
      <c r="M45" s="560"/>
      <c r="N45" s="560"/>
      <c r="O45" s="561">
        <f t="shared" si="6"/>
        <v>21695</v>
      </c>
    </row>
    <row r="46" spans="1:15" s="3" customFormat="1" ht="15" customHeight="1">
      <c r="A46" s="10"/>
      <c r="B46" s="10"/>
      <c r="C46" s="21" t="s">
        <v>967</v>
      </c>
      <c r="D46" s="567"/>
      <c r="E46" s="560"/>
      <c r="F46" s="560"/>
      <c r="G46" s="560"/>
      <c r="H46" s="560"/>
      <c r="I46" s="560">
        <v>275717</v>
      </c>
      <c r="J46" s="560"/>
      <c r="K46" s="560"/>
      <c r="L46" s="560"/>
      <c r="M46" s="560"/>
      <c r="N46" s="560"/>
      <c r="O46" s="561">
        <f t="shared" si="6"/>
        <v>275717</v>
      </c>
    </row>
    <row r="47" spans="1:15" s="3" customFormat="1" ht="15" customHeight="1">
      <c r="A47" s="10"/>
      <c r="B47" s="10"/>
      <c r="C47" s="755" t="s">
        <v>278</v>
      </c>
      <c r="D47" s="567"/>
      <c r="E47" s="560"/>
      <c r="F47" s="560"/>
      <c r="G47" s="560"/>
      <c r="H47" s="560"/>
      <c r="I47" s="560">
        <v>34262</v>
      </c>
      <c r="J47" s="560"/>
      <c r="K47" s="560"/>
      <c r="L47" s="560"/>
      <c r="M47" s="560"/>
      <c r="N47" s="560"/>
      <c r="O47" s="561">
        <f t="shared" si="6"/>
        <v>34262</v>
      </c>
    </row>
    <row r="48" spans="1:15" s="3" customFormat="1" ht="24.75" customHeight="1">
      <c r="A48" s="10"/>
      <c r="B48" s="10"/>
      <c r="C48" s="756" t="s">
        <v>279</v>
      </c>
      <c r="D48" s="567"/>
      <c r="E48" s="560"/>
      <c r="F48" s="560"/>
      <c r="G48" s="560"/>
      <c r="H48" s="560"/>
      <c r="I48" s="560">
        <v>32553</v>
      </c>
      <c r="J48" s="560"/>
      <c r="K48" s="560"/>
      <c r="L48" s="560"/>
      <c r="M48" s="560"/>
      <c r="N48" s="560"/>
      <c r="O48" s="561">
        <f t="shared" si="6"/>
        <v>32553</v>
      </c>
    </row>
    <row r="49" spans="1:15" s="3" customFormat="1" ht="15" customHeight="1">
      <c r="A49" s="10"/>
      <c r="B49" s="10"/>
      <c r="C49" s="578" t="s">
        <v>930</v>
      </c>
      <c r="D49" s="567">
        <v>1400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1">
        <f t="shared" si="6"/>
        <v>1400</v>
      </c>
    </row>
    <row r="50" spans="1:15" s="3" customFormat="1" ht="15" customHeight="1">
      <c r="A50" s="10"/>
      <c r="B50" s="10"/>
      <c r="C50" s="578" t="s">
        <v>713</v>
      </c>
      <c r="D50" s="784">
        <v>9867</v>
      </c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1">
        <f>SUM(D50:N50)</f>
        <v>9867</v>
      </c>
    </row>
    <row r="51" spans="1:15" s="3" customFormat="1" ht="15" customHeight="1">
      <c r="A51" s="10"/>
      <c r="B51" s="10"/>
      <c r="C51" s="20" t="s">
        <v>49</v>
      </c>
      <c r="D51" s="784">
        <v>17250</v>
      </c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1">
        <f>SUM(D51:N51)</f>
        <v>17250</v>
      </c>
    </row>
    <row r="52" spans="1:15" s="3" customFormat="1" ht="15" customHeight="1">
      <c r="A52" s="10"/>
      <c r="B52" s="10"/>
      <c r="C52" s="20" t="s">
        <v>50</v>
      </c>
      <c r="D52" s="784">
        <v>31780</v>
      </c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1">
        <f>SUM(D52:N52)</f>
        <v>31780</v>
      </c>
    </row>
    <row r="53" spans="1:15" s="3" customFormat="1" ht="24.75" customHeight="1">
      <c r="A53" s="10"/>
      <c r="B53" s="10"/>
      <c r="C53" s="22" t="s">
        <v>966</v>
      </c>
      <c r="D53" s="784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1">
        <f>SUM(D53:N53)</f>
        <v>0</v>
      </c>
    </row>
    <row r="54" spans="1:15" s="3" customFormat="1" ht="15" customHeight="1">
      <c r="A54" s="10"/>
      <c r="B54" s="10"/>
      <c r="C54" s="20" t="s">
        <v>1075</v>
      </c>
      <c r="D54" s="784">
        <v>16000</v>
      </c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1">
        <f>SUM(D54:N54)</f>
        <v>16000</v>
      </c>
    </row>
    <row r="55" spans="1:15" s="3" customFormat="1" ht="15" customHeight="1">
      <c r="A55" s="10"/>
      <c r="B55" s="10"/>
      <c r="C55" s="578" t="s">
        <v>232</v>
      </c>
      <c r="D55" s="567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1"/>
    </row>
    <row r="56" spans="1:15" s="3" customFormat="1" ht="24.75" customHeight="1">
      <c r="A56" s="10"/>
      <c r="B56" s="10"/>
      <c r="C56" s="576" t="s">
        <v>233</v>
      </c>
      <c r="D56" s="577"/>
      <c r="E56" s="577"/>
      <c r="F56" s="577"/>
      <c r="G56" s="577"/>
      <c r="H56" s="577"/>
      <c r="I56" s="577"/>
      <c r="J56" s="577"/>
      <c r="K56" s="608">
        <v>420</v>
      </c>
      <c r="L56" s="577"/>
      <c r="M56" s="577"/>
      <c r="N56" s="577"/>
      <c r="O56" s="561">
        <f t="shared" si="6"/>
        <v>420</v>
      </c>
    </row>
    <row r="57" spans="1:15" s="3" customFormat="1" ht="15" customHeight="1">
      <c r="A57" s="12"/>
      <c r="B57" s="11"/>
      <c r="C57" s="562" t="s">
        <v>906</v>
      </c>
      <c r="D57" s="563">
        <f aca="true" t="shared" si="7" ref="D57:O57">SUM(D42:D56)</f>
        <v>76297</v>
      </c>
      <c r="E57" s="563">
        <f t="shared" si="7"/>
        <v>0</v>
      </c>
      <c r="F57" s="563">
        <f t="shared" si="7"/>
        <v>0</v>
      </c>
      <c r="G57" s="563">
        <f t="shared" si="7"/>
        <v>0</v>
      </c>
      <c r="H57" s="563">
        <f t="shared" si="7"/>
        <v>0</v>
      </c>
      <c r="I57" s="563">
        <f t="shared" si="7"/>
        <v>504083</v>
      </c>
      <c r="J57" s="563">
        <f t="shared" si="7"/>
        <v>0</v>
      </c>
      <c r="K57" s="563">
        <f t="shared" si="7"/>
        <v>420</v>
      </c>
      <c r="L57" s="563">
        <f t="shared" si="7"/>
        <v>0</v>
      </c>
      <c r="M57" s="563">
        <f t="shared" si="7"/>
        <v>0</v>
      </c>
      <c r="N57" s="563">
        <f t="shared" si="7"/>
        <v>0</v>
      </c>
      <c r="O57" s="563">
        <f t="shared" si="7"/>
        <v>580800</v>
      </c>
    </row>
    <row r="58" spans="1:15" s="3" customFormat="1" ht="15" customHeight="1">
      <c r="A58" s="238">
        <v>1</v>
      </c>
      <c r="B58" s="238">
        <v>20</v>
      </c>
      <c r="C58" s="568" t="s">
        <v>829</v>
      </c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</row>
    <row r="59" spans="1:15" s="3" customFormat="1" ht="15" customHeight="1">
      <c r="A59" s="238"/>
      <c r="B59" s="238"/>
      <c r="C59" s="570"/>
      <c r="D59" s="569"/>
      <c r="E59" s="569"/>
      <c r="F59" s="571"/>
      <c r="G59" s="569"/>
      <c r="H59" s="569"/>
      <c r="I59" s="569"/>
      <c r="J59" s="569"/>
      <c r="K59" s="569"/>
      <c r="L59" s="569"/>
      <c r="M59" s="569"/>
      <c r="N59" s="569"/>
      <c r="O59" s="569">
        <f>SUM(D59:N59)</f>
        <v>0</v>
      </c>
    </row>
    <row r="60" spans="1:15" s="3" customFormat="1" ht="15" customHeight="1">
      <c r="A60" s="12"/>
      <c r="B60" s="11"/>
      <c r="C60" s="562" t="s">
        <v>111</v>
      </c>
      <c r="D60" s="563">
        <f aca="true" t="shared" si="8" ref="D60:O60">SUM(D58:D59)</f>
        <v>0</v>
      </c>
      <c r="E60" s="563">
        <f t="shared" si="8"/>
        <v>0</v>
      </c>
      <c r="F60" s="563">
        <f t="shared" si="8"/>
        <v>0</v>
      </c>
      <c r="G60" s="563">
        <f t="shared" si="8"/>
        <v>0</v>
      </c>
      <c r="H60" s="563">
        <f t="shared" si="8"/>
        <v>0</v>
      </c>
      <c r="I60" s="563">
        <f t="shared" si="8"/>
        <v>0</v>
      </c>
      <c r="J60" s="563">
        <f t="shared" si="8"/>
        <v>0</v>
      </c>
      <c r="K60" s="563">
        <f t="shared" si="8"/>
        <v>0</v>
      </c>
      <c r="L60" s="563">
        <f t="shared" si="8"/>
        <v>0</v>
      </c>
      <c r="M60" s="563">
        <f t="shared" si="8"/>
        <v>0</v>
      </c>
      <c r="N60" s="563">
        <f t="shared" si="8"/>
        <v>0</v>
      </c>
      <c r="O60" s="563">
        <f t="shared" si="8"/>
        <v>0</v>
      </c>
    </row>
    <row r="61" spans="1:15" s="3" customFormat="1" ht="15" customHeight="1">
      <c r="A61" s="238">
        <v>1</v>
      </c>
      <c r="B61" s="238">
        <v>22</v>
      </c>
      <c r="C61" s="568" t="s">
        <v>112</v>
      </c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</row>
    <row r="62" spans="1:15" s="3" customFormat="1" ht="15" customHeight="1">
      <c r="A62" s="238"/>
      <c r="B62" s="238"/>
      <c r="C62" s="776" t="s">
        <v>507</v>
      </c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</row>
    <row r="63" spans="1:15" s="3" customFormat="1" ht="15" customHeight="1">
      <c r="A63" s="238"/>
      <c r="B63" s="179"/>
      <c r="C63" s="776" t="s">
        <v>234</v>
      </c>
      <c r="D63" s="569"/>
      <c r="E63" s="571">
        <v>3696</v>
      </c>
      <c r="F63" s="571"/>
      <c r="G63" s="571"/>
      <c r="H63" s="571"/>
      <c r="I63" s="571"/>
      <c r="J63" s="571"/>
      <c r="K63" s="571"/>
      <c r="L63" s="571"/>
      <c r="M63" s="571"/>
      <c r="N63" s="571"/>
      <c r="O63" s="571">
        <f>SUM(D63:N63)</f>
        <v>3696</v>
      </c>
    </row>
    <row r="64" spans="1:15" s="3" customFormat="1" ht="15" customHeight="1">
      <c r="A64" s="12"/>
      <c r="B64" s="11"/>
      <c r="C64" s="562" t="s">
        <v>113</v>
      </c>
      <c r="D64" s="563">
        <f aca="true" t="shared" si="9" ref="D64:O64">SUM(D63:D63)</f>
        <v>0</v>
      </c>
      <c r="E64" s="563">
        <f t="shared" si="9"/>
        <v>3696</v>
      </c>
      <c r="F64" s="563">
        <f t="shared" si="9"/>
        <v>0</v>
      </c>
      <c r="G64" s="563">
        <f t="shared" si="9"/>
        <v>0</v>
      </c>
      <c r="H64" s="563">
        <f t="shared" si="9"/>
        <v>0</v>
      </c>
      <c r="I64" s="563">
        <f t="shared" si="9"/>
        <v>0</v>
      </c>
      <c r="J64" s="563">
        <f t="shared" si="9"/>
        <v>0</v>
      </c>
      <c r="K64" s="563">
        <f t="shared" si="9"/>
        <v>0</v>
      </c>
      <c r="L64" s="563">
        <f t="shared" si="9"/>
        <v>0</v>
      </c>
      <c r="M64" s="563">
        <f t="shared" si="9"/>
        <v>0</v>
      </c>
      <c r="N64" s="563">
        <f t="shared" si="9"/>
        <v>0</v>
      </c>
      <c r="O64" s="563">
        <f t="shared" si="9"/>
        <v>3696</v>
      </c>
    </row>
    <row r="65" spans="1:15" s="3" customFormat="1" ht="25.5" customHeight="1">
      <c r="A65" s="11"/>
      <c r="B65" s="11"/>
      <c r="C65" s="572" t="s">
        <v>532</v>
      </c>
      <c r="D65" s="563">
        <f aca="true" t="shared" si="10" ref="D65:O65">SUM(D8+D14+D23+D28+D38+D41+D57+D60+D64)</f>
        <v>96819</v>
      </c>
      <c r="E65" s="563">
        <f t="shared" si="10"/>
        <v>5696</v>
      </c>
      <c r="F65" s="563">
        <f t="shared" si="10"/>
        <v>0</v>
      </c>
      <c r="G65" s="563">
        <f t="shared" si="10"/>
        <v>4652</v>
      </c>
      <c r="H65" s="563">
        <f t="shared" si="10"/>
        <v>21298</v>
      </c>
      <c r="I65" s="563">
        <f t="shared" si="10"/>
        <v>504083</v>
      </c>
      <c r="J65" s="563">
        <f t="shared" si="10"/>
        <v>0</v>
      </c>
      <c r="K65" s="563">
        <f t="shared" si="10"/>
        <v>447</v>
      </c>
      <c r="L65" s="563">
        <f t="shared" si="10"/>
        <v>698779</v>
      </c>
      <c r="M65" s="563">
        <f t="shared" si="10"/>
        <v>0</v>
      </c>
      <c r="N65" s="563">
        <f t="shared" si="10"/>
        <v>0</v>
      </c>
      <c r="O65" s="563">
        <f t="shared" si="10"/>
        <v>1331774</v>
      </c>
    </row>
    <row r="66" spans="1:15" s="3" customFormat="1" ht="15" customHeight="1">
      <c r="A66" s="238">
        <v>2</v>
      </c>
      <c r="B66" s="179"/>
      <c r="C66" s="570" t="s">
        <v>528</v>
      </c>
      <c r="D66" s="571">
        <f>'táj.1.'!D33</f>
        <v>-209679</v>
      </c>
      <c r="E66" s="571">
        <f>'táj.1.'!E33</f>
        <v>2825</v>
      </c>
      <c r="F66" s="571"/>
      <c r="G66" s="571">
        <f>'táj.1.'!J33</f>
        <v>14117</v>
      </c>
      <c r="H66" s="571">
        <f>'táj.1.'!K33</f>
        <v>200</v>
      </c>
      <c r="I66" s="571"/>
      <c r="J66" s="571">
        <f>'táj.1.'!G33</f>
        <v>0</v>
      </c>
      <c r="K66" s="571">
        <f>'táj.1.'!H33</f>
        <v>73052</v>
      </c>
      <c r="L66" s="571">
        <f>'táj.1.'!I33</f>
        <v>37850</v>
      </c>
      <c r="M66" s="571"/>
      <c r="N66" s="571">
        <f>'táj.1.'!L33</f>
        <v>-55479</v>
      </c>
      <c r="O66" s="571">
        <f>SUM(D66:N66)</f>
        <v>-137114</v>
      </c>
    </row>
    <row r="67" spans="1:15" s="3" customFormat="1" ht="15" customHeight="1">
      <c r="A67" s="11"/>
      <c r="B67" s="11"/>
      <c r="C67" s="562" t="s">
        <v>455</v>
      </c>
      <c r="D67" s="563">
        <f aca="true" t="shared" si="11" ref="D67:O67">SUM(D65:D66)</f>
        <v>-112860</v>
      </c>
      <c r="E67" s="563">
        <f t="shared" si="11"/>
        <v>8521</v>
      </c>
      <c r="F67" s="563">
        <f t="shared" si="11"/>
        <v>0</v>
      </c>
      <c r="G67" s="563">
        <f t="shared" si="11"/>
        <v>18769</v>
      </c>
      <c r="H67" s="563">
        <f t="shared" si="11"/>
        <v>21498</v>
      </c>
      <c r="I67" s="563">
        <f t="shared" si="11"/>
        <v>504083</v>
      </c>
      <c r="J67" s="563">
        <f t="shared" si="11"/>
        <v>0</v>
      </c>
      <c r="K67" s="563">
        <f t="shared" si="11"/>
        <v>73499</v>
      </c>
      <c r="L67" s="563">
        <f t="shared" si="11"/>
        <v>736629</v>
      </c>
      <c r="M67" s="563">
        <f t="shared" si="11"/>
        <v>0</v>
      </c>
      <c r="N67" s="563">
        <f t="shared" si="11"/>
        <v>-55479</v>
      </c>
      <c r="O67" s="563">
        <f t="shared" si="11"/>
        <v>1194660</v>
      </c>
    </row>
    <row r="68" spans="1:15" s="3" customFormat="1" ht="13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80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3:15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3:15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3:15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3:15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3:15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3:15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3:15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3:15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3:15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3:15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3:15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3:15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3:15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3:15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3:15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3:15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3:15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</sheetData>
  <sheetProtection/>
  <mergeCells count="4">
    <mergeCell ref="D1:E1"/>
    <mergeCell ref="G1:H1"/>
    <mergeCell ref="F1:F2"/>
    <mergeCell ref="C10:D10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2013. ÉVI BEVÉTELI ELŐIRÁNYZATAINAK  MÓDOSÍTÁSA &amp;R&amp;"Times New Roman,Normál"11. számú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6"/>
  <sheetViews>
    <sheetView zoomScale="95" zoomScaleNormal="95" zoomScaleSheetLayoutView="120" zoomScalePageLayoutView="0" workbookViewId="0" topLeftCell="A1">
      <pane ySplit="2" topLeftCell="A126" activePane="bottomLeft" state="frozen"/>
      <selection pane="topLeft" activeCell="A1" sqref="A1"/>
      <selection pane="bottomLeft" activeCell="I102" sqref="I102"/>
    </sheetView>
  </sheetViews>
  <sheetFormatPr defaultColWidth="9.00390625" defaultRowHeight="12.75"/>
  <cols>
    <col min="1" max="1" width="5.125" style="24" customWidth="1"/>
    <col min="2" max="2" width="5.875" style="24" customWidth="1"/>
    <col min="3" max="3" width="9.375" style="24" customWidth="1"/>
    <col min="4" max="4" width="35.125" style="24" customWidth="1"/>
    <col min="5" max="5" width="4.375" style="24" customWidth="1"/>
    <col min="6" max="6" width="10.125" style="24" customWidth="1"/>
    <col min="7" max="7" width="11.00390625" style="24" customWidth="1"/>
    <col min="8" max="8" width="10.00390625" style="24" customWidth="1"/>
    <col min="9" max="10" width="9.375" style="24" customWidth="1"/>
    <col min="11" max="11" width="10.125" style="24" customWidth="1"/>
    <col min="12" max="12" width="9.375" style="24" customWidth="1"/>
    <col min="13" max="13" width="11.00390625" style="24" bestFit="1" customWidth="1"/>
    <col min="14" max="14" width="9.875" style="24" bestFit="1" customWidth="1"/>
    <col min="15" max="15" width="8.875" style="24" customWidth="1"/>
    <col min="16" max="16" width="10.125" style="24" customWidth="1"/>
    <col min="17" max="17" width="8.875" style="24" customWidth="1"/>
    <col min="18" max="16384" width="9.375" style="24" customWidth="1"/>
  </cols>
  <sheetData>
    <row r="1" spans="1:17" s="23" customFormat="1" ht="24.75" customHeight="1">
      <c r="A1" s="146"/>
      <c r="B1" s="147"/>
      <c r="C1" s="148"/>
      <c r="D1" s="149"/>
      <c r="E1" s="940" t="s">
        <v>517</v>
      </c>
      <c r="F1" s="927" t="s">
        <v>69</v>
      </c>
      <c r="G1" s="928"/>
      <c r="H1" s="928"/>
      <c r="I1" s="928"/>
      <c r="J1" s="928"/>
      <c r="K1" s="929" t="s">
        <v>75</v>
      </c>
      <c r="L1" s="930"/>
      <c r="M1" s="931"/>
      <c r="N1" s="150"/>
      <c r="O1" s="150"/>
      <c r="P1" s="148"/>
      <c r="Q1" s="938" t="s">
        <v>826</v>
      </c>
    </row>
    <row r="2" spans="1:17" ht="63.75" customHeight="1" thickBot="1">
      <c r="A2" s="151" t="s">
        <v>907</v>
      </c>
      <c r="B2" s="152" t="s">
        <v>908</v>
      </c>
      <c r="C2" s="153" t="s">
        <v>890</v>
      </c>
      <c r="D2" s="154"/>
      <c r="E2" s="941"/>
      <c r="F2" s="129" t="s">
        <v>70</v>
      </c>
      <c r="G2" s="129" t="s">
        <v>114</v>
      </c>
      <c r="H2" s="129" t="s">
        <v>486</v>
      </c>
      <c r="I2" s="129" t="s">
        <v>73</v>
      </c>
      <c r="J2" s="129" t="s">
        <v>910</v>
      </c>
      <c r="K2" s="129" t="s">
        <v>76</v>
      </c>
      <c r="L2" s="129" t="s">
        <v>77</v>
      </c>
      <c r="M2" s="129" t="s">
        <v>78</v>
      </c>
      <c r="N2" s="152" t="s">
        <v>115</v>
      </c>
      <c r="O2" s="152" t="s">
        <v>912</v>
      </c>
      <c r="P2" s="155" t="s">
        <v>901</v>
      </c>
      <c r="Q2" s="939"/>
    </row>
    <row r="3" spans="1:17" ht="13.5" customHeight="1">
      <c r="A3" s="25">
        <v>1</v>
      </c>
      <c r="B3" s="25"/>
      <c r="C3" s="26" t="s">
        <v>527</v>
      </c>
      <c r="D3" s="27"/>
      <c r="E3" s="51"/>
      <c r="F3" s="28"/>
      <c r="G3" s="28"/>
      <c r="H3" s="28"/>
      <c r="I3" s="28"/>
      <c r="J3" s="28"/>
      <c r="K3" s="28"/>
      <c r="L3" s="28"/>
      <c r="M3" s="28"/>
      <c r="N3" s="28"/>
      <c r="O3" s="28"/>
      <c r="P3" s="36"/>
      <c r="Q3" s="370"/>
    </row>
    <row r="4" spans="1:17" ht="13.5" customHeight="1">
      <c r="A4" s="25">
        <v>1</v>
      </c>
      <c r="B4" s="25">
        <v>1</v>
      </c>
      <c r="C4" s="26" t="s">
        <v>106</v>
      </c>
      <c r="D4" s="27"/>
      <c r="E4" s="51"/>
      <c r="F4" s="28"/>
      <c r="G4" s="28"/>
      <c r="H4" s="28"/>
      <c r="I4" s="28"/>
      <c r="J4" s="28"/>
      <c r="K4" s="28"/>
      <c r="L4" s="28"/>
      <c r="M4" s="28"/>
      <c r="N4" s="28"/>
      <c r="O4" s="28"/>
      <c r="P4" s="36"/>
      <c r="Q4" s="156"/>
    </row>
    <row r="5" spans="1:17" ht="13.5" customHeight="1">
      <c r="A5" s="25">
        <v>1</v>
      </c>
      <c r="B5" s="25">
        <v>12</v>
      </c>
      <c r="C5" s="358" t="s">
        <v>103</v>
      </c>
      <c r="D5" s="27"/>
      <c r="E5" s="51"/>
      <c r="F5" s="28"/>
      <c r="G5" s="28"/>
      <c r="H5" s="28"/>
      <c r="I5" s="28"/>
      <c r="J5" s="28"/>
      <c r="K5" s="28"/>
      <c r="L5" s="28"/>
      <c r="M5" s="28"/>
      <c r="N5" s="28"/>
      <c r="O5" s="28"/>
      <c r="P5" s="36"/>
      <c r="Q5" s="156"/>
    </row>
    <row r="6" spans="1:17" ht="13.5" customHeight="1">
      <c r="A6" s="25"/>
      <c r="B6" s="25"/>
      <c r="C6" s="934" t="s">
        <v>968</v>
      </c>
      <c r="D6" s="935"/>
      <c r="E6" s="610">
        <v>1</v>
      </c>
      <c r="F6" s="361"/>
      <c r="G6" s="361"/>
      <c r="H6" s="361"/>
      <c r="I6" s="361"/>
      <c r="J6" s="361">
        <v>8279</v>
      </c>
      <c r="K6" s="361"/>
      <c r="L6" s="28"/>
      <c r="M6" s="28"/>
      <c r="N6" s="28"/>
      <c r="O6" s="28"/>
      <c r="P6" s="36">
        <f aca="true" t="shared" si="0" ref="P6:P23">SUM(F6:O6)</f>
        <v>8279</v>
      </c>
      <c r="Q6" s="156" t="s">
        <v>547</v>
      </c>
    </row>
    <row r="7" spans="1:17" ht="13.5" customHeight="1">
      <c r="A7" s="25"/>
      <c r="B7" s="25"/>
      <c r="C7" s="36" t="s">
        <v>969</v>
      </c>
      <c r="D7" s="237"/>
      <c r="E7" s="610">
        <v>1</v>
      </c>
      <c r="F7" s="361"/>
      <c r="G7" s="361"/>
      <c r="H7" s="361"/>
      <c r="I7" s="361"/>
      <c r="J7" s="361">
        <v>28911</v>
      </c>
      <c r="K7" s="361"/>
      <c r="L7" s="28"/>
      <c r="M7" s="28"/>
      <c r="N7" s="28"/>
      <c r="O7" s="28"/>
      <c r="P7" s="36">
        <f t="shared" si="0"/>
        <v>28911</v>
      </c>
      <c r="Q7" s="156" t="s">
        <v>547</v>
      </c>
    </row>
    <row r="8" spans="1:17" ht="13.5" customHeight="1">
      <c r="A8" s="25"/>
      <c r="B8" s="25"/>
      <c r="C8" s="936" t="s">
        <v>970</v>
      </c>
      <c r="D8" s="904"/>
      <c r="E8" s="610">
        <v>1</v>
      </c>
      <c r="F8" s="361"/>
      <c r="G8" s="361"/>
      <c r="H8" s="361"/>
      <c r="I8" s="361"/>
      <c r="J8" s="361">
        <v>9964</v>
      </c>
      <c r="K8" s="361"/>
      <c r="L8" s="28"/>
      <c r="M8" s="28"/>
      <c r="N8" s="28"/>
      <c r="O8" s="28"/>
      <c r="P8" s="36">
        <f t="shared" si="0"/>
        <v>9964</v>
      </c>
      <c r="Q8" s="156" t="s">
        <v>547</v>
      </c>
    </row>
    <row r="9" spans="1:17" ht="13.5" customHeight="1">
      <c r="A9" s="25"/>
      <c r="B9" s="25"/>
      <c r="C9" s="36" t="s">
        <v>971</v>
      </c>
      <c r="D9" s="237"/>
      <c r="E9" s="610">
        <v>1</v>
      </c>
      <c r="F9" s="361"/>
      <c r="G9" s="361"/>
      <c r="H9" s="361"/>
      <c r="I9" s="361"/>
      <c r="J9" s="361">
        <v>354</v>
      </c>
      <c r="K9" s="361"/>
      <c r="L9" s="28"/>
      <c r="M9" s="28"/>
      <c r="N9" s="28"/>
      <c r="O9" s="28"/>
      <c r="P9" s="36">
        <f t="shared" si="0"/>
        <v>354</v>
      </c>
      <c r="Q9" s="156" t="s">
        <v>547</v>
      </c>
    </row>
    <row r="10" spans="1:17" ht="13.5" customHeight="1">
      <c r="A10" s="25"/>
      <c r="B10" s="25"/>
      <c r="C10" s="936" t="s">
        <v>1007</v>
      </c>
      <c r="D10" s="937"/>
      <c r="E10" s="611">
        <v>1</v>
      </c>
      <c r="F10" s="361"/>
      <c r="G10" s="361"/>
      <c r="H10" s="361"/>
      <c r="I10" s="361"/>
      <c r="J10" s="361">
        <v>96</v>
      </c>
      <c r="K10" s="361"/>
      <c r="L10" s="28"/>
      <c r="M10" s="28"/>
      <c r="N10" s="28"/>
      <c r="O10" s="28"/>
      <c r="P10" s="36">
        <f t="shared" si="0"/>
        <v>96</v>
      </c>
      <c r="Q10" s="156" t="s">
        <v>547</v>
      </c>
    </row>
    <row r="11" spans="1:17" ht="13.5" customHeight="1">
      <c r="A11" s="25"/>
      <c r="B11" s="25"/>
      <c r="C11" s="936" t="s">
        <v>972</v>
      </c>
      <c r="D11" s="904"/>
      <c r="E11" s="610">
        <v>1</v>
      </c>
      <c r="F11" s="361"/>
      <c r="G11" s="361"/>
      <c r="H11" s="361"/>
      <c r="I11" s="361"/>
      <c r="J11" s="361">
        <v>1000</v>
      </c>
      <c r="K11" s="361"/>
      <c r="L11" s="28"/>
      <c r="M11" s="28"/>
      <c r="N11" s="28"/>
      <c r="O11" s="28"/>
      <c r="P11" s="36">
        <f t="shared" si="0"/>
        <v>1000</v>
      </c>
      <c r="Q11" s="156" t="s">
        <v>547</v>
      </c>
    </row>
    <row r="12" spans="1:17" ht="13.5" customHeight="1">
      <c r="A12" s="25"/>
      <c r="B12" s="25"/>
      <c r="C12" s="936" t="s">
        <v>973</v>
      </c>
      <c r="D12" s="904"/>
      <c r="E12" s="610">
        <v>1</v>
      </c>
      <c r="F12" s="361"/>
      <c r="G12" s="361"/>
      <c r="H12" s="361"/>
      <c r="I12" s="361"/>
      <c r="J12" s="361"/>
      <c r="K12" s="361"/>
      <c r="L12" s="28"/>
      <c r="M12" s="28"/>
      <c r="N12" s="28"/>
      <c r="O12" s="28"/>
      <c r="P12" s="36">
        <f t="shared" si="0"/>
        <v>0</v>
      </c>
      <c r="Q12" s="156" t="s">
        <v>547</v>
      </c>
    </row>
    <row r="13" spans="1:17" ht="13.5" customHeight="1">
      <c r="A13" s="25"/>
      <c r="B13" s="25"/>
      <c r="C13" s="936" t="s">
        <v>974</v>
      </c>
      <c r="D13" s="904"/>
      <c r="E13" s="610">
        <v>1</v>
      </c>
      <c r="F13" s="361"/>
      <c r="G13" s="361"/>
      <c r="H13" s="361"/>
      <c r="I13" s="361"/>
      <c r="J13" s="361">
        <v>247</v>
      </c>
      <c r="K13" s="361"/>
      <c r="L13" s="28"/>
      <c r="M13" s="28"/>
      <c r="N13" s="28"/>
      <c r="O13" s="28"/>
      <c r="P13" s="36">
        <f t="shared" si="0"/>
        <v>247</v>
      </c>
      <c r="Q13" s="156" t="s">
        <v>547</v>
      </c>
    </row>
    <row r="14" spans="1:17" ht="13.5" customHeight="1">
      <c r="A14" s="25"/>
      <c r="B14" s="25"/>
      <c r="C14" s="942" t="s">
        <v>961</v>
      </c>
      <c r="D14" s="943"/>
      <c r="E14" s="612">
        <v>1</v>
      </c>
      <c r="F14" s="361"/>
      <c r="G14" s="361"/>
      <c r="H14" s="361"/>
      <c r="I14" s="361"/>
      <c r="J14" s="361">
        <v>27</v>
      </c>
      <c r="K14" s="361"/>
      <c r="L14" s="28"/>
      <c r="M14" s="28"/>
      <c r="N14" s="28"/>
      <c r="O14" s="28"/>
      <c r="P14" s="36">
        <f t="shared" si="0"/>
        <v>27</v>
      </c>
      <c r="Q14" s="156" t="s">
        <v>547</v>
      </c>
    </row>
    <row r="15" spans="1:17" ht="13.5" customHeight="1">
      <c r="A15" s="25"/>
      <c r="B15" s="25"/>
      <c r="C15" s="768" t="s">
        <v>973</v>
      </c>
      <c r="D15" s="692"/>
      <c r="E15" s="612"/>
      <c r="F15" s="361"/>
      <c r="G15" s="361"/>
      <c r="H15" s="361"/>
      <c r="I15" s="361"/>
      <c r="J15" s="361"/>
      <c r="K15" s="361"/>
      <c r="L15" s="28"/>
      <c r="M15" s="28"/>
      <c r="N15" s="28"/>
      <c r="O15" s="28"/>
      <c r="P15" s="36"/>
      <c r="Q15" s="156"/>
    </row>
    <row r="16" spans="1:17" ht="13.5" customHeight="1">
      <c r="A16" s="25"/>
      <c r="B16" s="25"/>
      <c r="C16" s="546" t="s">
        <v>284</v>
      </c>
      <c r="D16" s="692"/>
      <c r="E16" s="612">
        <v>1</v>
      </c>
      <c r="F16" s="361"/>
      <c r="G16" s="361"/>
      <c r="H16" s="361"/>
      <c r="I16" s="361"/>
      <c r="J16" s="361">
        <v>7917</v>
      </c>
      <c r="K16" s="361"/>
      <c r="L16" s="28"/>
      <c r="M16" s="28"/>
      <c r="N16" s="28"/>
      <c r="O16" s="28"/>
      <c r="P16" s="36">
        <f t="shared" si="0"/>
        <v>7917</v>
      </c>
      <c r="Q16" s="156" t="s">
        <v>547</v>
      </c>
    </row>
    <row r="17" spans="1:17" ht="13.5" customHeight="1">
      <c r="A17" s="25"/>
      <c r="B17" s="25"/>
      <c r="C17" s="903" t="s">
        <v>308</v>
      </c>
      <c r="D17" s="904"/>
      <c r="E17" s="610"/>
      <c r="F17" s="361"/>
      <c r="G17" s="361"/>
      <c r="H17" s="361">
        <v>2607</v>
      </c>
      <c r="I17" s="361"/>
      <c r="J17" s="361"/>
      <c r="K17" s="361"/>
      <c r="L17" s="28"/>
      <c r="M17" s="28"/>
      <c r="N17" s="28"/>
      <c r="O17" s="28"/>
      <c r="P17" s="36">
        <f t="shared" si="0"/>
        <v>2607</v>
      </c>
      <c r="Q17" s="156" t="s">
        <v>547</v>
      </c>
    </row>
    <row r="18" spans="1:17" ht="13.5" customHeight="1">
      <c r="A18" s="25"/>
      <c r="B18" s="25"/>
      <c r="C18" s="903" t="s">
        <v>585</v>
      </c>
      <c r="D18" s="923"/>
      <c r="E18" s="610">
        <v>1</v>
      </c>
      <c r="F18" s="361"/>
      <c r="G18" s="361"/>
      <c r="H18" s="361"/>
      <c r="I18" s="361"/>
      <c r="J18" s="361"/>
      <c r="K18" s="361"/>
      <c r="L18" s="28"/>
      <c r="M18" s="28"/>
      <c r="N18" s="28"/>
      <c r="O18" s="28"/>
      <c r="P18" s="36"/>
      <c r="Q18" s="156"/>
    </row>
    <row r="19" spans="1:17" ht="13.5" customHeight="1">
      <c r="A19" s="25"/>
      <c r="B19" s="25"/>
      <c r="C19" s="541" t="s">
        <v>251</v>
      </c>
      <c r="D19" s="550"/>
      <c r="E19" s="610"/>
      <c r="F19" s="361"/>
      <c r="G19" s="361"/>
      <c r="H19" s="361"/>
      <c r="I19" s="361">
        <v>5000</v>
      </c>
      <c r="J19" s="361"/>
      <c r="K19" s="361"/>
      <c r="L19" s="28"/>
      <c r="M19" s="28"/>
      <c r="N19" s="28"/>
      <c r="O19" s="28"/>
      <c r="P19" s="36">
        <f t="shared" si="0"/>
        <v>5000</v>
      </c>
      <c r="Q19" s="156" t="s">
        <v>547</v>
      </c>
    </row>
    <row r="20" spans="1:17" ht="13.5" customHeight="1">
      <c r="A20" s="25"/>
      <c r="B20" s="25"/>
      <c r="C20" s="907" t="s">
        <v>977</v>
      </c>
      <c r="D20" s="904"/>
      <c r="E20" s="610"/>
      <c r="F20" s="361"/>
      <c r="G20" s="361"/>
      <c r="H20" s="361"/>
      <c r="I20" s="361"/>
      <c r="J20" s="361"/>
      <c r="K20" s="361"/>
      <c r="L20" s="28"/>
      <c r="M20" s="28"/>
      <c r="N20" s="28"/>
      <c r="O20" s="28"/>
      <c r="P20" s="36"/>
      <c r="Q20" s="156"/>
    </row>
    <row r="21" spans="1:17" ht="13.5" customHeight="1">
      <c r="A21" s="25"/>
      <c r="B21" s="25"/>
      <c r="C21" s="36" t="s">
        <v>978</v>
      </c>
      <c r="D21" s="237"/>
      <c r="E21" s="610">
        <v>2</v>
      </c>
      <c r="F21" s="361"/>
      <c r="G21" s="361"/>
      <c r="H21" s="361"/>
      <c r="I21" s="361"/>
      <c r="J21" s="361">
        <v>-1500</v>
      </c>
      <c r="K21" s="361"/>
      <c r="L21" s="28"/>
      <c r="M21" s="28"/>
      <c r="N21" s="28"/>
      <c r="O21" s="28"/>
      <c r="P21" s="36">
        <f t="shared" si="0"/>
        <v>-1500</v>
      </c>
      <c r="Q21" s="156" t="s">
        <v>547</v>
      </c>
    </row>
    <row r="22" spans="1:17" ht="13.5" customHeight="1">
      <c r="A22" s="25"/>
      <c r="B22" s="25"/>
      <c r="C22" s="951" t="s">
        <v>1009</v>
      </c>
      <c r="D22" s="952"/>
      <c r="E22" s="615"/>
      <c r="F22" s="361"/>
      <c r="G22" s="361"/>
      <c r="H22" s="361"/>
      <c r="I22" s="361"/>
      <c r="J22" s="361"/>
      <c r="K22" s="361"/>
      <c r="L22" s="28"/>
      <c r="M22" s="28"/>
      <c r="N22" s="28"/>
      <c r="O22" s="28"/>
      <c r="P22" s="36"/>
      <c r="Q22" s="156"/>
    </row>
    <row r="23" spans="1:17" ht="13.5" customHeight="1">
      <c r="A23" s="25"/>
      <c r="B23" s="25"/>
      <c r="C23" s="548" t="s">
        <v>1010</v>
      </c>
      <c r="D23" s="549"/>
      <c r="E23" s="616">
        <v>2</v>
      </c>
      <c r="F23" s="361"/>
      <c r="G23" s="361"/>
      <c r="H23" s="361">
        <v>-823</v>
      </c>
      <c r="I23" s="361"/>
      <c r="J23" s="361"/>
      <c r="K23" s="361"/>
      <c r="L23" s="28"/>
      <c r="M23" s="28"/>
      <c r="N23" s="28"/>
      <c r="O23" s="28"/>
      <c r="P23" s="36">
        <f t="shared" si="0"/>
        <v>-823</v>
      </c>
      <c r="Q23" s="156" t="s">
        <v>547</v>
      </c>
    </row>
    <row r="24" spans="1:17" ht="13.5" customHeight="1">
      <c r="A24" s="25"/>
      <c r="B24" s="25"/>
      <c r="C24" s="953"/>
      <c r="D24" s="954"/>
      <c r="E24" s="616"/>
      <c r="F24" s="361"/>
      <c r="G24" s="361"/>
      <c r="H24" s="361"/>
      <c r="I24" s="361"/>
      <c r="J24" s="361"/>
      <c r="K24" s="361"/>
      <c r="L24" s="28"/>
      <c r="M24" s="28"/>
      <c r="N24" s="28"/>
      <c r="O24" s="28"/>
      <c r="P24" s="36"/>
      <c r="Q24" s="156"/>
    </row>
    <row r="25" spans="1:17" ht="13.5" customHeight="1">
      <c r="A25" s="362"/>
      <c r="B25" s="362"/>
      <c r="C25" s="371" t="s">
        <v>117</v>
      </c>
      <c r="D25" s="363"/>
      <c r="E25" s="617"/>
      <c r="F25" s="365">
        <f aca="true" t="shared" si="1" ref="F25:P25">SUM(F5:F24)</f>
        <v>0</v>
      </c>
      <c r="G25" s="365">
        <f t="shared" si="1"/>
        <v>0</v>
      </c>
      <c r="H25" s="365">
        <f t="shared" si="1"/>
        <v>1784</v>
      </c>
      <c r="I25" s="365">
        <f t="shared" si="1"/>
        <v>5000</v>
      </c>
      <c r="J25" s="365">
        <f t="shared" si="1"/>
        <v>55295</v>
      </c>
      <c r="K25" s="365">
        <f t="shared" si="1"/>
        <v>0</v>
      </c>
      <c r="L25" s="365">
        <f t="shared" si="1"/>
        <v>0</v>
      </c>
      <c r="M25" s="365">
        <f t="shared" si="1"/>
        <v>0</v>
      </c>
      <c r="N25" s="365">
        <f t="shared" si="1"/>
        <v>0</v>
      </c>
      <c r="O25" s="365">
        <f t="shared" si="1"/>
        <v>0</v>
      </c>
      <c r="P25" s="365">
        <f t="shared" si="1"/>
        <v>62079</v>
      </c>
      <c r="Q25" s="366"/>
    </row>
    <row r="26" spans="1:17" ht="13.5" customHeight="1">
      <c r="A26" s="25"/>
      <c r="B26" s="25"/>
      <c r="C26" s="358" t="s">
        <v>924</v>
      </c>
      <c r="D26" s="27"/>
      <c r="E26" s="61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6">
        <f aca="true" t="shared" si="2" ref="P26:P133">SUM(F26:O26)</f>
        <v>0</v>
      </c>
      <c r="Q26" s="156"/>
    </row>
    <row r="27" spans="1:17" ht="13.5" customHeight="1">
      <c r="A27" s="25"/>
      <c r="B27" s="25"/>
      <c r="C27" s="358" t="s">
        <v>925</v>
      </c>
      <c r="D27" s="27"/>
      <c r="E27" s="61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6">
        <f t="shared" si="2"/>
        <v>0</v>
      </c>
      <c r="Q27" s="156"/>
    </row>
    <row r="28" spans="1:17" ht="13.5" customHeight="1">
      <c r="A28" s="362"/>
      <c r="B28" s="362"/>
      <c r="C28" s="371" t="s">
        <v>118</v>
      </c>
      <c r="D28" s="363"/>
      <c r="E28" s="617"/>
      <c r="F28" s="365">
        <f>SUM(F25:F27)</f>
        <v>0</v>
      </c>
      <c r="G28" s="365">
        <f aca="true" t="shared" si="3" ref="G28:P28">SUM(G25:G27)</f>
        <v>0</v>
      </c>
      <c r="H28" s="365">
        <f t="shared" si="3"/>
        <v>1784</v>
      </c>
      <c r="I28" s="365">
        <f t="shared" si="3"/>
        <v>5000</v>
      </c>
      <c r="J28" s="365">
        <f t="shared" si="3"/>
        <v>55295</v>
      </c>
      <c r="K28" s="365">
        <f t="shared" si="3"/>
        <v>0</v>
      </c>
      <c r="L28" s="365">
        <f t="shared" si="3"/>
        <v>0</v>
      </c>
      <c r="M28" s="365">
        <f t="shared" si="3"/>
        <v>0</v>
      </c>
      <c r="N28" s="365">
        <f t="shared" si="3"/>
        <v>0</v>
      </c>
      <c r="O28" s="365">
        <f t="shared" si="3"/>
        <v>0</v>
      </c>
      <c r="P28" s="365">
        <f t="shared" si="3"/>
        <v>62079</v>
      </c>
      <c r="Q28" s="366"/>
    </row>
    <row r="29" spans="1:17" ht="13.5" customHeight="1">
      <c r="A29" s="37">
        <v>1</v>
      </c>
      <c r="B29" s="37">
        <v>13</v>
      </c>
      <c r="C29" s="80" t="s">
        <v>104</v>
      </c>
      <c r="D29" s="47"/>
      <c r="E29" s="61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6"/>
      <c r="Q29" s="156"/>
    </row>
    <row r="30" spans="1:17" ht="13.5" customHeight="1">
      <c r="A30" s="37"/>
      <c r="B30" s="37"/>
      <c r="C30" s="769" t="s">
        <v>512</v>
      </c>
      <c r="D30" s="47"/>
      <c r="E30" s="61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6"/>
      <c r="Q30" s="156"/>
    </row>
    <row r="31" spans="1:17" ht="13.5" customHeight="1">
      <c r="A31" s="37"/>
      <c r="B31" s="37"/>
      <c r="C31" s="903" t="s">
        <v>1011</v>
      </c>
      <c r="D31" s="904"/>
      <c r="E31" s="61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6"/>
      <c r="Q31" s="156"/>
    </row>
    <row r="32" spans="1:17" ht="13.5" customHeight="1">
      <c r="A32" s="37"/>
      <c r="B32" s="37"/>
      <c r="C32" s="541" t="s">
        <v>238</v>
      </c>
      <c r="D32" s="38"/>
      <c r="E32" s="619"/>
      <c r="F32" s="28"/>
      <c r="G32" s="28"/>
      <c r="H32" s="28"/>
      <c r="I32" s="361">
        <v>2665</v>
      </c>
      <c r="J32" s="28"/>
      <c r="K32" s="28"/>
      <c r="L32" s="28"/>
      <c r="M32" s="28"/>
      <c r="N32" s="28"/>
      <c r="O32" s="28"/>
      <c r="P32" s="36">
        <v>2665</v>
      </c>
      <c r="Q32" s="156" t="s">
        <v>547</v>
      </c>
    </row>
    <row r="33" spans="1:17" ht="13.5" customHeight="1">
      <c r="A33" s="37"/>
      <c r="B33" s="37"/>
      <c r="C33" s="921" t="s">
        <v>155</v>
      </c>
      <c r="D33" s="831"/>
      <c r="E33" s="619"/>
      <c r="F33" s="28"/>
      <c r="G33" s="28"/>
      <c r="H33" s="28"/>
      <c r="I33" s="361">
        <v>7000</v>
      </c>
      <c r="J33" s="28"/>
      <c r="K33" s="28"/>
      <c r="L33" s="28"/>
      <c r="M33" s="28"/>
      <c r="N33" s="28"/>
      <c r="O33" s="28"/>
      <c r="P33" s="36">
        <v>7000</v>
      </c>
      <c r="Q33" s="156" t="s">
        <v>547</v>
      </c>
    </row>
    <row r="34" spans="1:17" ht="24.75" customHeight="1">
      <c r="A34" s="37"/>
      <c r="B34" s="37"/>
      <c r="C34" s="861" t="s">
        <v>1067</v>
      </c>
      <c r="D34" s="918"/>
      <c r="E34" s="619"/>
      <c r="F34" s="28"/>
      <c r="G34" s="28"/>
      <c r="H34" s="361">
        <v>-112</v>
      </c>
      <c r="I34" s="361"/>
      <c r="J34" s="28"/>
      <c r="K34" s="28"/>
      <c r="L34" s="28"/>
      <c r="M34" s="28"/>
      <c r="N34" s="28"/>
      <c r="O34" s="28"/>
      <c r="P34" s="36">
        <f>SUM(H34:O34)</f>
        <v>-112</v>
      </c>
      <c r="Q34" s="156" t="s">
        <v>547</v>
      </c>
    </row>
    <row r="35" spans="1:17" ht="24.75" customHeight="1">
      <c r="A35" s="37"/>
      <c r="B35" s="37"/>
      <c r="C35" s="861" t="s">
        <v>1069</v>
      </c>
      <c r="D35" s="918"/>
      <c r="E35" s="619"/>
      <c r="F35" s="28"/>
      <c r="G35" s="28"/>
      <c r="H35" s="361">
        <v>312</v>
      </c>
      <c r="I35" s="361"/>
      <c r="J35" s="28"/>
      <c r="K35" s="28"/>
      <c r="L35" s="28"/>
      <c r="M35" s="28"/>
      <c r="N35" s="28"/>
      <c r="O35" s="28"/>
      <c r="P35" s="36">
        <f>SUM(H35:O35)</f>
        <v>312</v>
      </c>
      <c r="Q35" s="156" t="s">
        <v>547</v>
      </c>
    </row>
    <row r="36" spans="1:17" ht="13.5" customHeight="1">
      <c r="A36" s="37"/>
      <c r="B36" s="37"/>
      <c r="C36" s="915" t="s">
        <v>513</v>
      </c>
      <c r="D36" s="955"/>
      <c r="E36" s="61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6"/>
      <c r="Q36" s="156"/>
    </row>
    <row r="37" spans="1:17" ht="13.5" customHeight="1">
      <c r="A37" s="37"/>
      <c r="B37" s="37"/>
      <c r="C37" s="907" t="s">
        <v>1012</v>
      </c>
      <c r="D37" s="904"/>
      <c r="E37" s="610"/>
      <c r="F37" s="28"/>
      <c r="G37" s="28"/>
      <c r="H37" s="361"/>
      <c r="I37" s="361"/>
      <c r="J37" s="361"/>
      <c r="K37" s="28"/>
      <c r="L37" s="28"/>
      <c r="M37" s="28"/>
      <c r="N37" s="28"/>
      <c r="O37" s="28"/>
      <c r="P37" s="36"/>
      <c r="Q37" s="156"/>
    </row>
    <row r="38" spans="1:17" ht="13.5" customHeight="1">
      <c r="A38" s="37"/>
      <c r="B38" s="37"/>
      <c r="C38" s="905" t="s">
        <v>309</v>
      </c>
      <c r="D38" s="909"/>
      <c r="E38" s="622">
        <v>2</v>
      </c>
      <c r="F38" s="28"/>
      <c r="G38" s="28"/>
      <c r="H38" s="361"/>
      <c r="I38" s="361">
        <v>-600</v>
      </c>
      <c r="J38" s="361"/>
      <c r="K38" s="28"/>
      <c r="L38" s="28"/>
      <c r="M38" s="28"/>
      <c r="N38" s="28"/>
      <c r="O38" s="28"/>
      <c r="P38" s="36">
        <f t="shared" si="2"/>
        <v>-600</v>
      </c>
      <c r="Q38" s="156" t="s">
        <v>547</v>
      </c>
    </row>
    <row r="39" spans="1:17" ht="45" customHeight="1">
      <c r="A39" s="37"/>
      <c r="B39" s="37"/>
      <c r="C39" s="944" t="s">
        <v>229</v>
      </c>
      <c r="D39" s="945"/>
      <c r="E39" s="623">
        <v>2</v>
      </c>
      <c r="F39" s="28"/>
      <c r="G39" s="28"/>
      <c r="H39" s="361"/>
      <c r="I39" s="361"/>
      <c r="J39" s="28"/>
      <c r="K39" s="368"/>
      <c r="L39" s="368"/>
      <c r="M39" s="368"/>
      <c r="N39" s="28"/>
      <c r="O39" s="28"/>
      <c r="P39" s="36">
        <f t="shared" si="2"/>
        <v>0</v>
      </c>
      <c r="Q39" s="775" t="s">
        <v>230</v>
      </c>
    </row>
    <row r="40" spans="1:17" ht="13.5" customHeight="1">
      <c r="A40" s="37"/>
      <c r="B40" s="37"/>
      <c r="C40" s="949" t="s">
        <v>511</v>
      </c>
      <c r="D40" s="950"/>
      <c r="E40" s="614"/>
      <c r="F40" s="28"/>
      <c r="G40" s="28"/>
      <c r="H40" s="361"/>
      <c r="I40" s="361"/>
      <c r="J40" s="361"/>
      <c r="K40" s="28"/>
      <c r="L40" s="28"/>
      <c r="M40" s="28"/>
      <c r="N40" s="28"/>
      <c r="O40" s="28"/>
      <c r="P40" s="36"/>
      <c r="Q40" s="156"/>
    </row>
    <row r="41" spans="1:17" ht="24.75" customHeight="1">
      <c r="A41" s="37"/>
      <c r="B41" s="37"/>
      <c r="C41" s="948" t="s">
        <v>264</v>
      </c>
      <c r="D41" s="937"/>
      <c r="E41" s="610"/>
      <c r="F41" s="28"/>
      <c r="G41" s="28"/>
      <c r="H41" s="361"/>
      <c r="I41" s="361"/>
      <c r="J41" s="361"/>
      <c r="K41" s="28"/>
      <c r="L41" s="28"/>
      <c r="M41" s="28"/>
      <c r="N41" s="28"/>
      <c r="O41" s="28"/>
      <c r="P41" s="36"/>
      <c r="Q41" s="156"/>
    </row>
    <row r="42" spans="1:17" ht="13.5" customHeight="1">
      <c r="A42" s="37"/>
      <c r="B42" s="37"/>
      <c r="C42" s="905" t="s">
        <v>265</v>
      </c>
      <c r="D42" s="947"/>
      <c r="E42" s="613">
        <v>2</v>
      </c>
      <c r="F42" s="28"/>
      <c r="G42" s="28"/>
      <c r="H42" s="361">
        <v>-1100</v>
      </c>
      <c r="I42" s="361"/>
      <c r="J42" s="361"/>
      <c r="K42" s="28"/>
      <c r="L42" s="28"/>
      <c r="M42" s="28"/>
      <c r="N42" s="28"/>
      <c r="O42" s="28"/>
      <c r="P42" s="36">
        <f t="shared" si="2"/>
        <v>-1100</v>
      </c>
      <c r="Q42" s="156" t="s">
        <v>547</v>
      </c>
    </row>
    <row r="43" spans="1:17" ht="13.5" customHeight="1">
      <c r="A43" s="37"/>
      <c r="B43" s="37"/>
      <c r="C43" s="946" t="s">
        <v>975</v>
      </c>
      <c r="D43" s="947"/>
      <c r="E43" s="622"/>
      <c r="F43" s="28"/>
      <c r="G43" s="28"/>
      <c r="H43" s="361"/>
      <c r="I43" s="361"/>
      <c r="J43" s="361"/>
      <c r="K43" s="28"/>
      <c r="L43" s="28"/>
      <c r="M43" s="28"/>
      <c r="N43" s="28"/>
      <c r="O43" s="28"/>
      <c r="P43" s="36"/>
      <c r="Q43" s="156"/>
    </row>
    <row r="44" spans="1:17" ht="13.5" customHeight="1">
      <c r="A44" s="37"/>
      <c r="B44" s="37"/>
      <c r="C44" s="40" t="s">
        <v>976</v>
      </c>
      <c r="D44" s="38"/>
      <c r="E44" s="613">
        <v>1</v>
      </c>
      <c r="F44" s="28"/>
      <c r="G44" s="28"/>
      <c r="H44" s="361"/>
      <c r="I44" s="361">
        <v>-1400</v>
      </c>
      <c r="J44" s="361"/>
      <c r="K44" s="28"/>
      <c r="L44" s="28"/>
      <c r="M44" s="28"/>
      <c r="N44" s="28"/>
      <c r="O44" s="28"/>
      <c r="P44" s="36">
        <f t="shared" si="2"/>
        <v>-1400</v>
      </c>
      <c r="Q44" s="156" t="s">
        <v>547</v>
      </c>
    </row>
    <row r="45" spans="1:17" ht="13.5" customHeight="1">
      <c r="A45" s="37"/>
      <c r="B45" s="37"/>
      <c r="C45" s="40" t="s">
        <v>316</v>
      </c>
      <c r="D45" s="38"/>
      <c r="E45" s="613"/>
      <c r="F45" s="28"/>
      <c r="G45" s="28"/>
      <c r="H45" s="361"/>
      <c r="I45" s="361"/>
      <c r="J45" s="361"/>
      <c r="K45" s="28"/>
      <c r="L45" s="28"/>
      <c r="M45" s="28"/>
      <c r="N45" s="28"/>
      <c r="O45" s="28"/>
      <c r="P45" s="36"/>
      <c r="Q45" s="156"/>
    </row>
    <row r="46" spans="1:17" ht="13.5" customHeight="1">
      <c r="A46" s="37"/>
      <c r="B46" s="37"/>
      <c r="C46" s="40" t="s">
        <v>317</v>
      </c>
      <c r="D46" s="38"/>
      <c r="E46" s="613">
        <v>1</v>
      </c>
      <c r="F46" s="28"/>
      <c r="G46" s="28"/>
      <c r="H46" s="361"/>
      <c r="I46" s="361">
        <v>3500</v>
      </c>
      <c r="J46" s="361"/>
      <c r="K46" s="28"/>
      <c r="L46" s="28"/>
      <c r="M46" s="28"/>
      <c r="N46" s="28"/>
      <c r="O46" s="28"/>
      <c r="P46" s="36">
        <f t="shared" si="2"/>
        <v>3500</v>
      </c>
      <c r="Q46" s="156" t="s">
        <v>547</v>
      </c>
    </row>
    <row r="47" spans="1:17" ht="13.5" customHeight="1">
      <c r="A47" s="37"/>
      <c r="B47" s="37"/>
      <c r="C47" s="905" t="s">
        <v>1070</v>
      </c>
      <c r="D47" s="906"/>
      <c r="E47" s="613"/>
      <c r="F47" s="28"/>
      <c r="G47" s="28"/>
      <c r="H47" s="361"/>
      <c r="I47" s="361"/>
      <c r="J47" s="361"/>
      <c r="K47" s="28"/>
      <c r="L47" s="28"/>
      <c r="M47" s="28"/>
      <c r="N47" s="28"/>
      <c r="O47" s="28"/>
      <c r="P47" s="36"/>
      <c r="Q47" s="156"/>
    </row>
    <row r="48" spans="1:17" ht="13.5" customHeight="1">
      <c r="A48" s="37"/>
      <c r="B48" s="37"/>
      <c r="C48" s="907" t="s">
        <v>1071</v>
      </c>
      <c r="D48" s="832"/>
      <c r="E48" s="613"/>
      <c r="F48" s="28"/>
      <c r="G48" s="28"/>
      <c r="H48" s="361">
        <v>-200</v>
      </c>
      <c r="I48" s="361"/>
      <c r="J48" s="361"/>
      <c r="K48" s="28"/>
      <c r="L48" s="28"/>
      <c r="M48" s="28"/>
      <c r="N48" s="28"/>
      <c r="O48" s="28"/>
      <c r="P48" s="36">
        <f t="shared" si="2"/>
        <v>-200</v>
      </c>
      <c r="Q48" s="156" t="s">
        <v>547</v>
      </c>
    </row>
    <row r="49" spans="1:17" ht="13.5" customHeight="1">
      <c r="A49" s="37"/>
      <c r="B49" s="37"/>
      <c r="C49" s="907" t="s">
        <v>1008</v>
      </c>
      <c r="D49" s="923"/>
      <c r="E49" s="613"/>
      <c r="F49" s="28"/>
      <c r="G49" s="28"/>
      <c r="H49" s="361"/>
      <c r="I49" s="361"/>
      <c r="J49" s="361"/>
      <c r="K49" s="28"/>
      <c r="L49" s="28"/>
      <c r="M49" s="28"/>
      <c r="N49" s="28"/>
      <c r="O49" s="28"/>
      <c r="P49" s="36"/>
      <c r="Q49" s="156"/>
    </row>
    <row r="50" spans="1:17" ht="13.5" customHeight="1">
      <c r="A50" s="37"/>
      <c r="B50" s="37"/>
      <c r="C50" s="40" t="s">
        <v>237</v>
      </c>
      <c r="D50" s="38"/>
      <c r="E50" s="613"/>
      <c r="F50" s="28"/>
      <c r="G50" s="28"/>
      <c r="H50" s="361"/>
      <c r="I50" s="361">
        <v>1000</v>
      </c>
      <c r="J50" s="361"/>
      <c r="K50" s="28"/>
      <c r="L50" s="28"/>
      <c r="M50" s="28"/>
      <c r="N50" s="28"/>
      <c r="O50" s="28"/>
      <c r="P50" s="36">
        <f t="shared" si="2"/>
        <v>1000</v>
      </c>
      <c r="Q50" s="156" t="s">
        <v>547</v>
      </c>
    </row>
    <row r="51" spans="1:17" ht="13.5" customHeight="1">
      <c r="A51" s="37"/>
      <c r="B51" s="37"/>
      <c r="C51" s="40" t="s">
        <v>514</v>
      </c>
      <c r="D51" s="38"/>
      <c r="E51" s="613"/>
      <c r="F51" s="28"/>
      <c r="G51" s="28"/>
      <c r="H51" s="361"/>
      <c r="I51" s="361"/>
      <c r="J51" s="361"/>
      <c r="K51" s="28"/>
      <c r="L51" s="28"/>
      <c r="M51" s="28"/>
      <c r="N51" s="28"/>
      <c r="O51" s="28"/>
      <c r="P51" s="36"/>
      <c r="Q51" s="156"/>
    </row>
    <row r="52" spans="1:17" ht="13.5" customHeight="1">
      <c r="A52" s="37"/>
      <c r="B52" s="37"/>
      <c r="C52" s="903" t="s">
        <v>1014</v>
      </c>
      <c r="D52" s="904"/>
      <c r="E52" s="610"/>
      <c r="F52" s="28"/>
      <c r="G52" s="28"/>
      <c r="H52" s="361"/>
      <c r="I52" s="361"/>
      <c r="J52" s="361"/>
      <c r="K52" s="28"/>
      <c r="L52" s="28"/>
      <c r="M52" s="28"/>
      <c r="N52" s="28"/>
      <c r="O52" s="28"/>
      <c r="P52" s="36"/>
      <c r="Q52" s="156"/>
    </row>
    <row r="53" spans="1:17" ht="13.5" customHeight="1">
      <c r="A53" s="37"/>
      <c r="B53" s="37"/>
      <c r="C53" s="40" t="s">
        <v>1015</v>
      </c>
      <c r="D53" s="38"/>
      <c r="E53" s="613">
        <v>2</v>
      </c>
      <c r="F53" s="28"/>
      <c r="G53" s="28"/>
      <c r="H53" s="361"/>
      <c r="I53" s="361">
        <v>1000</v>
      </c>
      <c r="J53" s="361"/>
      <c r="K53" s="28"/>
      <c r="L53" s="28"/>
      <c r="M53" s="28"/>
      <c r="N53" s="361"/>
      <c r="O53" s="28"/>
      <c r="P53" s="36">
        <f t="shared" si="2"/>
        <v>1000</v>
      </c>
      <c r="Q53" s="156" t="s">
        <v>547</v>
      </c>
    </row>
    <row r="54" spans="1:17" ht="13.5" customHeight="1">
      <c r="A54" s="37"/>
      <c r="B54" s="37"/>
      <c r="C54" s="40" t="s">
        <v>516</v>
      </c>
      <c r="D54" s="38"/>
      <c r="E54" s="613">
        <v>2</v>
      </c>
      <c r="F54" s="28"/>
      <c r="G54" s="28"/>
      <c r="H54" s="361"/>
      <c r="I54" s="361">
        <v>1500</v>
      </c>
      <c r="J54" s="361"/>
      <c r="K54" s="28"/>
      <c r="L54" s="28"/>
      <c r="M54" s="28"/>
      <c r="N54" s="361"/>
      <c r="O54" s="28"/>
      <c r="P54" s="36">
        <f t="shared" si="2"/>
        <v>1500</v>
      </c>
      <c r="Q54" s="156" t="s">
        <v>547</v>
      </c>
    </row>
    <row r="55" spans="1:17" ht="13.5" customHeight="1">
      <c r="A55" s="37"/>
      <c r="B55" s="37"/>
      <c r="C55" s="921" t="s">
        <v>1016</v>
      </c>
      <c r="D55" s="904"/>
      <c r="E55" s="610"/>
      <c r="F55" s="28"/>
      <c r="G55" s="28"/>
      <c r="H55" s="361"/>
      <c r="I55" s="361"/>
      <c r="J55" s="361"/>
      <c r="K55" s="28"/>
      <c r="L55" s="28"/>
      <c r="M55" s="28"/>
      <c r="N55" s="28"/>
      <c r="O55" s="28"/>
      <c r="P55" s="36">
        <f t="shared" si="2"/>
        <v>0</v>
      </c>
      <c r="Q55" s="156"/>
    </row>
    <row r="56" spans="1:17" ht="24.75" customHeight="1">
      <c r="A56" s="37"/>
      <c r="B56" s="37"/>
      <c r="C56" s="959" t="s">
        <v>515</v>
      </c>
      <c r="D56" s="960"/>
      <c r="E56" s="627">
        <v>2</v>
      </c>
      <c r="F56" s="28"/>
      <c r="G56" s="28"/>
      <c r="H56" s="361"/>
      <c r="I56" s="361">
        <v>-1401</v>
      </c>
      <c r="J56" s="361"/>
      <c r="K56" s="28"/>
      <c r="L56" s="28"/>
      <c r="M56" s="28"/>
      <c r="N56" s="28"/>
      <c r="O56" s="28"/>
      <c r="P56" s="36">
        <f t="shared" si="2"/>
        <v>-1401</v>
      </c>
      <c r="Q56" s="156" t="s">
        <v>547</v>
      </c>
    </row>
    <row r="57" spans="1:17" ht="13.5" customHeight="1">
      <c r="A57" s="37"/>
      <c r="B57" s="37"/>
      <c r="C57" s="40" t="s">
        <v>1017</v>
      </c>
      <c r="D57" s="550"/>
      <c r="E57" s="628">
        <v>2</v>
      </c>
      <c r="F57" s="28"/>
      <c r="G57" s="28"/>
      <c r="H57" s="361"/>
      <c r="I57" s="361">
        <v>-99</v>
      </c>
      <c r="J57" s="361"/>
      <c r="K57" s="28"/>
      <c r="L57" s="28"/>
      <c r="M57" s="28"/>
      <c r="N57" s="28"/>
      <c r="O57" s="28"/>
      <c r="P57" s="36">
        <f t="shared" si="2"/>
        <v>-99</v>
      </c>
      <c r="Q57" s="156" t="s">
        <v>547</v>
      </c>
    </row>
    <row r="58" spans="1:17" ht="13.5" customHeight="1">
      <c r="A58" s="41"/>
      <c r="B58" s="41"/>
      <c r="C58" s="375" t="s">
        <v>119</v>
      </c>
      <c r="D58" s="374"/>
      <c r="E58" s="629"/>
      <c r="F58" s="365">
        <f>SUM(F32:F57)</f>
        <v>0</v>
      </c>
      <c r="G58" s="365">
        <f aca="true" t="shared" si="4" ref="G58:P58">SUM(G32:G57)</f>
        <v>0</v>
      </c>
      <c r="H58" s="365">
        <f t="shared" si="4"/>
        <v>-1100</v>
      </c>
      <c r="I58" s="365">
        <f t="shared" si="4"/>
        <v>13165</v>
      </c>
      <c r="J58" s="365">
        <f t="shared" si="4"/>
        <v>0</v>
      </c>
      <c r="K58" s="365">
        <f t="shared" si="4"/>
        <v>0</v>
      </c>
      <c r="L58" s="365">
        <f t="shared" si="4"/>
        <v>0</v>
      </c>
      <c r="M58" s="365">
        <f t="shared" si="4"/>
        <v>0</v>
      </c>
      <c r="N58" s="365">
        <f t="shared" si="4"/>
        <v>0</v>
      </c>
      <c r="O58" s="365">
        <f t="shared" si="4"/>
        <v>0</v>
      </c>
      <c r="P58" s="365">
        <f t="shared" si="4"/>
        <v>12065</v>
      </c>
      <c r="Q58" s="365"/>
    </row>
    <row r="59" spans="1:17" ht="13.5" customHeight="1">
      <c r="A59" s="25"/>
      <c r="B59" s="25"/>
      <c r="C59" s="40" t="s">
        <v>913</v>
      </c>
      <c r="D59" s="27"/>
      <c r="E59" s="618"/>
      <c r="F59" s="28"/>
      <c r="G59" s="28"/>
      <c r="H59" s="28"/>
      <c r="I59" s="28"/>
      <c r="J59" s="28"/>
      <c r="K59" s="361">
        <f>7!J37</f>
        <v>800</v>
      </c>
      <c r="L59" s="361"/>
      <c r="M59" s="361">
        <f>7!K37</f>
        <v>9000</v>
      </c>
      <c r="N59" s="25"/>
      <c r="O59" s="25"/>
      <c r="P59" s="36">
        <f t="shared" si="2"/>
        <v>9800</v>
      </c>
      <c r="Q59" s="156"/>
    </row>
    <row r="60" spans="1:17" ht="13.5" customHeight="1">
      <c r="A60" s="25"/>
      <c r="B60" s="25"/>
      <c r="C60" s="40" t="s">
        <v>924</v>
      </c>
      <c r="D60" s="27"/>
      <c r="E60" s="618"/>
      <c r="F60" s="28"/>
      <c r="G60" s="28"/>
      <c r="H60" s="28"/>
      <c r="I60" s="28"/>
      <c r="J60" s="28"/>
      <c r="K60" s="361"/>
      <c r="L60" s="361">
        <f>8!J34</f>
        <v>55850</v>
      </c>
      <c r="M60" s="361">
        <f>8!K34</f>
        <v>4600</v>
      </c>
      <c r="N60" s="25"/>
      <c r="O60" s="25"/>
      <c r="P60" s="36">
        <f t="shared" si="2"/>
        <v>60450</v>
      </c>
      <c r="Q60" s="156"/>
    </row>
    <row r="61" spans="1:17" ht="13.5" customHeight="1">
      <c r="A61" s="362"/>
      <c r="B61" s="362"/>
      <c r="C61" s="42" t="s">
        <v>108</v>
      </c>
      <c r="D61" s="363"/>
      <c r="E61" s="617"/>
      <c r="F61" s="365">
        <f>SUM(F58:F60)</f>
        <v>0</v>
      </c>
      <c r="G61" s="365">
        <f aca="true" t="shared" si="5" ref="G61:P61">SUM(G58:G60)</f>
        <v>0</v>
      </c>
      <c r="H61" s="365">
        <f t="shared" si="5"/>
        <v>-1100</v>
      </c>
      <c r="I61" s="365">
        <f t="shared" si="5"/>
        <v>13165</v>
      </c>
      <c r="J61" s="365">
        <f t="shared" si="5"/>
        <v>0</v>
      </c>
      <c r="K61" s="365">
        <f t="shared" si="5"/>
        <v>800</v>
      </c>
      <c r="L61" s="365">
        <f t="shared" si="5"/>
        <v>55850</v>
      </c>
      <c r="M61" s="365">
        <f t="shared" si="5"/>
        <v>13600</v>
      </c>
      <c r="N61" s="365">
        <f t="shared" si="5"/>
        <v>0</v>
      </c>
      <c r="O61" s="365">
        <f t="shared" si="5"/>
        <v>0</v>
      </c>
      <c r="P61" s="365">
        <f t="shared" si="5"/>
        <v>82315</v>
      </c>
      <c r="Q61" s="366"/>
    </row>
    <row r="62" spans="1:17" ht="13.5" customHeight="1">
      <c r="A62" s="25">
        <v>1</v>
      </c>
      <c r="B62" s="25">
        <v>15</v>
      </c>
      <c r="C62" s="46" t="s">
        <v>120</v>
      </c>
      <c r="D62" s="377"/>
      <c r="E62" s="624"/>
      <c r="F62" s="28"/>
      <c r="G62" s="28"/>
      <c r="H62" s="28"/>
      <c r="I62" s="28"/>
      <c r="J62" s="28"/>
      <c r="K62" s="368"/>
      <c r="L62" s="368"/>
      <c r="M62" s="368"/>
      <c r="N62" s="28"/>
      <c r="O62" s="28"/>
      <c r="P62" s="36"/>
      <c r="Q62" s="378"/>
    </row>
    <row r="63" spans="1:17" ht="13.5" customHeight="1">
      <c r="A63" s="25"/>
      <c r="B63" s="25"/>
      <c r="C63" s="547">
        <v>813000</v>
      </c>
      <c r="D63" s="50" t="s">
        <v>1018</v>
      </c>
      <c r="E63" s="625"/>
      <c r="F63" s="28"/>
      <c r="G63" s="28"/>
      <c r="H63" s="28"/>
      <c r="I63" s="28"/>
      <c r="J63" s="28"/>
      <c r="K63" s="368"/>
      <c r="L63" s="368"/>
      <c r="M63" s="368"/>
      <c r="N63" s="28"/>
      <c r="O63" s="28"/>
      <c r="P63" s="36"/>
      <c r="Q63" s="378"/>
    </row>
    <row r="64" spans="1:17" ht="13.5" customHeight="1">
      <c r="A64" s="25"/>
      <c r="B64" s="25"/>
      <c r="C64" s="547" t="s">
        <v>235</v>
      </c>
      <c r="D64" s="27"/>
      <c r="E64" s="618">
        <v>2</v>
      </c>
      <c r="F64" s="28"/>
      <c r="G64" s="28"/>
      <c r="H64" s="361">
        <v>3696</v>
      </c>
      <c r="I64" s="28"/>
      <c r="J64" s="28"/>
      <c r="K64" s="368"/>
      <c r="L64" s="368"/>
      <c r="M64" s="368"/>
      <c r="N64" s="28"/>
      <c r="O64" s="28"/>
      <c r="P64" s="36">
        <f t="shared" si="2"/>
        <v>3696</v>
      </c>
      <c r="Q64" s="378" t="s">
        <v>547</v>
      </c>
    </row>
    <row r="65" spans="1:17" ht="13.5" customHeight="1">
      <c r="A65" s="25"/>
      <c r="B65" s="25"/>
      <c r="C65" s="547" t="s">
        <v>266</v>
      </c>
      <c r="D65" s="377"/>
      <c r="E65" s="624">
        <v>1</v>
      </c>
      <c r="F65" s="361"/>
      <c r="G65" s="361"/>
      <c r="H65" s="361">
        <v>-500</v>
      </c>
      <c r="I65" s="361"/>
      <c r="J65" s="361"/>
      <c r="K65" s="361"/>
      <c r="L65" s="361"/>
      <c r="M65" s="361"/>
      <c r="N65" s="361"/>
      <c r="O65" s="361"/>
      <c r="P65" s="36">
        <f t="shared" si="2"/>
        <v>-500</v>
      </c>
      <c r="Q65" s="378" t="s">
        <v>547</v>
      </c>
    </row>
    <row r="66" spans="1:17" ht="13.5" customHeight="1">
      <c r="A66" s="25"/>
      <c r="B66" s="25"/>
      <c r="C66" s="921" t="s">
        <v>1019</v>
      </c>
      <c r="D66" s="904"/>
      <c r="E66" s="610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"/>
      <c r="Q66" s="378"/>
    </row>
    <row r="67" spans="1:17" ht="13.5" customHeight="1">
      <c r="A67" s="25"/>
      <c r="B67" s="25"/>
      <c r="C67" s="49" t="s">
        <v>1020</v>
      </c>
      <c r="D67" s="50"/>
      <c r="E67" s="625">
        <v>1</v>
      </c>
      <c r="F67" s="361"/>
      <c r="G67" s="361"/>
      <c r="H67" s="361">
        <v>234</v>
      </c>
      <c r="I67" s="361"/>
      <c r="J67" s="361"/>
      <c r="K67" s="361"/>
      <c r="L67" s="361"/>
      <c r="M67" s="361"/>
      <c r="N67" s="361"/>
      <c r="O67" s="361"/>
      <c r="P67" s="36">
        <f t="shared" si="2"/>
        <v>234</v>
      </c>
      <c r="Q67" s="378" t="s">
        <v>1023</v>
      </c>
    </row>
    <row r="68" spans="1:17" ht="13.5" customHeight="1">
      <c r="A68" s="25"/>
      <c r="B68" s="25"/>
      <c r="C68" s="921" t="s">
        <v>267</v>
      </c>
      <c r="D68" s="904"/>
      <c r="E68" s="610">
        <v>1</v>
      </c>
      <c r="F68" s="361"/>
      <c r="G68" s="361"/>
      <c r="H68" s="361">
        <v>-896</v>
      </c>
      <c r="I68" s="361"/>
      <c r="J68" s="361"/>
      <c r="K68" s="361"/>
      <c r="L68" s="361"/>
      <c r="M68" s="361"/>
      <c r="N68" s="361"/>
      <c r="O68" s="361"/>
      <c r="P68" s="36">
        <f t="shared" si="2"/>
        <v>-896</v>
      </c>
      <c r="Q68" s="378" t="s">
        <v>933</v>
      </c>
    </row>
    <row r="69" spans="1:17" ht="13.5" customHeight="1">
      <c r="A69" s="25"/>
      <c r="B69" s="25"/>
      <c r="C69" s="922" t="s">
        <v>1021</v>
      </c>
      <c r="D69" s="904"/>
      <c r="E69" s="610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"/>
      <c r="Q69" s="378"/>
    </row>
    <row r="70" spans="1:17" ht="13.5" customHeight="1">
      <c r="A70" s="25"/>
      <c r="B70" s="25"/>
      <c r="C70" s="49" t="s">
        <v>1022</v>
      </c>
      <c r="D70" s="50"/>
      <c r="E70" s="625">
        <v>1</v>
      </c>
      <c r="F70" s="361"/>
      <c r="G70" s="361"/>
      <c r="H70" s="361">
        <v>3283</v>
      </c>
      <c r="I70" s="361"/>
      <c r="J70" s="361"/>
      <c r="K70" s="361"/>
      <c r="L70" s="361"/>
      <c r="M70" s="361"/>
      <c r="N70" s="361"/>
      <c r="O70" s="361"/>
      <c r="P70" s="36">
        <f t="shared" si="2"/>
        <v>3283</v>
      </c>
      <c r="Q70" s="378" t="s">
        <v>547</v>
      </c>
    </row>
    <row r="71" spans="1:17" ht="13.5" customHeight="1">
      <c r="A71" s="25"/>
      <c r="B71" s="25"/>
      <c r="C71" s="922" t="s">
        <v>1024</v>
      </c>
      <c r="D71" s="904"/>
      <c r="E71" s="610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"/>
      <c r="Q71" s="378"/>
    </row>
    <row r="72" spans="1:17" ht="13.5" customHeight="1">
      <c r="A72" s="25"/>
      <c r="B72" s="25"/>
      <c r="C72" s="921" t="s">
        <v>48</v>
      </c>
      <c r="D72" s="831"/>
      <c r="E72" s="781">
        <v>1</v>
      </c>
      <c r="F72" s="361"/>
      <c r="G72" s="361"/>
      <c r="H72" s="361">
        <v>7820</v>
      </c>
      <c r="I72" s="361"/>
      <c r="J72" s="361"/>
      <c r="K72" s="361"/>
      <c r="L72" s="361"/>
      <c r="M72" s="361"/>
      <c r="N72" s="361"/>
      <c r="O72" s="361"/>
      <c r="P72" s="36">
        <f t="shared" si="2"/>
        <v>7820</v>
      </c>
      <c r="Q72" s="378" t="s">
        <v>547</v>
      </c>
    </row>
    <row r="73" spans="1:17" ht="13.5" customHeight="1">
      <c r="A73" s="25"/>
      <c r="B73" s="25"/>
      <c r="C73" s="49" t="s">
        <v>1025</v>
      </c>
      <c r="D73" s="377"/>
      <c r="E73" s="624">
        <v>2</v>
      </c>
      <c r="F73" s="361"/>
      <c r="G73" s="361"/>
      <c r="H73" s="361">
        <v>-14619</v>
      </c>
      <c r="I73" s="361"/>
      <c r="J73" s="361"/>
      <c r="K73" s="361"/>
      <c r="L73" s="361"/>
      <c r="M73" s="361"/>
      <c r="N73" s="361"/>
      <c r="O73" s="361"/>
      <c r="P73" s="36">
        <f t="shared" si="2"/>
        <v>-14619</v>
      </c>
      <c r="Q73" s="378" t="s">
        <v>1023</v>
      </c>
    </row>
    <row r="74" spans="1:17" ht="13.5" customHeight="1">
      <c r="A74" s="25"/>
      <c r="B74" s="25"/>
      <c r="C74" s="40" t="s">
        <v>1053</v>
      </c>
      <c r="D74" s="377"/>
      <c r="E74" s="624">
        <v>2</v>
      </c>
      <c r="F74" s="361"/>
      <c r="G74" s="361"/>
      <c r="H74" s="361">
        <v>132</v>
      </c>
      <c r="I74" s="361"/>
      <c r="J74" s="361"/>
      <c r="K74" s="361"/>
      <c r="L74" s="361"/>
      <c r="M74" s="361"/>
      <c r="N74" s="361"/>
      <c r="O74" s="361"/>
      <c r="P74" s="36">
        <f t="shared" si="2"/>
        <v>132</v>
      </c>
      <c r="Q74" s="378" t="s">
        <v>933</v>
      </c>
    </row>
    <row r="75" spans="1:17" ht="13.5" customHeight="1">
      <c r="A75" s="25"/>
      <c r="B75" s="25"/>
      <c r="C75" s="961" t="s">
        <v>269</v>
      </c>
      <c r="D75" s="962"/>
      <c r="E75" s="624">
        <v>1</v>
      </c>
      <c r="F75" s="361"/>
      <c r="G75" s="361"/>
      <c r="H75" s="361">
        <v>-1000</v>
      </c>
      <c r="I75" s="361"/>
      <c r="J75" s="361"/>
      <c r="K75" s="361"/>
      <c r="L75" s="361"/>
      <c r="M75" s="361"/>
      <c r="N75" s="361"/>
      <c r="O75" s="361"/>
      <c r="P75" s="36">
        <f t="shared" si="2"/>
        <v>-1000</v>
      </c>
      <c r="Q75" s="378" t="s">
        <v>933</v>
      </c>
    </row>
    <row r="76" spans="1:17" ht="15" customHeight="1">
      <c r="A76" s="25"/>
      <c r="B76" s="25"/>
      <c r="C76" s="908" t="s">
        <v>56</v>
      </c>
      <c r="D76" s="917"/>
      <c r="E76" s="624">
        <v>2</v>
      </c>
      <c r="F76" s="361"/>
      <c r="G76" s="361"/>
      <c r="H76" s="361">
        <v>-100</v>
      </c>
      <c r="I76" s="361"/>
      <c r="J76" s="361"/>
      <c r="K76" s="361"/>
      <c r="L76" s="361"/>
      <c r="M76" s="361"/>
      <c r="N76" s="361"/>
      <c r="O76" s="361"/>
      <c r="P76" s="36">
        <f t="shared" si="2"/>
        <v>-100</v>
      </c>
      <c r="Q76" s="378" t="s">
        <v>547</v>
      </c>
    </row>
    <row r="77" spans="1:17" ht="13.5" customHeight="1">
      <c r="A77" s="25"/>
      <c r="B77" s="25"/>
      <c r="C77" s="922" t="s">
        <v>507</v>
      </c>
      <c r="D77" s="904"/>
      <c r="E77" s="610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"/>
      <c r="Q77" s="378"/>
    </row>
    <row r="78" spans="1:17" ht="13.5" customHeight="1">
      <c r="A78" s="25"/>
      <c r="B78" s="25"/>
      <c r="C78" s="51" t="s">
        <v>159</v>
      </c>
      <c r="D78" s="237"/>
      <c r="E78" s="610">
        <v>2</v>
      </c>
      <c r="F78" s="361"/>
      <c r="G78" s="361"/>
      <c r="H78" s="361"/>
      <c r="I78" s="361">
        <v>2115</v>
      </c>
      <c r="J78" s="361"/>
      <c r="K78" s="361"/>
      <c r="L78" s="361"/>
      <c r="M78" s="361"/>
      <c r="N78" s="361"/>
      <c r="O78" s="361"/>
      <c r="P78" s="36">
        <f t="shared" si="2"/>
        <v>2115</v>
      </c>
      <c r="Q78" s="378" t="s">
        <v>547</v>
      </c>
    </row>
    <row r="79" spans="1:17" ht="13.5" customHeight="1">
      <c r="A79" s="25"/>
      <c r="B79" s="25"/>
      <c r="C79" s="49" t="s">
        <v>508</v>
      </c>
      <c r="D79" s="50"/>
      <c r="E79" s="625">
        <v>2</v>
      </c>
      <c r="F79" s="361"/>
      <c r="G79" s="361"/>
      <c r="H79" s="361">
        <v>-208</v>
      </c>
      <c r="I79" s="361"/>
      <c r="J79" s="361"/>
      <c r="K79" s="361"/>
      <c r="L79" s="361"/>
      <c r="M79" s="361"/>
      <c r="N79" s="361"/>
      <c r="O79" s="361"/>
      <c r="P79" s="36">
        <f t="shared" si="2"/>
        <v>-208</v>
      </c>
      <c r="Q79" s="378" t="s">
        <v>933</v>
      </c>
    </row>
    <row r="80" spans="1:17" ht="13.5" customHeight="1">
      <c r="A80" s="362"/>
      <c r="B80" s="362"/>
      <c r="C80" s="42" t="s">
        <v>121</v>
      </c>
      <c r="D80" s="363"/>
      <c r="E80" s="617"/>
      <c r="F80" s="365">
        <f aca="true" t="shared" si="6" ref="F80:P80">SUM(F63:F79)</f>
        <v>0</v>
      </c>
      <c r="G80" s="365">
        <f t="shared" si="6"/>
        <v>0</v>
      </c>
      <c r="H80" s="365">
        <f t="shared" si="6"/>
        <v>-2158</v>
      </c>
      <c r="I80" s="365">
        <f t="shared" si="6"/>
        <v>2115</v>
      </c>
      <c r="J80" s="365">
        <f t="shared" si="6"/>
        <v>0</v>
      </c>
      <c r="K80" s="365">
        <f t="shared" si="6"/>
        <v>0</v>
      </c>
      <c r="L80" s="365">
        <f t="shared" si="6"/>
        <v>0</v>
      </c>
      <c r="M80" s="365">
        <f t="shared" si="6"/>
        <v>0</v>
      </c>
      <c r="N80" s="365">
        <f t="shared" si="6"/>
        <v>0</v>
      </c>
      <c r="O80" s="365">
        <f t="shared" si="6"/>
        <v>0</v>
      </c>
      <c r="P80" s="365">
        <f t="shared" si="6"/>
        <v>-43</v>
      </c>
      <c r="Q80" s="366"/>
    </row>
    <row r="81" spans="1:17" ht="13.5" customHeight="1">
      <c r="A81" s="25"/>
      <c r="B81" s="25"/>
      <c r="C81" s="40" t="s">
        <v>924</v>
      </c>
      <c r="D81" s="377"/>
      <c r="E81" s="624"/>
      <c r="F81" s="28"/>
      <c r="G81" s="28"/>
      <c r="H81" s="28"/>
      <c r="I81" s="28"/>
      <c r="J81" s="28"/>
      <c r="K81" s="361"/>
      <c r="L81" s="361">
        <f>8!J113</f>
        <v>4881</v>
      </c>
      <c r="M81" s="361">
        <f>8!K113</f>
        <v>0</v>
      </c>
      <c r="N81" s="28"/>
      <c r="O81" s="28"/>
      <c r="P81" s="36">
        <f t="shared" si="2"/>
        <v>4881</v>
      </c>
      <c r="Q81" s="378"/>
    </row>
    <row r="82" spans="1:17" ht="13.5" customHeight="1">
      <c r="A82" s="25"/>
      <c r="B82" s="25"/>
      <c r="C82" s="40" t="s">
        <v>913</v>
      </c>
      <c r="D82" s="377"/>
      <c r="E82" s="624"/>
      <c r="F82" s="28"/>
      <c r="G82" s="28"/>
      <c r="H82" s="28"/>
      <c r="I82" s="28"/>
      <c r="J82" s="28"/>
      <c r="K82" s="361">
        <f>7!J110</f>
        <v>65442</v>
      </c>
      <c r="L82" s="361"/>
      <c r="M82" s="361">
        <f>7!K110</f>
        <v>10991</v>
      </c>
      <c r="N82" s="28"/>
      <c r="O82" s="28"/>
      <c r="P82" s="36">
        <f t="shared" si="2"/>
        <v>76433</v>
      </c>
      <c r="Q82" s="378"/>
    </row>
    <row r="83" spans="1:17" ht="13.5" customHeight="1">
      <c r="A83" s="364"/>
      <c r="B83" s="364"/>
      <c r="C83" s="42" t="s">
        <v>445</v>
      </c>
      <c r="D83" s="374"/>
      <c r="E83" s="629"/>
      <c r="F83" s="365">
        <f>SUM(F80:F82)</f>
        <v>0</v>
      </c>
      <c r="G83" s="365">
        <f aca="true" t="shared" si="7" ref="G83:P83">SUM(G80:G82)</f>
        <v>0</v>
      </c>
      <c r="H83" s="365">
        <f t="shared" si="7"/>
        <v>-2158</v>
      </c>
      <c r="I83" s="365">
        <f t="shared" si="7"/>
        <v>2115</v>
      </c>
      <c r="J83" s="365">
        <f t="shared" si="7"/>
        <v>0</v>
      </c>
      <c r="K83" s="365">
        <f t="shared" si="7"/>
        <v>65442</v>
      </c>
      <c r="L83" s="365">
        <f t="shared" si="7"/>
        <v>4881</v>
      </c>
      <c r="M83" s="365">
        <f t="shared" si="7"/>
        <v>10991</v>
      </c>
      <c r="N83" s="365">
        <f t="shared" si="7"/>
        <v>0</v>
      </c>
      <c r="O83" s="365">
        <f t="shared" si="7"/>
        <v>0</v>
      </c>
      <c r="P83" s="365">
        <f t="shared" si="7"/>
        <v>81271</v>
      </c>
      <c r="Q83" s="376"/>
    </row>
    <row r="84" spans="1:17" ht="13.5" customHeight="1">
      <c r="A84" s="25">
        <v>1</v>
      </c>
      <c r="B84" s="25">
        <v>16</v>
      </c>
      <c r="C84" s="46" t="s">
        <v>467</v>
      </c>
      <c r="D84" s="373"/>
      <c r="E84" s="620"/>
      <c r="F84" s="28"/>
      <c r="G84" s="28"/>
      <c r="H84" s="28"/>
      <c r="I84" s="28"/>
      <c r="J84" s="28"/>
      <c r="K84" s="368"/>
      <c r="L84" s="368"/>
      <c r="M84" s="368"/>
      <c r="N84" s="28"/>
      <c r="O84" s="28"/>
      <c r="P84" s="36"/>
      <c r="Q84" s="379"/>
    </row>
    <row r="85" spans="1:17" ht="13.5" customHeight="1">
      <c r="A85" s="25"/>
      <c r="B85" s="25"/>
      <c r="C85" s="956" t="s">
        <v>963</v>
      </c>
      <c r="D85" s="832"/>
      <c r="E85" s="614"/>
      <c r="F85" s="28"/>
      <c r="G85" s="28"/>
      <c r="H85" s="28"/>
      <c r="I85" s="28"/>
      <c r="J85" s="28"/>
      <c r="K85" s="368"/>
      <c r="L85" s="368"/>
      <c r="M85" s="368"/>
      <c r="N85" s="28"/>
      <c r="O85" s="28"/>
      <c r="P85" s="36"/>
      <c r="Q85" s="379"/>
    </row>
    <row r="86" spans="1:17" ht="13.5" customHeight="1">
      <c r="A86" s="25"/>
      <c r="B86" s="25"/>
      <c r="C86" s="40" t="s">
        <v>285</v>
      </c>
      <c r="D86" s="38"/>
      <c r="E86" s="614">
        <v>2</v>
      </c>
      <c r="F86" s="28"/>
      <c r="G86" s="28"/>
      <c r="H86" s="361">
        <v>28</v>
      </c>
      <c r="I86" s="28"/>
      <c r="J86" s="28"/>
      <c r="K86" s="368"/>
      <c r="L86" s="368"/>
      <c r="M86" s="368"/>
      <c r="N86" s="28"/>
      <c r="O86" s="28"/>
      <c r="P86" s="36">
        <f>SUM(F86:O86)</f>
        <v>28</v>
      </c>
      <c r="Q86" s="551" t="s">
        <v>547</v>
      </c>
    </row>
    <row r="87" spans="1:17" ht="13.5" customHeight="1">
      <c r="A87" s="25"/>
      <c r="B87" s="362"/>
      <c r="C87" s="42" t="s">
        <v>1026</v>
      </c>
      <c r="D87" s="374"/>
      <c r="E87" s="629"/>
      <c r="F87" s="364"/>
      <c r="G87" s="364"/>
      <c r="H87" s="365">
        <f aca="true" t="shared" si="8" ref="H87:P87">SUM(H86:H86)</f>
        <v>28</v>
      </c>
      <c r="I87" s="365">
        <f t="shared" si="8"/>
        <v>0</v>
      </c>
      <c r="J87" s="365">
        <f t="shared" si="8"/>
        <v>0</v>
      </c>
      <c r="K87" s="365">
        <f t="shared" si="8"/>
        <v>0</v>
      </c>
      <c r="L87" s="365">
        <f t="shared" si="8"/>
        <v>0</v>
      </c>
      <c r="M87" s="365">
        <f t="shared" si="8"/>
        <v>0</v>
      </c>
      <c r="N87" s="365">
        <f t="shared" si="8"/>
        <v>0</v>
      </c>
      <c r="O87" s="365">
        <f t="shared" si="8"/>
        <v>0</v>
      </c>
      <c r="P87" s="365">
        <f t="shared" si="8"/>
        <v>28</v>
      </c>
      <c r="Q87" s="376"/>
    </row>
    <row r="88" spans="1:17" ht="13.5" customHeight="1">
      <c r="A88" s="28"/>
      <c r="B88" s="28"/>
      <c r="C88" s="40" t="s">
        <v>913</v>
      </c>
      <c r="D88" s="373"/>
      <c r="E88" s="620"/>
      <c r="F88" s="28"/>
      <c r="G88" s="28"/>
      <c r="H88" s="28"/>
      <c r="I88" s="28"/>
      <c r="J88" s="28"/>
      <c r="K88" s="361">
        <f>7!J221</f>
        <v>796167</v>
      </c>
      <c r="L88" s="361"/>
      <c r="M88" s="361">
        <f>7!K221</f>
        <v>0</v>
      </c>
      <c r="N88" s="28"/>
      <c r="O88" s="28"/>
      <c r="P88" s="36">
        <f t="shared" si="2"/>
        <v>796167</v>
      </c>
      <c r="Q88" s="379"/>
    </row>
    <row r="89" spans="1:17" ht="13.5" customHeight="1">
      <c r="A89" s="28"/>
      <c r="B89" s="28"/>
      <c r="C89" s="40" t="s">
        <v>924</v>
      </c>
      <c r="D89" s="373"/>
      <c r="E89" s="620"/>
      <c r="F89" s="28"/>
      <c r="G89" s="28"/>
      <c r="H89" s="28"/>
      <c r="I89" s="28"/>
      <c r="J89" s="28"/>
      <c r="K89" s="361"/>
      <c r="L89" s="361">
        <f>8!J128</f>
        <v>3868</v>
      </c>
      <c r="M89" s="361">
        <f>8!K128</f>
        <v>-608</v>
      </c>
      <c r="N89" s="28"/>
      <c r="O89" s="28"/>
      <c r="P89" s="36">
        <f t="shared" si="2"/>
        <v>3260</v>
      </c>
      <c r="Q89" s="379"/>
    </row>
    <row r="90" spans="1:17" ht="13.5" customHeight="1">
      <c r="A90" s="364"/>
      <c r="B90" s="364"/>
      <c r="C90" s="42" t="s">
        <v>446</v>
      </c>
      <c r="D90" s="374"/>
      <c r="E90" s="629"/>
      <c r="F90" s="365">
        <f>SUM(F87:F89)</f>
        <v>0</v>
      </c>
      <c r="G90" s="365">
        <f aca="true" t="shared" si="9" ref="G90:P90">SUM(G87:G89)</f>
        <v>0</v>
      </c>
      <c r="H90" s="365">
        <f t="shared" si="9"/>
        <v>28</v>
      </c>
      <c r="I90" s="365">
        <f t="shared" si="9"/>
        <v>0</v>
      </c>
      <c r="J90" s="365">
        <f t="shared" si="9"/>
        <v>0</v>
      </c>
      <c r="K90" s="365">
        <f t="shared" si="9"/>
        <v>796167</v>
      </c>
      <c r="L90" s="365">
        <f t="shared" si="9"/>
        <v>3868</v>
      </c>
      <c r="M90" s="365">
        <f t="shared" si="9"/>
        <v>-608</v>
      </c>
      <c r="N90" s="365">
        <f t="shared" si="9"/>
        <v>0</v>
      </c>
      <c r="O90" s="365">
        <f t="shared" si="9"/>
        <v>0</v>
      </c>
      <c r="P90" s="365">
        <f t="shared" si="9"/>
        <v>799455</v>
      </c>
      <c r="Q90" s="376"/>
    </row>
    <row r="91" spans="1:17" ht="13.5" customHeight="1">
      <c r="A91" s="25">
        <v>1</v>
      </c>
      <c r="B91" s="25">
        <v>17</v>
      </c>
      <c r="C91" s="46" t="s">
        <v>904</v>
      </c>
      <c r="D91" s="373"/>
      <c r="E91" s="620"/>
      <c r="F91" s="28"/>
      <c r="G91" s="28"/>
      <c r="H91" s="28"/>
      <c r="I91" s="28"/>
      <c r="J91" s="28"/>
      <c r="K91" s="368"/>
      <c r="L91" s="368"/>
      <c r="M91" s="368"/>
      <c r="N91" s="28"/>
      <c r="O91" s="28"/>
      <c r="P91" s="36"/>
      <c r="Q91" s="379"/>
    </row>
    <row r="92" spans="1:17" ht="24.75" customHeight="1">
      <c r="A92" s="25"/>
      <c r="B92" s="25"/>
      <c r="C92" s="957" t="s">
        <v>964</v>
      </c>
      <c r="D92" s="958"/>
      <c r="E92" s="626"/>
      <c r="F92" s="28"/>
      <c r="G92" s="28"/>
      <c r="H92" s="28"/>
      <c r="I92" s="28"/>
      <c r="J92" s="28"/>
      <c r="K92" s="368"/>
      <c r="L92" s="368"/>
      <c r="M92" s="368"/>
      <c r="N92" s="28"/>
      <c r="O92" s="28"/>
      <c r="P92" s="36"/>
      <c r="Q92" s="379"/>
    </row>
    <row r="93" spans="1:17" ht="13.5" customHeight="1">
      <c r="A93" s="25"/>
      <c r="B93" s="25"/>
      <c r="C93" s="40" t="s">
        <v>592</v>
      </c>
      <c r="D93" s="38"/>
      <c r="E93" s="628">
        <v>1</v>
      </c>
      <c r="F93" s="28"/>
      <c r="G93" s="28"/>
      <c r="H93" s="361">
        <v>-420</v>
      </c>
      <c r="I93" s="361"/>
      <c r="J93" s="28"/>
      <c r="K93" s="368"/>
      <c r="L93" s="368"/>
      <c r="M93" s="368"/>
      <c r="N93" s="28"/>
      <c r="O93" s="28"/>
      <c r="P93" s="36">
        <f t="shared" si="2"/>
        <v>-420</v>
      </c>
      <c r="Q93" s="551" t="s">
        <v>547</v>
      </c>
    </row>
    <row r="94" spans="1:17" ht="13.5" customHeight="1">
      <c r="A94" s="25"/>
      <c r="B94" s="25"/>
      <c r="C94" s="907" t="s">
        <v>1008</v>
      </c>
      <c r="D94" s="923"/>
      <c r="E94" s="610"/>
      <c r="F94" s="28"/>
      <c r="G94" s="28"/>
      <c r="H94" s="361"/>
      <c r="I94" s="361"/>
      <c r="J94" s="28"/>
      <c r="K94" s="368"/>
      <c r="L94" s="368"/>
      <c r="M94" s="368"/>
      <c r="N94" s="28"/>
      <c r="O94" s="28"/>
      <c r="P94" s="36"/>
      <c r="Q94" s="551"/>
    </row>
    <row r="95" spans="1:17" ht="13.5" customHeight="1">
      <c r="A95" s="25"/>
      <c r="B95" s="25"/>
      <c r="C95" s="40" t="s">
        <v>244</v>
      </c>
      <c r="D95" s="373"/>
      <c r="E95" s="624">
        <v>2</v>
      </c>
      <c r="F95" s="28"/>
      <c r="G95" s="28"/>
      <c r="H95" s="361"/>
      <c r="I95" s="361">
        <v>540</v>
      </c>
      <c r="J95" s="28"/>
      <c r="K95" s="368"/>
      <c r="L95" s="368"/>
      <c r="M95" s="368"/>
      <c r="N95" s="28"/>
      <c r="O95" s="28"/>
      <c r="P95" s="36">
        <f t="shared" si="2"/>
        <v>540</v>
      </c>
      <c r="Q95" s="551" t="s">
        <v>547</v>
      </c>
    </row>
    <row r="96" spans="1:17" ht="13.5" customHeight="1">
      <c r="A96" s="362"/>
      <c r="B96" s="362"/>
      <c r="C96" s="42" t="s">
        <v>122</v>
      </c>
      <c r="D96" s="374"/>
      <c r="E96" s="629"/>
      <c r="F96" s="365">
        <f>SUM(F93:F95)</f>
        <v>0</v>
      </c>
      <c r="G96" s="365">
        <f aca="true" t="shared" si="10" ref="G96:P96">SUM(G93:G95)</f>
        <v>0</v>
      </c>
      <c r="H96" s="365">
        <f t="shared" si="10"/>
        <v>-420</v>
      </c>
      <c r="I96" s="365">
        <f t="shared" si="10"/>
        <v>540</v>
      </c>
      <c r="J96" s="365">
        <f t="shared" si="10"/>
        <v>0</v>
      </c>
      <c r="K96" s="365">
        <f t="shared" si="10"/>
        <v>0</v>
      </c>
      <c r="L96" s="365">
        <f t="shared" si="10"/>
        <v>0</v>
      </c>
      <c r="M96" s="365">
        <f t="shared" si="10"/>
        <v>0</v>
      </c>
      <c r="N96" s="365">
        <f t="shared" si="10"/>
        <v>0</v>
      </c>
      <c r="O96" s="365">
        <f t="shared" si="10"/>
        <v>0</v>
      </c>
      <c r="P96" s="365">
        <f t="shared" si="10"/>
        <v>120</v>
      </c>
      <c r="Q96" s="376"/>
    </row>
    <row r="97" spans="1:17" ht="13.5" customHeight="1">
      <c r="A97" s="25"/>
      <c r="B97" s="25"/>
      <c r="C97" s="40" t="s">
        <v>911</v>
      </c>
      <c r="D97" s="373"/>
      <c r="E97" s="620"/>
      <c r="F97" s="28"/>
      <c r="G97" s="28"/>
      <c r="H97" s="28"/>
      <c r="I97" s="28"/>
      <c r="J97" s="28"/>
      <c r="K97" s="368"/>
      <c r="L97" s="361">
        <f>8!J134</f>
        <v>0</v>
      </c>
      <c r="M97" s="361">
        <f>8!K134</f>
        <v>0</v>
      </c>
      <c r="N97" s="28"/>
      <c r="O97" s="28"/>
      <c r="P97" s="36">
        <f t="shared" si="2"/>
        <v>0</v>
      </c>
      <c r="Q97" s="379"/>
    </row>
    <row r="98" spans="1:17" ht="13.5" customHeight="1">
      <c r="A98" s="25"/>
      <c r="B98" s="25"/>
      <c r="C98" s="40" t="s">
        <v>913</v>
      </c>
      <c r="D98" s="373"/>
      <c r="E98" s="620"/>
      <c r="F98" s="28"/>
      <c r="G98" s="28"/>
      <c r="H98" s="28"/>
      <c r="I98" s="28"/>
      <c r="J98" s="28"/>
      <c r="K98" s="368">
        <f>7!J230</f>
        <v>0</v>
      </c>
      <c r="L98" s="361"/>
      <c r="M98" s="361">
        <f>7!K230</f>
        <v>200</v>
      </c>
      <c r="N98" s="28"/>
      <c r="O98" s="28"/>
      <c r="P98" s="36">
        <f t="shared" si="2"/>
        <v>200</v>
      </c>
      <c r="Q98" s="379"/>
    </row>
    <row r="99" spans="1:17" ht="13.5" customHeight="1">
      <c r="A99" s="362"/>
      <c r="B99" s="362"/>
      <c r="C99" s="42" t="s">
        <v>447</v>
      </c>
      <c r="D99" s="374"/>
      <c r="E99" s="629"/>
      <c r="F99" s="365">
        <f>SUM(F96:F98)</f>
        <v>0</v>
      </c>
      <c r="G99" s="365">
        <f aca="true" t="shared" si="11" ref="G99:P99">SUM(G96:G98)</f>
        <v>0</v>
      </c>
      <c r="H99" s="365">
        <f t="shared" si="11"/>
        <v>-420</v>
      </c>
      <c r="I99" s="365">
        <f t="shared" si="11"/>
        <v>540</v>
      </c>
      <c r="J99" s="365">
        <f t="shared" si="11"/>
        <v>0</v>
      </c>
      <c r="K99" s="365">
        <f t="shared" si="11"/>
        <v>0</v>
      </c>
      <c r="L99" s="365">
        <f t="shared" si="11"/>
        <v>0</v>
      </c>
      <c r="M99" s="365">
        <f t="shared" si="11"/>
        <v>200</v>
      </c>
      <c r="N99" s="365">
        <f t="shared" si="11"/>
        <v>0</v>
      </c>
      <c r="O99" s="365">
        <f t="shared" si="11"/>
        <v>0</v>
      </c>
      <c r="P99" s="365">
        <f t="shared" si="11"/>
        <v>320</v>
      </c>
      <c r="Q99" s="376"/>
    </row>
    <row r="100" spans="1:17" ht="13.5" customHeight="1">
      <c r="A100" s="25">
        <v>1</v>
      </c>
      <c r="B100" s="25">
        <v>18</v>
      </c>
      <c r="C100" s="46" t="s">
        <v>123</v>
      </c>
      <c r="D100" s="373"/>
      <c r="E100" s="620"/>
      <c r="F100" s="28"/>
      <c r="G100" s="28"/>
      <c r="H100" s="28"/>
      <c r="I100" s="28"/>
      <c r="J100" s="28"/>
      <c r="K100" s="368"/>
      <c r="L100" s="368"/>
      <c r="M100" s="368"/>
      <c r="N100" s="28"/>
      <c r="O100" s="28"/>
      <c r="P100" s="36"/>
      <c r="Q100" s="379"/>
    </row>
    <row r="101" spans="1:17" ht="24.75" customHeight="1">
      <c r="A101" s="25"/>
      <c r="B101" s="25"/>
      <c r="C101" s="908" t="s">
        <v>966</v>
      </c>
      <c r="D101" s="909"/>
      <c r="E101" s="622"/>
      <c r="F101" s="28"/>
      <c r="G101" s="28"/>
      <c r="H101" s="28"/>
      <c r="I101" s="28"/>
      <c r="J101" s="28"/>
      <c r="K101" s="368"/>
      <c r="L101" s="368"/>
      <c r="M101" s="368"/>
      <c r="N101" s="28"/>
      <c r="O101" s="28"/>
      <c r="P101" s="36"/>
      <c r="Q101" s="379"/>
    </row>
    <row r="102" spans="1:17" ht="24.75" customHeight="1">
      <c r="A102" s="25"/>
      <c r="B102" s="25"/>
      <c r="C102" s="908" t="s">
        <v>240</v>
      </c>
      <c r="D102" s="904"/>
      <c r="E102" s="777">
        <v>1</v>
      </c>
      <c r="F102" s="28"/>
      <c r="G102" s="28"/>
      <c r="H102" s="361">
        <v>5429</v>
      </c>
      <c r="I102" s="361"/>
      <c r="J102" s="28"/>
      <c r="K102" s="368"/>
      <c r="L102" s="368"/>
      <c r="M102" s="368"/>
      <c r="N102" s="28"/>
      <c r="O102" s="28"/>
      <c r="P102" s="36">
        <f t="shared" si="2"/>
        <v>5429</v>
      </c>
      <c r="Q102" s="552" t="s">
        <v>547</v>
      </c>
    </row>
    <row r="103" spans="1:17" ht="13.5" customHeight="1">
      <c r="A103" s="362"/>
      <c r="B103" s="362"/>
      <c r="C103" s="42" t="s">
        <v>124</v>
      </c>
      <c r="D103" s="374"/>
      <c r="E103" s="629"/>
      <c r="F103" s="365">
        <f aca="true" t="shared" si="12" ref="F103:P103">SUM(F101:F102)</f>
        <v>0</v>
      </c>
      <c r="G103" s="365">
        <f t="shared" si="12"/>
        <v>0</v>
      </c>
      <c r="H103" s="365">
        <f t="shared" si="12"/>
        <v>5429</v>
      </c>
      <c r="I103" s="365">
        <f t="shared" si="12"/>
        <v>0</v>
      </c>
      <c r="J103" s="365">
        <f t="shared" si="12"/>
        <v>0</v>
      </c>
      <c r="K103" s="365">
        <f t="shared" si="12"/>
        <v>0</v>
      </c>
      <c r="L103" s="365">
        <f t="shared" si="12"/>
        <v>0</v>
      </c>
      <c r="M103" s="365">
        <f t="shared" si="12"/>
        <v>0</v>
      </c>
      <c r="N103" s="365">
        <f t="shared" si="12"/>
        <v>0</v>
      </c>
      <c r="O103" s="365">
        <f t="shared" si="12"/>
        <v>0</v>
      </c>
      <c r="P103" s="365">
        <f t="shared" si="12"/>
        <v>5429</v>
      </c>
      <c r="Q103" s="376"/>
    </row>
    <row r="104" spans="1:17" ht="13.5" customHeight="1">
      <c r="A104" s="25"/>
      <c r="B104" s="25"/>
      <c r="C104" s="40" t="s">
        <v>913</v>
      </c>
      <c r="D104" s="373"/>
      <c r="E104" s="620"/>
      <c r="F104" s="28"/>
      <c r="G104" s="28"/>
      <c r="H104" s="28"/>
      <c r="I104" s="28"/>
      <c r="J104" s="28"/>
      <c r="K104" s="368">
        <f>7!J233</f>
        <v>1383</v>
      </c>
      <c r="L104" s="368"/>
      <c r="M104" s="368">
        <f>7!K233</f>
        <v>0</v>
      </c>
      <c r="N104" s="28"/>
      <c r="O104" s="28"/>
      <c r="P104" s="36">
        <f t="shared" si="2"/>
        <v>1383</v>
      </c>
      <c r="Q104" s="379"/>
    </row>
    <row r="105" spans="1:17" ht="13.5" customHeight="1">
      <c r="A105" s="362"/>
      <c r="B105" s="362"/>
      <c r="C105" s="42" t="s">
        <v>448</v>
      </c>
      <c r="D105" s="374"/>
      <c r="E105" s="629"/>
      <c r="F105" s="365">
        <f>SUM(F103:F104)</f>
        <v>0</v>
      </c>
      <c r="G105" s="365">
        <f aca="true" t="shared" si="13" ref="G105:P105">SUM(G103:G104)</f>
        <v>0</v>
      </c>
      <c r="H105" s="365">
        <f t="shared" si="13"/>
        <v>5429</v>
      </c>
      <c r="I105" s="365">
        <f t="shared" si="13"/>
        <v>0</v>
      </c>
      <c r="J105" s="365">
        <f t="shared" si="13"/>
        <v>0</v>
      </c>
      <c r="K105" s="365">
        <f t="shared" si="13"/>
        <v>1383</v>
      </c>
      <c r="L105" s="365">
        <f t="shared" si="13"/>
        <v>0</v>
      </c>
      <c r="M105" s="365">
        <f t="shared" si="13"/>
        <v>0</v>
      </c>
      <c r="N105" s="365">
        <f t="shared" si="13"/>
        <v>0</v>
      </c>
      <c r="O105" s="365">
        <f t="shared" si="13"/>
        <v>0</v>
      </c>
      <c r="P105" s="365">
        <f t="shared" si="13"/>
        <v>6812</v>
      </c>
      <c r="Q105" s="376"/>
    </row>
    <row r="106" spans="1:17" ht="13.5" customHeight="1">
      <c r="A106" s="48">
        <v>1</v>
      </c>
      <c r="B106" s="48">
        <v>19</v>
      </c>
      <c r="C106" s="54" t="s">
        <v>905</v>
      </c>
      <c r="D106" s="50"/>
      <c r="E106" s="625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36"/>
      <c r="Q106" s="156"/>
    </row>
    <row r="107" spans="1:17" ht="24.75" customHeight="1">
      <c r="A107" s="48"/>
      <c r="B107" s="48"/>
      <c r="C107" s="913" t="s">
        <v>966</v>
      </c>
      <c r="D107" s="909"/>
      <c r="E107" s="622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"/>
      <c r="Q107" s="156"/>
    </row>
    <row r="108" spans="1:17" ht="24.75" customHeight="1">
      <c r="A108" s="48"/>
      <c r="B108" s="48"/>
      <c r="C108" s="905" t="s">
        <v>281</v>
      </c>
      <c r="D108" s="914"/>
      <c r="E108" s="622">
        <v>1</v>
      </c>
      <c r="F108" s="361"/>
      <c r="G108" s="361"/>
      <c r="H108" s="361"/>
      <c r="I108" s="361">
        <v>86467</v>
      </c>
      <c r="J108" s="361"/>
      <c r="K108" s="361"/>
      <c r="L108" s="361"/>
      <c r="M108" s="361"/>
      <c r="N108" s="361"/>
      <c r="O108" s="361"/>
      <c r="P108" s="36">
        <f t="shared" si="2"/>
        <v>86467</v>
      </c>
      <c r="Q108" s="156" t="s">
        <v>547</v>
      </c>
    </row>
    <row r="109" spans="1:17" ht="24.75" customHeight="1">
      <c r="A109" s="48"/>
      <c r="B109" s="48"/>
      <c r="C109" s="861" t="s">
        <v>282</v>
      </c>
      <c r="D109" s="918"/>
      <c r="E109" s="622">
        <v>1</v>
      </c>
      <c r="F109" s="361"/>
      <c r="G109" s="361"/>
      <c r="H109" s="361"/>
      <c r="I109" s="361">
        <v>401205</v>
      </c>
      <c r="J109" s="361"/>
      <c r="K109" s="361"/>
      <c r="L109" s="361"/>
      <c r="M109" s="361"/>
      <c r="N109" s="361"/>
      <c r="O109" s="361"/>
      <c r="P109" s="36">
        <f t="shared" si="2"/>
        <v>401205</v>
      </c>
      <c r="Q109" s="156" t="s">
        <v>547</v>
      </c>
    </row>
    <row r="110" spans="1:17" ht="13.5" customHeight="1">
      <c r="A110" s="48"/>
      <c r="B110" s="48"/>
      <c r="C110" s="49" t="s">
        <v>1027</v>
      </c>
      <c r="D110" s="237"/>
      <c r="E110" s="610">
        <v>1</v>
      </c>
      <c r="F110" s="361"/>
      <c r="G110" s="361"/>
      <c r="H110" s="361">
        <v>46743</v>
      </c>
      <c r="I110" s="361"/>
      <c r="J110" s="361"/>
      <c r="K110" s="361"/>
      <c r="L110" s="361"/>
      <c r="M110" s="361"/>
      <c r="N110" s="361"/>
      <c r="O110" s="361"/>
      <c r="P110" s="36">
        <f t="shared" si="2"/>
        <v>46743</v>
      </c>
      <c r="Q110" s="156" t="s">
        <v>547</v>
      </c>
    </row>
    <row r="111" spans="1:17" ht="15" customHeight="1">
      <c r="A111" s="48"/>
      <c r="B111" s="48"/>
      <c r="C111" s="916" t="s">
        <v>239</v>
      </c>
      <c r="D111" s="917"/>
      <c r="E111" s="610">
        <v>1</v>
      </c>
      <c r="F111" s="361"/>
      <c r="G111" s="361"/>
      <c r="H111" s="361"/>
      <c r="I111" s="361">
        <v>3969</v>
      </c>
      <c r="J111" s="361"/>
      <c r="K111" s="361"/>
      <c r="L111" s="361"/>
      <c r="M111" s="361"/>
      <c r="N111" s="361"/>
      <c r="O111" s="361"/>
      <c r="P111" s="36">
        <f t="shared" si="2"/>
        <v>3969</v>
      </c>
      <c r="Q111" s="156" t="s">
        <v>547</v>
      </c>
    </row>
    <row r="112" spans="1:17" ht="24.75" customHeight="1">
      <c r="A112" s="48"/>
      <c r="B112" s="48"/>
      <c r="C112" s="916" t="s">
        <v>157</v>
      </c>
      <c r="D112" s="917"/>
      <c r="E112" s="610">
        <v>1</v>
      </c>
      <c r="F112" s="361"/>
      <c r="G112" s="361"/>
      <c r="H112" s="361">
        <v>36941</v>
      </c>
      <c r="I112" s="361"/>
      <c r="J112" s="361"/>
      <c r="K112" s="361"/>
      <c r="L112" s="361"/>
      <c r="M112" s="361"/>
      <c r="N112" s="361"/>
      <c r="O112" s="361"/>
      <c r="P112" s="36">
        <f t="shared" si="2"/>
        <v>36941</v>
      </c>
      <c r="Q112" s="156" t="s">
        <v>547</v>
      </c>
    </row>
    <row r="113" spans="1:17" ht="13.5" customHeight="1">
      <c r="A113" s="48"/>
      <c r="B113" s="48"/>
      <c r="C113" s="908" t="s">
        <v>268</v>
      </c>
      <c r="D113" s="909"/>
      <c r="E113" s="610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">
        <f t="shared" si="2"/>
        <v>0</v>
      </c>
      <c r="Q113" s="156"/>
    </row>
    <row r="114" spans="1:17" ht="24.75" customHeight="1">
      <c r="A114" s="48"/>
      <c r="B114" s="48"/>
      <c r="C114" s="908" t="s">
        <v>586</v>
      </c>
      <c r="D114" s="909"/>
      <c r="E114" s="610">
        <v>1</v>
      </c>
      <c r="F114" s="361"/>
      <c r="G114" s="361"/>
      <c r="H114" s="361">
        <v>-16862</v>
      </c>
      <c r="I114" s="361"/>
      <c r="J114" s="361"/>
      <c r="K114" s="361"/>
      <c r="L114" s="361"/>
      <c r="M114" s="361"/>
      <c r="N114" s="361">
        <v>-78887</v>
      </c>
      <c r="O114" s="361"/>
      <c r="P114" s="36">
        <f t="shared" si="2"/>
        <v>-95749</v>
      </c>
      <c r="Q114" s="156" t="s">
        <v>547</v>
      </c>
    </row>
    <row r="115" spans="1:17" ht="24.75" customHeight="1">
      <c r="A115" s="48"/>
      <c r="B115" s="48"/>
      <c r="C115" s="861" t="s">
        <v>283</v>
      </c>
      <c r="D115" s="918"/>
      <c r="E115" s="610"/>
      <c r="F115" s="361"/>
      <c r="G115" s="361"/>
      <c r="H115" s="361">
        <v>71</v>
      </c>
      <c r="I115" s="361"/>
      <c r="J115" s="361"/>
      <c r="K115" s="361"/>
      <c r="L115" s="361"/>
      <c r="M115" s="361"/>
      <c r="N115" s="361">
        <v>244368</v>
      </c>
      <c r="O115" s="361"/>
      <c r="P115" s="36">
        <f t="shared" si="2"/>
        <v>244439</v>
      </c>
      <c r="Q115" s="156" t="s">
        <v>547</v>
      </c>
    </row>
    <row r="116" spans="1:17" ht="15" customHeight="1">
      <c r="A116" s="48"/>
      <c r="B116" s="48"/>
      <c r="C116" s="921" t="s">
        <v>53</v>
      </c>
      <c r="D116" s="904"/>
      <c r="E116" s="610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"/>
      <c r="Q116" s="156"/>
    </row>
    <row r="117" spans="1:17" ht="15" customHeight="1">
      <c r="A117" s="48"/>
      <c r="B117" s="48"/>
      <c r="C117" s="40" t="s">
        <v>54</v>
      </c>
      <c r="D117" s="50"/>
      <c r="E117" s="610">
        <v>2</v>
      </c>
      <c r="F117" s="361"/>
      <c r="G117" s="361"/>
      <c r="H117" s="361"/>
      <c r="I117" s="361">
        <v>2000</v>
      </c>
      <c r="J117" s="361"/>
      <c r="K117" s="361"/>
      <c r="L117" s="361"/>
      <c r="M117" s="361"/>
      <c r="N117" s="361"/>
      <c r="O117" s="361"/>
      <c r="P117" s="36">
        <v>2000</v>
      </c>
      <c r="Q117" s="156" t="s">
        <v>547</v>
      </c>
    </row>
    <row r="118" spans="1:17" ht="13.5" customHeight="1">
      <c r="A118" s="48"/>
      <c r="B118" s="48"/>
      <c r="C118" s="921" t="s">
        <v>310</v>
      </c>
      <c r="D118" s="904"/>
      <c r="E118" s="610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"/>
      <c r="Q118" s="156"/>
    </row>
    <row r="119" spans="1:17" ht="24.75" customHeight="1">
      <c r="A119" s="48"/>
      <c r="B119" s="48"/>
      <c r="C119" s="49" t="s">
        <v>311</v>
      </c>
      <c r="D119" s="50"/>
      <c r="E119" s="621">
        <v>2</v>
      </c>
      <c r="F119" s="361"/>
      <c r="G119" s="361"/>
      <c r="H119" s="361">
        <v>-500</v>
      </c>
      <c r="I119" s="361">
        <v>500</v>
      </c>
      <c r="J119" s="361"/>
      <c r="K119" s="361"/>
      <c r="L119" s="361"/>
      <c r="M119" s="361"/>
      <c r="N119" s="361"/>
      <c r="O119" s="361"/>
      <c r="P119" s="36">
        <f t="shared" si="2"/>
        <v>0</v>
      </c>
      <c r="Q119" s="156" t="s">
        <v>547</v>
      </c>
    </row>
    <row r="120" spans="1:17" ht="13.5" customHeight="1">
      <c r="A120" s="367"/>
      <c r="B120" s="367"/>
      <c r="C120" s="42" t="s">
        <v>125</v>
      </c>
      <c r="D120" s="363"/>
      <c r="E120" s="617"/>
      <c r="F120" s="365">
        <f aca="true" t="shared" si="14" ref="F120:P120">SUM(F107:F119)</f>
        <v>0</v>
      </c>
      <c r="G120" s="365">
        <f t="shared" si="14"/>
        <v>0</v>
      </c>
      <c r="H120" s="365">
        <f t="shared" si="14"/>
        <v>66393</v>
      </c>
      <c r="I120" s="365">
        <f t="shared" si="14"/>
        <v>494141</v>
      </c>
      <c r="J120" s="365">
        <f t="shared" si="14"/>
        <v>0</v>
      </c>
      <c r="K120" s="365">
        <f t="shared" si="14"/>
        <v>0</v>
      </c>
      <c r="L120" s="365">
        <f t="shared" si="14"/>
        <v>0</v>
      </c>
      <c r="M120" s="365">
        <f t="shared" si="14"/>
        <v>0</v>
      </c>
      <c r="N120" s="365">
        <f t="shared" si="14"/>
        <v>165481</v>
      </c>
      <c r="O120" s="365">
        <f t="shared" si="14"/>
        <v>0</v>
      </c>
      <c r="P120" s="365">
        <f t="shared" si="14"/>
        <v>726015</v>
      </c>
      <c r="Q120" s="366"/>
    </row>
    <row r="121" spans="1:17" ht="13.5" customHeight="1">
      <c r="A121" s="25"/>
      <c r="B121" s="25"/>
      <c r="C121" s="49" t="s">
        <v>913</v>
      </c>
      <c r="D121" s="27"/>
      <c r="E121" s="618"/>
      <c r="F121" s="28"/>
      <c r="G121" s="28"/>
      <c r="H121" s="28"/>
      <c r="I121" s="28"/>
      <c r="J121" s="28"/>
      <c r="K121" s="368">
        <f>7!J238</f>
        <v>0</v>
      </c>
      <c r="L121" s="368"/>
      <c r="M121" s="361">
        <f>7!K238</f>
        <v>0</v>
      </c>
      <c r="N121" s="28"/>
      <c r="O121" s="28"/>
      <c r="P121" s="36">
        <f t="shared" si="2"/>
        <v>0</v>
      </c>
      <c r="Q121" s="156" t="s">
        <v>547</v>
      </c>
    </row>
    <row r="122" spans="1:17" ht="13.5" customHeight="1">
      <c r="A122" s="25"/>
      <c r="B122" s="25"/>
      <c r="C122" s="49" t="s">
        <v>911</v>
      </c>
      <c r="D122" s="27"/>
      <c r="E122" s="618"/>
      <c r="F122" s="28"/>
      <c r="G122" s="28"/>
      <c r="H122" s="28"/>
      <c r="I122" s="28"/>
      <c r="J122" s="28"/>
      <c r="K122" s="368"/>
      <c r="L122" s="368">
        <f>8!J138</f>
        <v>0</v>
      </c>
      <c r="M122" s="361">
        <f>8!K138</f>
        <v>0</v>
      </c>
      <c r="N122" s="28"/>
      <c r="O122" s="28"/>
      <c r="P122" s="36">
        <f t="shared" si="2"/>
        <v>0</v>
      </c>
      <c r="Q122" s="156"/>
    </row>
    <row r="123" spans="1:17" ht="13.5" customHeight="1">
      <c r="A123" s="362"/>
      <c r="B123" s="362"/>
      <c r="C123" s="42" t="s">
        <v>906</v>
      </c>
      <c r="D123" s="363"/>
      <c r="E123" s="617"/>
      <c r="F123" s="365">
        <f>SUM(F120:F122)</f>
        <v>0</v>
      </c>
      <c r="G123" s="365">
        <f aca="true" t="shared" si="15" ref="G123:P123">SUM(G120:G122)</f>
        <v>0</v>
      </c>
      <c r="H123" s="365">
        <f t="shared" si="15"/>
        <v>66393</v>
      </c>
      <c r="I123" s="365">
        <f t="shared" si="15"/>
        <v>494141</v>
      </c>
      <c r="J123" s="365">
        <f t="shared" si="15"/>
        <v>0</v>
      </c>
      <c r="K123" s="365">
        <f t="shared" si="15"/>
        <v>0</v>
      </c>
      <c r="L123" s="365">
        <f t="shared" si="15"/>
        <v>0</v>
      </c>
      <c r="M123" s="365">
        <f t="shared" si="15"/>
        <v>0</v>
      </c>
      <c r="N123" s="365">
        <f t="shared" si="15"/>
        <v>165481</v>
      </c>
      <c r="O123" s="365">
        <f t="shared" si="15"/>
        <v>0</v>
      </c>
      <c r="P123" s="365">
        <f t="shared" si="15"/>
        <v>726015</v>
      </c>
      <c r="Q123" s="366"/>
    </row>
    <row r="124" spans="1:17" ht="13.5" customHeight="1">
      <c r="A124" s="25">
        <v>1</v>
      </c>
      <c r="B124" s="25">
        <v>20</v>
      </c>
      <c r="C124" s="381" t="s">
        <v>126</v>
      </c>
      <c r="D124" s="377"/>
      <c r="E124" s="624"/>
      <c r="F124" s="28"/>
      <c r="G124" s="28"/>
      <c r="H124" s="380"/>
      <c r="I124" s="380"/>
      <c r="J124" s="380"/>
      <c r="K124" s="380"/>
      <c r="L124" s="380"/>
      <c r="M124" s="380"/>
      <c r="N124" s="380"/>
      <c r="O124" s="380"/>
      <c r="P124" s="36">
        <f t="shared" si="2"/>
        <v>0</v>
      </c>
      <c r="Q124" s="378"/>
    </row>
    <row r="125" spans="1:17" ht="13.5" customHeight="1">
      <c r="A125" s="362"/>
      <c r="B125" s="362"/>
      <c r="C125" s="42" t="s">
        <v>829</v>
      </c>
      <c r="D125" s="363"/>
      <c r="E125" s="617">
        <v>1</v>
      </c>
      <c r="F125" s="365">
        <f>SUM(F124:F124)</f>
        <v>0</v>
      </c>
      <c r="G125" s="365">
        <f>SUM(G124:G124)</f>
        <v>0</v>
      </c>
      <c r="H125" s="365">
        <v>0</v>
      </c>
      <c r="I125" s="365">
        <f aca="true" t="shared" si="16" ref="I125:O125">SUM(I124:I124)</f>
        <v>0</v>
      </c>
      <c r="J125" s="365">
        <f t="shared" si="16"/>
        <v>0</v>
      </c>
      <c r="K125" s="365">
        <f t="shared" si="16"/>
        <v>0</v>
      </c>
      <c r="L125" s="365">
        <f t="shared" si="16"/>
        <v>0</v>
      </c>
      <c r="M125" s="365">
        <f t="shared" si="16"/>
        <v>0</v>
      </c>
      <c r="N125" s="365">
        <f t="shared" si="16"/>
        <v>0</v>
      </c>
      <c r="O125" s="365">
        <f t="shared" si="16"/>
        <v>0</v>
      </c>
      <c r="P125" s="365">
        <f>SUM(F125:O125)</f>
        <v>0</v>
      </c>
      <c r="Q125" s="366" t="s">
        <v>547</v>
      </c>
    </row>
    <row r="126" spans="1:17" ht="13.5" customHeight="1">
      <c r="A126" s="369">
        <v>1</v>
      </c>
      <c r="B126" s="369">
        <v>22</v>
      </c>
      <c r="C126" s="932" t="s">
        <v>112</v>
      </c>
      <c r="D126" s="933"/>
      <c r="E126" s="630"/>
      <c r="F126" s="28"/>
      <c r="G126" s="28"/>
      <c r="H126" s="28"/>
      <c r="I126" s="28"/>
      <c r="J126" s="28"/>
      <c r="K126" s="368"/>
      <c r="L126" s="368"/>
      <c r="M126" s="368"/>
      <c r="N126" s="28"/>
      <c r="O126" s="28"/>
      <c r="P126" s="36">
        <f t="shared" si="2"/>
        <v>0</v>
      </c>
      <c r="Q126" s="156"/>
    </row>
    <row r="127" spans="1:17" ht="13.5" customHeight="1">
      <c r="A127" s="369"/>
      <c r="B127" s="369"/>
      <c r="C127" s="912" t="s">
        <v>1009</v>
      </c>
      <c r="D127" s="904"/>
      <c r="E127" s="610"/>
      <c r="F127" s="361"/>
      <c r="G127" s="361"/>
      <c r="H127" s="361"/>
      <c r="I127" s="361"/>
      <c r="J127" s="361"/>
      <c r="K127" s="361"/>
      <c r="L127" s="361"/>
      <c r="M127" s="361"/>
      <c r="N127" s="361"/>
      <c r="O127" s="361"/>
      <c r="P127" s="36">
        <f t="shared" si="2"/>
        <v>0</v>
      </c>
      <c r="Q127" s="156"/>
    </row>
    <row r="128" spans="1:17" ht="13.5" customHeight="1">
      <c r="A128" s="369"/>
      <c r="B128" s="369"/>
      <c r="C128" s="541" t="s">
        <v>305</v>
      </c>
      <c r="D128" s="553"/>
      <c r="E128" s="616">
        <v>2</v>
      </c>
      <c r="F128" s="361">
        <v>-883</v>
      </c>
      <c r="G128" s="361">
        <v>-239</v>
      </c>
      <c r="H128" s="361">
        <v>-891</v>
      </c>
      <c r="I128" s="361">
        <v>2013</v>
      </c>
      <c r="J128" s="361"/>
      <c r="K128" s="361"/>
      <c r="L128" s="361"/>
      <c r="M128" s="361"/>
      <c r="N128" s="361"/>
      <c r="O128" s="361"/>
      <c r="P128" s="36">
        <f t="shared" si="2"/>
        <v>0</v>
      </c>
      <c r="Q128" s="378" t="s">
        <v>547</v>
      </c>
    </row>
    <row r="129" spans="1:17" ht="13.5" customHeight="1">
      <c r="A129" s="369"/>
      <c r="B129" s="369"/>
      <c r="C129" s="541" t="s">
        <v>1028</v>
      </c>
      <c r="D129" s="553"/>
      <c r="E129" s="613"/>
      <c r="F129" s="361"/>
      <c r="G129" s="361"/>
      <c r="H129" s="361"/>
      <c r="I129" s="361"/>
      <c r="J129" s="361"/>
      <c r="K129" s="361"/>
      <c r="L129" s="361"/>
      <c r="M129" s="361"/>
      <c r="N129" s="361"/>
      <c r="O129" s="361"/>
      <c r="P129" s="36"/>
      <c r="Q129" s="378"/>
    </row>
    <row r="130" spans="1:17" ht="13.5" customHeight="1">
      <c r="A130" s="369"/>
      <c r="B130" s="369"/>
      <c r="C130" s="908" t="s">
        <v>1029</v>
      </c>
      <c r="D130" s="909"/>
      <c r="E130" s="622">
        <v>2</v>
      </c>
      <c r="F130" s="361"/>
      <c r="G130" s="361"/>
      <c r="H130" s="361"/>
      <c r="I130" s="361">
        <v>670</v>
      </c>
      <c r="J130" s="361"/>
      <c r="K130" s="361"/>
      <c r="L130" s="361"/>
      <c r="M130" s="361"/>
      <c r="N130" s="361"/>
      <c r="O130" s="361"/>
      <c r="P130" s="36">
        <f t="shared" si="2"/>
        <v>670</v>
      </c>
      <c r="Q130" s="378" t="s">
        <v>547</v>
      </c>
    </row>
    <row r="131" spans="1:17" ht="13.5" customHeight="1">
      <c r="A131" s="369"/>
      <c r="B131" s="369"/>
      <c r="C131" s="555" t="s">
        <v>1030</v>
      </c>
      <c r="D131" s="554"/>
      <c r="E131" s="631">
        <v>2</v>
      </c>
      <c r="F131" s="361"/>
      <c r="G131" s="361"/>
      <c r="H131" s="361">
        <v>-6065</v>
      </c>
      <c r="I131" s="361">
        <v>990</v>
      </c>
      <c r="J131" s="361"/>
      <c r="K131" s="361"/>
      <c r="L131" s="361"/>
      <c r="M131" s="361"/>
      <c r="N131" s="361"/>
      <c r="O131" s="361"/>
      <c r="P131" s="36">
        <f t="shared" si="2"/>
        <v>-5075</v>
      </c>
      <c r="Q131" s="378" t="s">
        <v>547</v>
      </c>
    </row>
    <row r="132" spans="1:17" ht="13.5" customHeight="1">
      <c r="A132" s="369"/>
      <c r="B132" s="369"/>
      <c r="C132" s="907" t="s">
        <v>1008</v>
      </c>
      <c r="D132" s="920"/>
      <c r="E132" s="610"/>
      <c r="F132" s="361"/>
      <c r="G132" s="361"/>
      <c r="H132" s="361"/>
      <c r="I132" s="361"/>
      <c r="J132" s="361"/>
      <c r="K132" s="361"/>
      <c r="L132" s="361"/>
      <c r="M132" s="361"/>
      <c r="N132" s="361"/>
      <c r="O132" s="361"/>
      <c r="P132" s="36"/>
      <c r="Q132" s="378"/>
    </row>
    <row r="133" spans="1:17" ht="24.75" customHeight="1">
      <c r="A133" s="369"/>
      <c r="B133" s="369"/>
      <c r="C133" s="919" t="s">
        <v>584</v>
      </c>
      <c r="D133" s="910"/>
      <c r="E133" s="627">
        <v>2</v>
      </c>
      <c r="F133" s="361"/>
      <c r="G133" s="361"/>
      <c r="H133" s="361"/>
      <c r="I133" s="361">
        <v>5000</v>
      </c>
      <c r="J133" s="361"/>
      <c r="K133" s="361"/>
      <c r="L133" s="361"/>
      <c r="M133" s="361"/>
      <c r="N133" s="361"/>
      <c r="O133" s="361"/>
      <c r="P133" s="36">
        <f t="shared" si="2"/>
        <v>5000</v>
      </c>
      <c r="Q133" s="378" t="s">
        <v>547</v>
      </c>
    </row>
    <row r="134" spans="1:17" ht="13.5" customHeight="1">
      <c r="A134" s="369"/>
      <c r="B134" s="369"/>
      <c r="C134" s="556" t="s">
        <v>1031</v>
      </c>
      <c r="D134" s="554"/>
      <c r="E134" s="631"/>
      <c r="F134" s="361"/>
      <c r="G134" s="361"/>
      <c r="H134" s="361"/>
      <c r="I134" s="361"/>
      <c r="J134" s="361"/>
      <c r="K134" s="361"/>
      <c r="L134" s="361"/>
      <c r="M134" s="361"/>
      <c r="N134" s="361"/>
      <c r="O134" s="361"/>
      <c r="P134" s="36"/>
      <c r="Q134" s="378"/>
    </row>
    <row r="135" spans="1:17" ht="24.75" customHeight="1">
      <c r="A135" s="369"/>
      <c r="B135" s="369"/>
      <c r="C135" s="861" t="s">
        <v>1032</v>
      </c>
      <c r="D135" s="910"/>
      <c r="E135" s="621">
        <v>2</v>
      </c>
      <c r="F135" s="361">
        <v>287</v>
      </c>
      <c r="G135" s="361">
        <v>70</v>
      </c>
      <c r="H135" s="361">
        <v>-357</v>
      </c>
      <c r="I135" s="361"/>
      <c r="J135" s="361"/>
      <c r="K135" s="361"/>
      <c r="L135" s="361"/>
      <c r="M135" s="361"/>
      <c r="N135" s="361"/>
      <c r="O135" s="361"/>
      <c r="P135" s="36">
        <f>SUM(F135:O135)</f>
        <v>0</v>
      </c>
      <c r="Q135" s="378" t="s">
        <v>547</v>
      </c>
    </row>
    <row r="136" spans="1:17" ht="13.5" customHeight="1">
      <c r="A136" s="383"/>
      <c r="B136" s="383"/>
      <c r="C136" s="172" t="s">
        <v>849</v>
      </c>
      <c r="D136" s="384"/>
      <c r="E136" s="632"/>
      <c r="F136" s="365">
        <f aca="true" t="shared" si="17" ref="F136:P136">SUM(F126:F135)</f>
        <v>-596</v>
      </c>
      <c r="G136" s="365">
        <f t="shared" si="17"/>
        <v>-169</v>
      </c>
      <c r="H136" s="365">
        <f t="shared" si="17"/>
        <v>-7313</v>
      </c>
      <c r="I136" s="365">
        <f t="shared" si="17"/>
        <v>8673</v>
      </c>
      <c r="J136" s="365">
        <f t="shared" si="17"/>
        <v>0</v>
      </c>
      <c r="K136" s="365">
        <f t="shared" si="17"/>
        <v>0</v>
      </c>
      <c r="L136" s="365">
        <f t="shared" si="17"/>
        <v>0</v>
      </c>
      <c r="M136" s="365">
        <f t="shared" si="17"/>
        <v>0</v>
      </c>
      <c r="N136" s="365">
        <f t="shared" si="17"/>
        <v>0</v>
      </c>
      <c r="O136" s="365">
        <f t="shared" si="17"/>
        <v>0</v>
      </c>
      <c r="P136" s="365">
        <f t="shared" si="17"/>
        <v>595</v>
      </c>
      <c r="Q136" s="376"/>
    </row>
    <row r="137" spans="1:17" ht="13.5" customHeight="1">
      <c r="A137" s="25"/>
      <c r="B137" s="25"/>
      <c r="C137" s="49" t="s">
        <v>913</v>
      </c>
      <c r="D137" s="27"/>
      <c r="E137" s="618"/>
      <c r="F137" s="28"/>
      <c r="G137" s="28"/>
      <c r="H137" s="28"/>
      <c r="I137" s="28"/>
      <c r="J137" s="28"/>
      <c r="K137" s="361">
        <f>7!J241</f>
        <v>0</v>
      </c>
      <c r="L137" s="361"/>
      <c r="M137" s="361">
        <f>7!K241</f>
        <v>0</v>
      </c>
      <c r="N137" s="28"/>
      <c r="O137" s="28"/>
      <c r="P137" s="36">
        <f>SUM(F137:O137)</f>
        <v>0</v>
      </c>
      <c r="Q137" s="156" t="s">
        <v>547</v>
      </c>
    </row>
    <row r="138" spans="1:17" ht="13.5" customHeight="1">
      <c r="A138" s="362"/>
      <c r="B138" s="362"/>
      <c r="C138" s="42" t="s">
        <v>113</v>
      </c>
      <c r="D138" s="363"/>
      <c r="E138" s="617"/>
      <c r="F138" s="365">
        <f>SUM(F136:F137)</f>
        <v>-596</v>
      </c>
      <c r="G138" s="365">
        <f aca="true" t="shared" si="18" ref="G138:P138">SUM(G136:G137)</f>
        <v>-169</v>
      </c>
      <c r="H138" s="365">
        <f t="shared" si="18"/>
        <v>-7313</v>
      </c>
      <c r="I138" s="365">
        <f t="shared" si="18"/>
        <v>8673</v>
      </c>
      <c r="J138" s="365">
        <f t="shared" si="18"/>
        <v>0</v>
      </c>
      <c r="K138" s="365">
        <f t="shared" si="18"/>
        <v>0</v>
      </c>
      <c r="L138" s="365">
        <f t="shared" si="18"/>
        <v>0</v>
      </c>
      <c r="M138" s="365">
        <f t="shared" si="18"/>
        <v>0</v>
      </c>
      <c r="N138" s="365">
        <f t="shared" si="18"/>
        <v>0</v>
      </c>
      <c r="O138" s="365">
        <f t="shared" si="18"/>
        <v>0</v>
      </c>
      <c r="P138" s="365">
        <f t="shared" si="18"/>
        <v>595</v>
      </c>
      <c r="Q138" s="366"/>
    </row>
    <row r="139" spans="1:17" ht="13.5" customHeight="1">
      <c r="A139" s="48">
        <v>1</v>
      </c>
      <c r="B139" s="48">
        <v>30</v>
      </c>
      <c r="C139" s="54" t="s">
        <v>552</v>
      </c>
      <c r="D139" s="50"/>
      <c r="E139" s="625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36"/>
      <c r="Q139" s="156"/>
    </row>
    <row r="140" spans="1:17" ht="13.5" customHeight="1">
      <c r="A140" s="48">
        <v>1</v>
      </c>
      <c r="B140" s="48">
        <v>31</v>
      </c>
      <c r="C140" s="54" t="s">
        <v>437</v>
      </c>
      <c r="D140" s="50"/>
      <c r="E140" s="625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36"/>
      <c r="Q140" s="156" t="s">
        <v>547</v>
      </c>
    </row>
    <row r="141" spans="1:17" ht="13.5" customHeight="1">
      <c r="A141" s="48"/>
      <c r="B141" s="48">
        <v>32</v>
      </c>
      <c r="C141" s="54" t="s">
        <v>877</v>
      </c>
      <c r="D141" s="50"/>
      <c r="E141" s="62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36"/>
      <c r="Q141" s="156"/>
    </row>
    <row r="142" spans="1:17" ht="24.75" customHeight="1">
      <c r="A142" s="48"/>
      <c r="B142" s="48"/>
      <c r="C142" s="908" t="s">
        <v>1033</v>
      </c>
      <c r="D142" s="909"/>
      <c r="E142" s="622">
        <v>1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>
        <v>-55192</v>
      </c>
      <c r="P142" s="36">
        <f aca="true" t="shared" si="19" ref="P142:P147">SUM(F142:O142)</f>
        <v>-55192</v>
      </c>
      <c r="Q142" s="156" t="s">
        <v>547</v>
      </c>
    </row>
    <row r="143" spans="1:17" ht="15" customHeight="1">
      <c r="A143" s="48"/>
      <c r="B143" s="48"/>
      <c r="C143" s="49" t="s">
        <v>156</v>
      </c>
      <c r="D143" s="814"/>
      <c r="E143" s="622">
        <v>1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>
        <v>-14983</v>
      </c>
      <c r="P143" s="36">
        <f t="shared" si="19"/>
        <v>-14983</v>
      </c>
      <c r="Q143" s="156" t="s">
        <v>547</v>
      </c>
    </row>
    <row r="144" spans="1:17" ht="13.5" customHeight="1">
      <c r="A144" s="48"/>
      <c r="B144" s="48"/>
      <c r="C144" s="770" t="s">
        <v>306</v>
      </c>
      <c r="D144" s="771"/>
      <c r="E144" s="622">
        <v>2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>
        <v>-1511</v>
      </c>
      <c r="P144" s="36">
        <f t="shared" si="19"/>
        <v>-1511</v>
      </c>
      <c r="Q144" s="156" t="s">
        <v>547</v>
      </c>
    </row>
    <row r="145" spans="1:17" ht="15" customHeight="1">
      <c r="A145" s="48"/>
      <c r="B145" s="48"/>
      <c r="C145" s="49" t="s">
        <v>307</v>
      </c>
      <c r="D145" s="237"/>
      <c r="E145" s="633">
        <v>1</v>
      </c>
      <c r="F145" s="51"/>
      <c r="G145" s="51"/>
      <c r="H145" s="51"/>
      <c r="I145" s="51"/>
      <c r="J145" s="51"/>
      <c r="K145" s="51"/>
      <c r="L145" s="51"/>
      <c r="M145" s="51"/>
      <c r="N145" s="51"/>
      <c r="O145" s="51">
        <v>32553</v>
      </c>
      <c r="P145" s="36">
        <f t="shared" si="19"/>
        <v>32553</v>
      </c>
      <c r="Q145" s="156" t="s">
        <v>547</v>
      </c>
    </row>
    <row r="146" spans="1:17" ht="12.75" customHeight="1">
      <c r="A146" s="48"/>
      <c r="B146" s="48"/>
      <c r="C146" s="49" t="s">
        <v>540</v>
      </c>
      <c r="D146" s="50"/>
      <c r="E146" s="625">
        <v>1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39">
        <v>-8847</v>
      </c>
      <c r="P146" s="36">
        <f t="shared" si="19"/>
        <v>-8847</v>
      </c>
      <c r="Q146" s="156" t="s">
        <v>547</v>
      </c>
    </row>
    <row r="147" spans="1:17" ht="12.75" customHeight="1">
      <c r="A147" s="48"/>
      <c r="B147" s="48"/>
      <c r="C147" s="907" t="s">
        <v>231</v>
      </c>
      <c r="D147" s="911"/>
      <c r="E147" s="625"/>
      <c r="F147" s="51"/>
      <c r="G147" s="51"/>
      <c r="H147" s="51"/>
      <c r="I147" s="51"/>
      <c r="J147" s="51"/>
      <c r="K147" s="51"/>
      <c r="L147" s="51"/>
      <c r="M147" s="51"/>
      <c r="N147" s="51"/>
      <c r="O147" s="51">
        <v>-334</v>
      </c>
      <c r="P147" s="36">
        <f t="shared" si="19"/>
        <v>-334</v>
      </c>
      <c r="Q147" s="156" t="s">
        <v>547</v>
      </c>
    </row>
    <row r="148" spans="1:17" ht="31.5" customHeight="1">
      <c r="A148" s="48"/>
      <c r="B148" s="48"/>
      <c r="C148" s="915" t="s">
        <v>1034</v>
      </c>
      <c r="D148" s="909"/>
      <c r="E148" s="622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36"/>
      <c r="Q148" s="156"/>
    </row>
    <row r="149" spans="1:17" ht="12.75" customHeight="1">
      <c r="A149" s="48"/>
      <c r="B149" s="48"/>
      <c r="C149" s="908" t="s">
        <v>1035</v>
      </c>
      <c r="D149" s="909"/>
      <c r="E149" s="622">
        <v>2</v>
      </c>
      <c r="F149" s="51"/>
      <c r="G149" s="51"/>
      <c r="H149" s="51"/>
      <c r="I149" s="51"/>
      <c r="J149" s="51"/>
      <c r="K149" s="51"/>
      <c r="L149" s="51"/>
      <c r="M149" s="51"/>
      <c r="N149" s="51"/>
      <c r="O149" s="51">
        <v>-1000</v>
      </c>
      <c r="P149" s="36">
        <f>SUM(F149:O149)</f>
        <v>-1000</v>
      </c>
      <c r="Q149" s="156" t="s">
        <v>547</v>
      </c>
    </row>
    <row r="150" spans="1:17" ht="12.75" customHeight="1">
      <c r="A150" s="48"/>
      <c r="B150" s="48"/>
      <c r="C150" s="544" t="s">
        <v>944</v>
      </c>
      <c r="D150" s="50"/>
      <c r="E150" s="625"/>
      <c r="F150" s="51"/>
      <c r="G150" s="51"/>
      <c r="H150" s="51"/>
      <c r="I150" s="51"/>
      <c r="J150" s="51"/>
      <c r="K150" s="51">
        <f>SUM(7!J244)</f>
        <v>-15000</v>
      </c>
      <c r="L150" s="51">
        <f>SUM(8!J143)</f>
        <v>-36565</v>
      </c>
      <c r="M150" s="51"/>
      <c r="N150" s="51"/>
      <c r="O150" s="51"/>
      <c r="P150" s="36">
        <f>SUM(K150:O150)</f>
        <v>-51565</v>
      </c>
      <c r="Q150" s="156" t="s">
        <v>547</v>
      </c>
    </row>
    <row r="151" spans="1:17" ht="13.5" customHeight="1">
      <c r="A151" s="41"/>
      <c r="B151" s="41"/>
      <c r="C151" s="42" t="s">
        <v>454</v>
      </c>
      <c r="D151" s="43"/>
      <c r="E151" s="634"/>
      <c r="F151" s="44">
        <f aca="true" t="shared" si="20" ref="F151:P151">SUM(F139:F150)</f>
        <v>0</v>
      </c>
      <c r="G151" s="44">
        <f t="shared" si="20"/>
        <v>0</v>
      </c>
      <c r="H151" s="44">
        <f t="shared" si="20"/>
        <v>0</v>
      </c>
      <c r="I151" s="44">
        <f t="shared" si="20"/>
        <v>0</v>
      </c>
      <c r="J151" s="44">
        <f t="shared" si="20"/>
        <v>0</v>
      </c>
      <c r="K151" s="44">
        <f t="shared" si="20"/>
        <v>-15000</v>
      </c>
      <c r="L151" s="44">
        <f t="shared" si="20"/>
        <v>-36565</v>
      </c>
      <c r="M151" s="44">
        <f t="shared" si="20"/>
        <v>0</v>
      </c>
      <c r="N151" s="44">
        <f t="shared" si="20"/>
        <v>0</v>
      </c>
      <c r="O151" s="44">
        <f t="shared" si="20"/>
        <v>-49314</v>
      </c>
      <c r="P151" s="44">
        <f t="shared" si="20"/>
        <v>-100879</v>
      </c>
      <c r="Q151" s="366"/>
    </row>
    <row r="152" spans="1:17" ht="25.5" customHeight="1">
      <c r="A152" s="41"/>
      <c r="B152" s="41"/>
      <c r="C152" s="924" t="s">
        <v>532</v>
      </c>
      <c r="D152" s="832"/>
      <c r="E152" s="635"/>
      <c r="F152" s="44">
        <f aca="true" t="shared" si="21" ref="F152:P152">SUM(F28+F61+F83+F90+F99+F105+F123+F125+F138+F151)</f>
        <v>-596</v>
      </c>
      <c r="G152" s="44">
        <f t="shared" si="21"/>
        <v>-169</v>
      </c>
      <c r="H152" s="44">
        <f t="shared" si="21"/>
        <v>62643</v>
      </c>
      <c r="I152" s="44">
        <f t="shared" si="21"/>
        <v>523634</v>
      </c>
      <c r="J152" s="44">
        <f t="shared" si="21"/>
        <v>55295</v>
      </c>
      <c r="K152" s="44">
        <f t="shared" si="21"/>
        <v>848792</v>
      </c>
      <c r="L152" s="44">
        <f t="shared" si="21"/>
        <v>28034</v>
      </c>
      <c r="M152" s="44">
        <f t="shared" si="21"/>
        <v>24183</v>
      </c>
      <c r="N152" s="44">
        <f t="shared" si="21"/>
        <v>165481</v>
      </c>
      <c r="O152" s="44">
        <f t="shared" si="21"/>
        <v>-49314</v>
      </c>
      <c r="P152" s="44">
        <f t="shared" si="21"/>
        <v>1657983</v>
      </c>
      <c r="Q152" s="44"/>
    </row>
    <row r="153" spans="1:17" ht="12.75" customHeight="1">
      <c r="A153" s="37">
        <v>2</v>
      </c>
      <c r="B153" s="37"/>
      <c r="C153" s="133" t="s">
        <v>528</v>
      </c>
      <c r="D153" s="38"/>
      <c r="E153" s="613"/>
      <c r="F153" s="39">
        <f>'táj.2.'!D32</f>
        <v>-295290</v>
      </c>
      <c r="G153" s="39">
        <f>'táj.2.'!E32</f>
        <v>-110896</v>
      </c>
      <c r="H153" s="39">
        <f>'táj.2.'!F32</f>
        <v>-97870</v>
      </c>
      <c r="I153" s="39">
        <f>'táj.2.'!G32</f>
        <v>569</v>
      </c>
      <c r="J153" s="39">
        <f>'táj.2.'!H32</f>
        <v>158</v>
      </c>
      <c r="K153" s="39">
        <f>'táj.2.'!I32</f>
        <v>-2298</v>
      </c>
      <c r="L153" s="39">
        <f>'táj.2.'!J32</f>
        <v>41861</v>
      </c>
      <c r="M153" s="39">
        <f>'táj.2.'!K32</f>
        <v>443</v>
      </c>
      <c r="N153" s="39"/>
      <c r="O153" s="39"/>
      <c r="P153" s="36">
        <f>SUM(F153:O153)</f>
        <v>-463323</v>
      </c>
      <c r="Q153" s="45"/>
    </row>
    <row r="154" spans="1:17" ht="12.75" customHeight="1">
      <c r="A154" s="41"/>
      <c r="B154" s="41"/>
      <c r="C154" s="84" t="s">
        <v>455</v>
      </c>
      <c r="D154" s="43"/>
      <c r="E154" s="634"/>
      <c r="F154" s="44">
        <f>SUM(F152:F153)</f>
        <v>-295886</v>
      </c>
      <c r="G154" s="44">
        <f aca="true" t="shared" si="22" ref="G154:P154">SUM(G152:G153)</f>
        <v>-111065</v>
      </c>
      <c r="H154" s="44">
        <f t="shared" si="22"/>
        <v>-35227</v>
      </c>
      <c r="I154" s="44">
        <f t="shared" si="22"/>
        <v>524203</v>
      </c>
      <c r="J154" s="44">
        <f t="shared" si="22"/>
        <v>55453</v>
      </c>
      <c r="K154" s="44">
        <f t="shared" si="22"/>
        <v>846494</v>
      </c>
      <c r="L154" s="44">
        <f t="shared" si="22"/>
        <v>69895</v>
      </c>
      <c r="M154" s="44">
        <f t="shared" si="22"/>
        <v>24626</v>
      </c>
      <c r="N154" s="44">
        <f t="shared" si="22"/>
        <v>165481</v>
      </c>
      <c r="O154" s="44">
        <f t="shared" si="22"/>
        <v>-49314</v>
      </c>
      <c r="P154" s="44">
        <f t="shared" si="22"/>
        <v>1194660</v>
      </c>
      <c r="Q154" s="44"/>
    </row>
    <row r="155" spans="3:5" ht="12.75">
      <c r="C155" s="925"/>
      <c r="D155" s="926"/>
      <c r="E155" s="609"/>
    </row>
    <row r="156" ht="12">
      <c r="P156" s="782"/>
    </row>
  </sheetData>
  <sheetProtection/>
  <mergeCells count="69">
    <mergeCell ref="C20:D20"/>
    <mergeCell ref="C33:D33"/>
    <mergeCell ref="C85:D85"/>
    <mergeCell ref="C49:D49"/>
    <mergeCell ref="C55:D55"/>
    <mergeCell ref="C92:D92"/>
    <mergeCell ref="C56:D56"/>
    <mergeCell ref="C75:D75"/>
    <mergeCell ref="C43:D43"/>
    <mergeCell ref="C37:D37"/>
    <mergeCell ref="C41:D41"/>
    <mergeCell ref="C40:D40"/>
    <mergeCell ref="C42:D42"/>
    <mergeCell ref="C34:D34"/>
    <mergeCell ref="C35:D35"/>
    <mergeCell ref="C36:D36"/>
    <mergeCell ref="C18:D18"/>
    <mergeCell ref="C14:D14"/>
    <mergeCell ref="C11:D11"/>
    <mergeCell ref="C12:D12"/>
    <mergeCell ref="C13:D13"/>
    <mergeCell ref="C39:D39"/>
    <mergeCell ref="C31:D31"/>
    <mergeCell ref="C38:D38"/>
    <mergeCell ref="C22:D22"/>
    <mergeCell ref="C24:D24"/>
    <mergeCell ref="C6:D6"/>
    <mergeCell ref="C8:D8"/>
    <mergeCell ref="C10:D10"/>
    <mergeCell ref="Q1:Q2"/>
    <mergeCell ref="E1:E2"/>
    <mergeCell ref="C17:D17"/>
    <mergeCell ref="C152:D152"/>
    <mergeCell ref="C155:D155"/>
    <mergeCell ref="F1:J1"/>
    <mergeCell ref="K1:M1"/>
    <mergeCell ref="C126:D126"/>
    <mergeCell ref="C114:D114"/>
    <mergeCell ref="C113:D113"/>
    <mergeCell ref="C115:D115"/>
    <mergeCell ref="C52:D52"/>
    <mergeCell ref="C118:D118"/>
    <mergeCell ref="C102:D102"/>
    <mergeCell ref="C77:D77"/>
    <mergeCell ref="C66:D66"/>
    <mergeCell ref="C68:D68"/>
    <mergeCell ref="C69:D69"/>
    <mergeCell ref="C71:D71"/>
    <mergeCell ref="C72:D72"/>
    <mergeCell ref="C76:D76"/>
    <mergeCell ref="C94:D94"/>
    <mergeCell ref="C101:D101"/>
    <mergeCell ref="C148:D148"/>
    <mergeCell ref="C111:D111"/>
    <mergeCell ref="C109:D109"/>
    <mergeCell ref="C133:D133"/>
    <mergeCell ref="C132:D132"/>
    <mergeCell ref="C116:D116"/>
    <mergeCell ref="C112:D112"/>
    <mergeCell ref="C47:D47"/>
    <mergeCell ref="C48:D48"/>
    <mergeCell ref="C149:D149"/>
    <mergeCell ref="C135:D135"/>
    <mergeCell ref="C147:D147"/>
    <mergeCell ref="C127:D127"/>
    <mergeCell ref="C130:D130"/>
    <mergeCell ref="C107:D107"/>
    <mergeCell ref="C108:D108"/>
    <mergeCell ref="C142:D142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2013. ÉVI KIADÁSI ELŐIRÁNYZATAINAK MÓDOSÍTÁSA 
&amp;R&amp;"Times New Roman CE,Félkövér dőlt"12. sz.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ySplit="2" topLeftCell="A3" activePane="bottomLeft" state="frozen"/>
      <selection pane="topLeft" activeCell="C1" sqref="C1"/>
      <selection pane="bottomLeft" activeCell="H17" sqref="H17:I17"/>
    </sheetView>
  </sheetViews>
  <sheetFormatPr defaultColWidth="9.875" defaultRowHeight="19.5" customHeight="1"/>
  <cols>
    <col min="1" max="1" width="43.375" style="800" customWidth="1"/>
    <col min="2" max="2" width="13.125" style="800" customWidth="1"/>
    <col min="3" max="3" width="8.00390625" style="800" customWidth="1"/>
    <col min="4" max="4" width="10.50390625" style="800" customWidth="1"/>
    <col min="5" max="5" width="12.125" style="800" customWidth="1"/>
    <col min="6" max="6" width="12.00390625" style="800" customWidth="1"/>
    <col min="7" max="7" width="11.125" style="800" customWidth="1"/>
    <col min="8" max="9" width="11.00390625" style="800" customWidth="1"/>
    <col min="10" max="10" width="11.50390625" style="800" customWidth="1"/>
    <col min="11" max="11" width="12.375" style="800" customWidth="1"/>
    <col min="12" max="12" width="11.50390625" style="800" customWidth="1"/>
    <col min="13" max="13" width="11.375" style="800" customWidth="1"/>
    <col min="14" max="14" width="11.125" style="800" customWidth="1"/>
    <col min="15" max="15" width="11.375" style="800" customWidth="1"/>
    <col min="16" max="16384" width="9.875" style="800" customWidth="1"/>
  </cols>
  <sheetData>
    <row r="1" spans="1:15" s="788" customFormat="1" ht="13.5" customHeight="1">
      <c r="A1" s="786" t="s">
        <v>890</v>
      </c>
      <c r="B1" s="963" t="s">
        <v>715</v>
      </c>
      <c r="C1" s="963" t="s">
        <v>716</v>
      </c>
      <c r="D1" s="963" t="s">
        <v>717</v>
      </c>
      <c r="E1" s="968" t="s">
        <v>718</v>
      </c>
      <c r="F1" s="968"/>
      <c r="G1" s="968"/>
      <c r="H1" s="965" t="s">
        <v>719</v>
      </c>
      <c r="I1" s="965"/>
      <c r="J1" s="965"/>
      <c r="K1" s="966" t="s">
        <v>720</v>
      </c>
      <c r="L1" s="966"/>
      <c r="M1" s="966" t="s">
        <v>721</v>
      </c>
      <c r="N1" s="966"/>
      <c r="O1" s="967" t="s">
        <v>722</v>
      </c>
    </row>
    <row r="2" spans="1:15" s="788" customFormat="1" ht="45" customHeight="1">
      <c r="A2" s="789"/>
      <c r="B2" s="963"/>
      <c r="C2" s="963"/>
      <c r="D2" s="963"/>
      <c r="E2" s="790" t="s">
        <v>723</v>
      </c>
      <c r="F2" s="791" t="s">
        <v>724</v>
      </c>
      <c r="G2" s="792" t="s">
        <v>725</v>
      </c>
      <c r="H2" s="792" t="s">
        <v>726</v>
      </c>
      <c r="I2" s="793" t="s">
        <v>771</v>
      </c>
      <c r="J2" s="794" t="s">
        <v>727</v>
      </c>
      <c r="K2" s="793" t="s">
        <v>728</v>
      </c>
      <c r="L2" s="794" t="s">
        <v>727</v>
      </c>
      <c r="M2" s="793" t="s">
        <v>770</v>
      </c>
      <c r="N2" s="794" t="s">
        <v>727</v>
      </c>
      <c r="O2" s="967"/>
    </row>
    <row r="3" spans="1:15" ht="24.75" customHeight="1">
      <c r="A3" s="795" t="s">
        <v>729</v>
      </c>
      <c r="B3" s="796" t="s">
        <v>730</v>
      </c>
      <c r="C3" s="797" t="s">
        <v>731</v>
      </c>
      <c r="D3" s="798">
        <v>151508</v>
      </c>
      <c r="E3" s="795">
        <v>15151</v>
      </c>
      <c r="F3" s="795"/>
      <c r="G3" s="795"/>
      <c r="H3" s="795"/>
      <c r="I3" s="795">
        <v>15151</v>
      </c>
      <c r="J3" s="795"/>
      <c r="K3" s="795"/>
      <c r="L3" s="795"/>
      <c r="M3" s="795"/>
      <c r="N3" s="799"/>
      <c r="O3" s="799"/>
    </row>
    <row r="4" spans="1:15" ht="24.75" customHeight="1">
      <c r="A4" s="795" t="s">
        <v>732</v>
      </c>
      <c r="B4" s="797" t="s">
        <v>733</v>
      </c>
      <c r="C4" s="797" t="s">
        <v>734</v>
      </c>
      <c r="D4" s="798">
        <v>1209491</v>
      </c>
      <c r="E4" s="795">
        <v>347241</v>
      </c>
      <c r="F4" s="795"/>
      <c r="G4" s="795"/>
      <c r="H4" s="795">
        <v>271616</v>
      </c>
      <c r="I4" s="795">
        <v>75625</v>
      </c>
      <c r="J4" s="795">
        <v>2629</v>
      </c>
      <c r="K4" s="795"/>
      <c r="L4" s="795"/>
      <c r="M4" s="795"/>
      <c r="N4" s="795"/>
      <c r="O4" s="795"/>
    </row>
    <row r="5" spans="1:15" ht="24.75" customHeight="1">
      <c r="A5" s="795" t="s">
        <v>735</v>
      </c>
      <c r="B5" s="797" t="s">
        <v>736</v>
      </c>
      <c r="C5" s="797" t="s">
        <v>737</v>
      </c>
      <c r="D5" s="798">
        <v>267000</v>
      </c>
      <c r="E5" s="795">
        <v>183556</v>
      </c>
      <c r="F5" s="795"/>
      <c r="G5" s="795"/>
      <c r="H5" s="795">
        <v>110133</v>
      </c>
      <c r="I5" s="795">
        <v>22250</v>
      </c>
      <c r="J5" s="795">
        <v>3804</v>
      </c>
      <c r="K5" s="795">
        <v>22250</v>
      </c>
      <c r="L5" s="795">
        <v>660</v>
      </c>
      <c r="M5" s="795">
        <v>22250</v>
      </c>
      <c r="N5" s="795">
        <v>373</v>
      </c>
      <c r="O5" s="795">
        <f aca="true" t="shared" si="0" ref="O5:O12">E5-H5-I5-K5-M5</f>
        <v>6673</v>
      </c>
    </row>
    <row r="6" spans="1:15" ht="24.75" customHeight="1">
      <c r="A6" s="795" t="s">
        <v>738</v>
      </c>
      <c r="B6" s="797" t="s">
        <v>739</v>
      </c>
      <c r="C6" s="797" t="s">
        <v>737</v>
      </c>
      <c r="D6" s="798">
        <v>45000</v>
      </c>
      <c r="E6" s="795">
        <v>31590</v>
      </c>
      <c r="F6" s="795"/>
      <c r="G6" s="795"/>
      <c r="H6" s="795">
        <v>18954</v>
      </c>
      <c r="I6" s="795">
        <v>2395</v>
      </c>
      <c r="J6" s="795">
        <v>518</v>
      </c>
      <c r="K6" s="795">
        <v>1280</v>
      </c>
      <c r="L6" s="795">
        <v>263</v>
      </c>
      <c r="M6" s="795">
        <v>1280</v>
      </c>
      <c r="N6" s="795">
        <v>230</v>
      </c>
      <c r="O6" s="795">
        <f t="shared" si="0"/>
        <v>7681</v>
      </c>
    </row>
    <row r="7" spans="1:15" ht="24.75" customHeight="1">
      <c r="A7" s="795" t="s">
        <v>740</v>
      </c>
      <c r="B7" s="797" t="s">
        <v>741</v>
      </c>
      <c r="C7" s="797" t="s">
        <v>742</v>
      </c>
      <c r="D7" s="798">
        <v>350000</v>
      </c>
      <c r="E7" s="795">
        <v>272057</v>
      </c>
      <c r="F7" s="795"/>
      <c r="G7" s="795"/>
      <c r="H7" s="795">
        <v>163234</v>
      </c>
      <c r="I7" s="795">
        <v>20290</v>
      </c>
      <c r="J7" s="795">
        <v>4098</v>
      </c>
      <c r="K7" s="795">
        <v>15217</v>
      </c>
      <c r="L7" s="795">
        <v>7702</v>
      </c>
      <c r="M7" s="795">
        <v>15217</v>
      </c>
      <c r="N7" s="795">
        <v>7099</v>
      </c>
      <c r="O7" s="795">
        <f t="shared" si="0"/>
        <v>58099</v>
      </c>
    </row>
    <row r="8" spans="1:15" ht="24.75" customHeight="1">
      <c r="A8" s="795" t="s">
        <v>743</v>
      </c>
      <c r="B8" s="797" t="s">
        <v>733</v>
      </c>
      <c r="C8" s="797" t="s">
        <v>744</v>
      </c>
      <c r="D8" s="798">
        <v>207000</v>
      </c>
      <c r="E8" s="795">
        <v>110743</v>
      </c>
      <c r="F8" s="795"/>
      <c r="G8" s="795"/>
      <c r="H8" s="795">
        <v>100561</v>
      </c>
      <c r="I8" s="795">
        <v>10182</v>
      </c>
      <c r="J8" s="795">
        <v>958</v>
      </c>
      <c r="K8" s="795"/>
      <c r="L8" s="795"/>
      <c r="M8" s="795"/>
      <c r="N8" s="795"/>
      <c r="O8" s="795">
        <f t="shared" si="0"/>
        <v>0</v>
      </c>
    </row>
    <row r="9" spans="1:15" ht="24.75" customHeight="1">
      <c r="A9" s="795" t="s">
        <v>745</v>
      </c>
      <c r="B9" s="797" t="s">
        <v>746</v>
      </c>
      <c r="C9" s="797" t="s">
        <v>744</v>
      </c>
      <c r="D9" s="798">
        <v>135000</v>
      </c>
      <c r="E9" s="795">
        <v>81234</v>
      </c>
      <c r="F9" s="795"/>
      <c r="G9" s="795"/>
      <c r="H9" s="795"/>
      <c r="I9" s="795">
        <v>5701</v>
      </c>
      <c r="J9" s="795">
        <v>3344</v>
      </c>
      <c r="K9" s="795">
        <v>5701</v>
      </c>
      <c r="L9" s="795">
        <v>2190</v>
      </c>
      <c r="M9" s="795">
        <v>5701</v>
      </c>
      <c r="N9" s="795">
        <v>2025</v>
      </c>
      <c r="O9" s="795">
        <f t="shared" si="0"/>
        <v>64131</v>
      </c>
    </row>
    <row r="10" spans="1:15" ht="24.75" customHeight="1">
      <c r="A10" s="801" t="s">
        <v>747</v>
      </c>
      <c r="B10" s="797" t="s">
        <v>733</v>
      </c>
      <c r="C10" s="802" t="s">
        <v>748</v>
      </c>
      <c r="D10" s="798">
        <v>158800</v>
      </c>
      <c r="E10" s="795">
        <v>99393</v>
      </c>
      <c r="F10" s="795"/>
      <c r="G10" s="795"/>
      <c r="H10" s="795"/>
      <c r="I10" s="795">
        <v>9204</v>
      </c>
      <c r="J10" s="795">
        <v>5846</v>
      </c>
      <c r="K10" s="795">
        <v>9204</v>
      </c>
      <c r="L10" s="795">
        <v>4059</v>
      </c>
      <c r="M10" s="795">
        <v>9204</v>
      </c>
      <c r="N10" s="795">
        <v>3644</v>
      </c>
      <c r="O10" s="795">
        <f t="shared" si="0"/>
        <v>71781</v>
      </c>
    </row>
    <row r="11" spans="1:15" ht="24.75" customHeight="1">
      <c r="A11" s="801" t="s">
        <v>749</v>
      </c>
      <c r="B11" s="797" t="s">
        <v>733</v>
      </c>
      <c r="C11" s="802" t="s">
        <v>748</v>
      </c>
      <c r="D11" s="798">
        <v>16500</v>
      </c>
      <c r="E11" s="795">
        <v>13898</v>
      </c>
      <c r="F11" s="795"/>
      <c r="G11" s="795"/>
      <c r="H11" s="795"/>
      <c r="I11" s="795">
        <v>408</v>
      </c>
      <c r="J11" s="795">
        <v>440</v>
      </c>
      <c r="K11" s="795">
        <v>816</v>
      </c>
      <c r="L11" s="795">
        <v>513</v>
      </c>
      <c r="M11" s="795">
        <v>816</v>
      </c>
      <c r="N11" s="795">
        <v>482</v>
      </c>
      <c r="O11" s="795">
        <f t="shared" si="0"/>
        <v>11858</v>
      </c>
    </row>
    <row r="12" spans="1:15" ht="24.75" customHeight="1">
      <c r="A12" s="801" t="s">
        <v>750</v>
      </c>
      <c r="B12" s="797" t="s">
        <v>746</v>
      </c>
      <c r="C12" s="802" t="s">
        <v>751</v>
      </c>
      <c r="D12" s="798">
        <v>180000</v>
      </c>
      <c r="E12" s="795">
        <v>172174</v>
      </c>
      <c r="F12" s="795"/>
      <c r="G12" s="795"/>
      <c r="H12" s="795"/>
      <c r="I12" s="795">
        <v>10435</v>
      </c>
      <c r="J12" s="795">
        <v>9101</v>
      </c>
      <c r="K12" s="795">
        <v>10588</v>
      </c>
      <c r="L12" s="795">
        <v>6009</v>
      </c>
      <c r="M12" s="795">
        <v>10588</v>
      </c>
      <c r="N12" s="795">
        <v>5612</v>
      </c>
      <c r="O12" s="795">
        <f t="shared" si="0"/>
        <v>140563</v>
      </c>
    </row>
    <row r="13" spans="1:15" ht="36" customHeight="1">
      <c r="A13" s="803" t="s">
        <v>752</v>
      </c>
      <c r="B13" s="797" t="s">
        <v>746</v>
      </c>
      <c r="C13" s="802" t="s">
        <v>753</v>
      </c>
      <c r="D13" s="798">
        <v>716018</v>
      </c>
      <c r="E13" s="795">
        <v>618829</v>
      </c>
      <c r="F13" s="795">
        <v>25172</v>
      </c>
      <c r="G13" s="795"/>
      <c r="H13" s="795">
        <v>523343</v>
      </c>
      <c r="I13" s="795"/>
      <c r="J13" s="795">
        <v>13626</v>
      </c>
      <c r="K13" s="795">
        <v>7136</v>
      </c>
      <c r="L13" s="795">
        <v>7774</v>
      </c>
      <c r="M13" s="795">
        <v>9515</v>
      </c>
      <c r="N13" s="795">
        <v>7566</v>
      </c>
      <c r="O13" s="795">
        <f>E13+F13+G13-H13-I13-K13-M13</f>
        <v>104007</v>
      </c>
    </row>
    <row r="14" spans="1:15" ht="36" customHeight="1">
      <c r="A14" s="801" t="s">
        <v>754</v>
      </c>
      <c r="B14" s="797" t="s">
        <v>755</v>
      </c>
      <c r="C14" s="802" t="s">
        <v>756</v>
      </c>
      <c r="D14" s="798">
        <v>451367</v>
      </c>
      <c r="E14" s="795">
        <v>410617</v>
      </c>
      <c r="F14" s="795"/>
      <c r="G14" s="795"/>
      <c r="H14" s="795">
        <v>246370</v>
      </c>
      <c r="I14" s="795"/>
      <c r="J14" s="795">
        <v>12108</v>
      </c>
      <c r="K14" s="795"/>
      <c r="L14" s="795">
        <v>6537</v>
      </c>
      <c r="M14" s="795">
        <v>4458</v>
      </c>
      <c r="N14" s="795">
        <v>6185</v>
      </c>
      <c r="O14" s="795">
        <f>E14+F14+G14-H14-I14-K14-M14</f>
        <v>159789</v>
      </c>
    </row>
    <row r="15" spans="1:15" ht="24.75" customHeight="1">
      <c r="A15" s="801" t="s">
        <v>757</v>
      </c>
      <c r="B15" s="804" t="s">
        <v>733</v>
      </c>
      <c r="C15" s="802">
        <v>2036</v>
      </c>
      <c r="D15" s="798">
        <v>115000</v>
      </c>
      <c r="E15" s="795">
        <v>40366</v>
      </c>
      <c r="F15" s="795">
        <v>74634</v>
      </c>
      <c r="G15" s="795"/>
      <c r="H15" s="795"/>
      <c r="I15" s="795"/>
      <c r="J15" s="795">
        <v>5888</v>
      </c>
      <c r="K15" s="795"/>
      <c r="L15" s="795">
        <v>5175</v>
      </c>
      <c r="M15" s="795"/>
      <c r="N15" s="795">
        <v>5175</v>
      </c>
      <c r="O15" s="795">
        <f>E15+F15+G15-I15-K15-M15</f>
        <v>115000</v>
      </c>
    </row>
    <row r="16" spans="1:15" ht="24" customHeight="1">
      <c r="A16" s="801" t="s">
        <v>758</v>
      </c>
      <c r="B16" s="804" t="s">
        <v>733</v>
      </c>
      <c r="C16" s="802">
        <v>2037</v>
      </c>
      <c r="D16" s="798">
        <v>54376</v>
      </c>
      <c r="E16" s="795">
        <v>9646</v>
      </c>
      <c r="F16" s="795">
        <v>37683</v>
      </c>
      <c r="G16" s="795"/>
      <c r="H16" s="795"/>
      <c r="I16" s="795"/>
      <c r="J16" s="795">
        <v>2990</v>
      </c>
      <c r="K16" s="795"/>
      <c r="L16" s="795">
        <v>2719</v>
      </c>
      <c r="M16" s="795"/>
      <c r="N16" s="795">
        <v>2719</v>
      </c>
      <c r="O16" s="795">
        <f>E16+F16+G16-I16-K16-M16</f>
        <v>47329</v>
      </c>
    </row>
    <row r="17" spans="1:15" ht="18.75" customHeight="1">
      <c r="A17" s="795" t="s">
        <v>759</v>
      </c>
      <c r="B17" s="797" t="s">
        <v>733</v>
      </c>
      <c r="C17" s="797" t="s">
        <v>760</v>
      </c>
      <c r="D17" s="798">
        <v>41180</v>
      </c>
      <c r="E17" s="795">
        <v>23540</v>
      </c>
      <c r="F17" s="795"/>
      <c r="G17" s="795"/>
      <c r="H17" s="795">
        <v>14720</v>
      </c>
      <c r="I17" s="795">
        <v>8820</v>
      </c>
      <c r="J17" s="805">
        <v>958</v>
      </c>
      <c r="K17" s="795"/>
      <c r="L17" s="795"/>
      <c r="M17" s="795"/>
      <c r="N17" s="795"/>
      <c r="O17" s="795">
        <f>E17+F17+G17-H17-I17-K17-M17</f>
        <v>0</v>
      </c>
    </row>
    <row r="18" spans="1:15" ht="24.75" customHeight="1">
      <c r="A18" s="795" t="s">
        <v>761</v>
      </c>
      <c r="B18" s="797"/>
      <c r="C18" s="797"/>
      <c r="D18" s="798"/>
      <c r="E18" s="799"/>
      <c r="F18" s="799"/>
      <c r="G18" s="795">
        <v>725000</v>
      </c>
      <c r="H18" s="795"/>
      <c r="I18" s="795"/>
      <c r="J18" s="795">
        <v>3750</v>
      </c>
      <c r="K18" s="799"/>
      <c r="L18" s="795">
        <v>15000</v>
      </c>
      <c r="M18" s="795"/>
      <c r="N18" s="795">
        <v>15000</v>
      </c>
      <c r="O18" s="795">
        <f>E18+F18+G18-I18-K18-M18</f>
        <v>725000</v>
      </c>
    </row>
    <row r="19" spans="1:15" ht="19.5" customHeight="1">
      <c r="A19" s="806" t="s">
        <v>762</v>
      </c>
      <c r="B19" s="806"/>
      <c r="C19" s="806"/>
      <c r="D19" s="807">
        <f aca="true" t="shared" si="1" ref="D19:O19">SUM(D3:D18)</f>
        <v>4098240</v>
      </c>
      <c r="E19" s="806">
        <f t="shared" si="1"/>
        <v>2430035</v>
      </c>
      <c r="F19" s="806">
        <f t="shared" si="1"/>
        <v>137489</v>
      </c>
      <c r="G19" s="806">
        <f t="shared" si="1"/>
        <v>725000</v>
      </c>
      <c r="H19" s="806">
        <f t="shared" si="1"/>
        <v>1448931</v>
      </c>
      <c r="I19" s="806">
        <f t="shared" si="1"/>
        <v>180461</v>
      </c>
      <c r="J19" s="806">
        <f t="shared" si="1"/>
        <v>70058</v>
      </c>
      <c r="K19" s="806">
        <f t="shared" si="1"/>
        <v>72192</v>
      </c>
      <c r="L19" s="806">
        <f t="shared" si="1"/>
        <v>58601</v>
      </c>
      <c r="M19" s="806">
        <f t="shared" si="1"/>
        <v>79029</v>
      </c>
      <c r="N19" s="806">
        <f t="shared" si="1"/>
        <v>56110</v>
      </c>
      <c r="O19" s="806">
        <f t="shared" si="1"/>
        <v>1511911</v>
      </c>
    </row>
    <row r="20" spans="1:11" ht="10.5" customHeight="1">
      <c r="A20" s="808"/>
      <c r="B20" s="808"/>
      <c r="C20" s="808"/>
      <c r="D20" s="808"/>
      <c r="E20" s="808"/>
      <c r="F20" s="808"/>
      <c r="G20" s="808"/>
      <c r="H20" s="808"/>
      <c r="I20" s="808"/>
      <c r="J20" s="808"/>
      <c r="K20" s="808"/>
    </row>
    <row r="21" spans="1:15" ht="23.25" customHeight="1">
      <c r="A21" s="792" t="s">
        <v>890</v>
      </c>
      <c r="B21" s="792"/>
      <c r="C21" s="792"/>
      <c r="D21" s="792"/>
      <c r="E21" s="964" t="s">
        <v>763</v>
      </c>
      <c r="F21" s="963"/>
      <c r="G21" s="963"/>
      <c r="H21" s="787"/>
      <c r="I21" s="963" t="s">
        <v>764</v>
      </c>
      <c r="J21" s="963"/>
      <c r="K21" s="963" t="s">
        <v>765</v>
      </c>
      <c r="L21" s="963"/>
      <c r="M21" s="963" t="s">
        <v>766</v>
      </c>
      <c r="N21" s="963"/>
      <c r="O21" s="963" t="s">
        <v>767</v>
      </c>
    </row>
    <row r="22" spans="1:15" ht="15.75" customHeight="1">
      <c r="A22" s="809"/>
      <c r="B22" s="809"/>
      <c r="C22" s="809"/>
      <c r="D22" s="809"/>
      <c r="E22" s="964"/>
      <c r="F22" s="963"/>
      <c r="G22" s="963"/>
      <c r="H22" s="787"/>
      <c r="I22" s="787" t="s">
        <v>768</v>
      </c>
      <c r="J22" s="787" t="s">
        <v>769</v>
      </c>
      <c r="K22" s="787" t="s">
        <v>768</v>
      </c>
      <c r="L22" s="787" t="s">
        <v>769</v>
      </c>
      <c r="M22" s="787" t="s">
        <v>768</v>
      </c>
      <c r="N22" s="787" t="s">
        <v>769</v>
      </c>
      <c r="O22" s="963"/>
    </row>
    <row r="23" spans="1:15" ht="13.5" customHeight="1">
      <c r="A23" s="795" t="s">
        <v>501</v>
      </c>
      <c r="B23" s="795"/>
      <c r="C23" s="795"/>
      <c r="D23" s="795"/>
      <c r="E23" s="805">
        <v>368948</v>
      </c>
      <c r="F23" s="795"/>
      <c r="G23" s="795"/>
      <c r="H23" s="795"/>
      <c r="I23" s="795">
        <v>80348</v>
      </c>
      <c r="J23" s="795">
        <v>12130</v>
      </c>
      <c r="K23" s="795">
        <v>86084</v>
      </c>
      <c r="L23" s="795">
        <v>9181</v>
      </c>
      <c r="M23" s="795">
        <v>92230</v>
      </c>
      <c r="N23" s="795">
        <v>6020</v>
      </c>
      <c r="O23" s="795">
        <v>110286</v>
      </c>
    </row>
  </sheetData>
  <sheetProtection selectLockedCells="1" selectUnlockedCells="1"/>
  <mergeCells count="15">
    <mergeCell ref="H1:J1"/>
    <mergeCell ref="K1:L1"/>
    <mergeCell ref="M1:N1"/>
    <mergeCell ref="O1:O2"/>
    <mergeCell ref="B1:B2"/>
    <mergeCell ref="C1:C2"/>
    <mergeCell ref="D1:D2"/>
    <mergeCell ref="E1:G1"/>
    <mergeCell ref="K21:L21"/>
    <mergeCell ref="M21:N21"/>
    <mergeCell ref="O21:O22"/>
    <mergeCell ref="E21:E22"/>
    <mergeCell ref="F21:F22"/>
    <mergeCell ref="G21:G22"/>
    <mergeCell ref="I21:J21"/>
  </mergeCells>
  <printOptions horizontalCentered="1"/>
  <pageMargins left="0.15763888888888888" right="0.15763888888888888" top="1.2208333333333332" bottom="0.5902777777777778" header="0.6694444444444444" footer="0.5118055555555555"/>
  <pageSetup horizontalDpi="300" verticalDpi="300" orientation="landscape" paperSize="9" scale="80" r:id="rId1"/>
  <headerFooter alignWithMargins="0">
    <oddHeader>&amp;C&amp;"Arial CE,Félkövér dőlt"A
HITELÁLLOMÁNY ÉS ADÓSSÁGSZOLGÁLAT ALAKULÁSA
2013-2015.&amp;R&amp;"Times New Roman CE,Félkövér dőlt"13. számú melléklet
Adatok: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06"/>
  <sheetViews>
    <sheetView zoomScalePageLayoutView="0" workbookViewId="0" topLeftCell="A19">
      <selection activeCell="O19" sqref="O19"/>
    </sheetView>
  </sheetViews>
  <sheetFormatPr defaultColWidth="10.625" defaultRowHeight="12.75"/>
  <cols>
    <col min="1" max="1" width="5.375" style="699" customWidth="1"/>
    <col min="2" max="2" width="5.875" style="699" customWidth="1"/>
    <col min="3" max="3" width="42.375" style="699" customWidth="1"/>
    <col min="4" max="4" width="9.125" style="699" customWidth="1"/>
    <col min="5" max="5" width="9.00390625" style="699" customWidth="1"/>
    <col min="6" max="6" width="6.875" style="699" customWidth="1"/>
    <col min="7" max="7" width="8.625" style="699" customWidth="1"/>
    <col min="8" max="8" width="11.50390625" style="699" customWidth="1"/>
    <col min="9" max="9" width="10.50390625" style="699" customWidth="1"/>
    <col min="10" max="10" width="7.50390625" style="699" customWidth="1"/>
    <col min="11" max="11" width="7.625" style="699" customWidth="1"/>
    <col min="12" max="12" width="10.625" style="699" customWidth="1"/>
    <col min="13" max="13" width="8.00390625" style="747" customWidth="1"/>
    <col min="14" max="14" width="0" style="699" hidden="1" customWidth="1"/>
    <col min="15" max="15" width="32.50390625" style="699" customWidth="1"/>
    <col min="16" max="16384" width="10.625" style="699" customWidth="1"/>
  </cols>
  <sheetData>
    <row r="1" spans="1:17" ht="57" customHeight="1">
      <c r="A1" s="693" t="s">
        <v>979</v>
      </c>
      <c r="B1" s="691" t="s">
        <v>980</v>
      </c>
      <c r="C1" s="691" t="s">
        <v>533</v>
      </c>
      <c r="D1" s="694" t="s">
        <v>981</v>
      </c>
      <c r="E1" s="691" t="s">
        <v>982</v>
      </c>
      <c r="F1" s="691" t="s">
        <v>983</v>
      </c>
      <c r="G1" s="691" t="s">
        <v>984</v>
      </c>
      <c r="H1" s="694" t="s">
        <v>985</v>
      </c>
      <c r="I1" s="695" t="s">
        <v>986</v>
      </c>
      <c r="J1" s="695" t="s">
        <v>987</v>
      </c>
      <c r="K1" s="695" t="s">
        <v>988</v>
      </c>
      <c r="L1" s="694" t="s">
        <v>989</v>
      </c>
      <c r="M1" s="695" t="s">
        <v>990</v>
      </c>
      <c r="N1" s="696"/>
      <c r="O1" s="697"/>
      <c r="P1" s="698"/>
      <c r="Q1" s="698"/>
    </row>
    <row r="2" spans="1:17" ht="12.75">
      <c r="A2" s="700">
        <v>2</v>
      </c>
      <c r="B2" s="700">
        <v>1</v>
      </c>
      <c r="C2" s="701" t="s">
        <v>902</v>
      </c>
      <c r="D2" s="702">
        <v>171</v>
      </c>
      <c r="E2" s="702">
        <v>144</v>
      </c>
      <c r="F2" s="20"/>
      <c r="G2" s="20"/>
      <c r="H2" s="703"/>
      <c r="I2" s="21"/>
      <c r="J2" s="21">
        <v>18</v>
      </c>
      <c r="K2" s="21">
        <v>9</v>
      </c>
      <c r="L2" s="702">
        <f>SUM(E2:K2)</f>
        <v>171</v>
      </c>
      <c r="M2" s="706">
        <f>L2-D2</f>
        <v>0</v>
      </c>
      <c r="N2" s="704"/>
      <c r="O2" s="705"/>
      <c r="P2" s="705"/>
      <c r="Q2" s="705"/>
    </row>
    <row r="3" spans="1:17" ht="12.75">
      <c r="A3" s="700">
        <v>2</v>
      </c>
      <c r="B3" s="700">
        <v>2</v>
      </c>
      <c r="C3" s="701" t="s">
        <v>168</v>
      </c>
      <c r="D3" s="702">
        <v>152</v>
      </c>
      <c r="E3" s="702"/>
      <c r="F3" s="20"/>
      <c r="G3" s="20"/>
      <c r="H3" s="703"/>
      <c r="I3" s="706"/>
      <c r="J3" s="21"/>
      <c r="K3" s="706"/>
      <c r="L3" s="702">
        <f>SUM(E3:K3)</f>
        <v>0</v>
      </c>
      <c r="M3" s="706">
        <f>L3-D3</f>
        <v>-152</v>
      </c>
      <c r="N3" s="704"/>
      <c r="O3" s="708"/>
      <c r="P3" s="705"/>
      <c r="Q3" s="705"/>
    </row>
    <row r="4" spans="1:17" ht="12.75">
      <c r="A4" s="700">
        <v>2</v>
      </c>
      <c r="B4" s="700">
        <v>3</v>
      </c>
      <c r="C4" s="701" t="s">
        <v>87</v>
      </c>
      <c r="D4" s="702">
        <f>SUM(D5:D12)</f>
        <v>660.5</v>
      </c>
      <c r="E4" s="702">
        <f aca="true" t="shared" si="0" ref="E4:K4">SUM(E5:E12)</f>
        <v>0</v>
      </c>
      <c r="F4" s="702">
        <f t="shared" si="0"/>
        <v>4.5</v>
      </c>
      <c r="G4" s="702">
        <f t="shared" si="0"/>
        <v>153.5</v>
      </c>
      <c r="H4" s="702">
        <f t="shared" si="0"/>
        <v>0</v>
      </c>
      <c r="I4" s="702">
        <f t="shared" si="0"/>
        <v>211.5</v>
      </c>
      <c r="J4" s="702">
        <f t="shared" si="0"/>
        <v>51</v>
      </c>
      <c r="K4" s="702">
        <f t="shared" si="0"/>
        <v>204.5</v>
      </c>
      <c r="L4" s="706">
        <f>SUM(L5:L12)</f>
        <v>625</v>
      </c>
      <c r="M4" s="706">
        <f>SUM(M5:M12)</f>
        <v>-35.5</v>
      </c>
      <c r="N4" s="706">
        <f>SUM(N5:N12)</f>
        <v>0</v>
      </c>
      <c r="O4" s="705"/>
      <c r="P4" s="705"/>
      <c r="Q4" s="705"/>
    </row>
    <row r="5" spans="1:21" ht="12.75">
      <c r="A5" s="700"/>
      <c r="B5" s="709" t="s">
        <v>853</v>
      </c>
      <c r="C5" s="285" t="s">
        <v>991</v>
      </c>
      <c r="D5" s="702">
        <v>118.5</v>
      </c>
      <c r="E5" s="710"/>
      <c r="F5" s="711">
        <v>0.5</v>
      </c>
      <c r="G5" s="712"/>
      <c r="H5" s="710"/>
      <c r="I5" s="712">
        <v>76</v>
      </c>
      <c r="J5" s="710">
        <v>4</v>
      </c>
      <c r="K5" s="710">
        <v>41</v>
      </c>
      <c r="L5" s="702">
        <f aca="true" t="shared" si="1" ref="L5:L32">SUM(E5:K5)</f>
        <v>121.5</v>
      </c>
      <c r="M5" s="706">
        <f aca="true" t="shared" si="2" ref="M5:M32">L5-D5</f>
        <v>3</v>
      </c>
      <c r="N5" s="704"/>
      <c r="O5" s="713"/>
      <c r="P5" s="713"/>
      <c r="Q5" s="713"/>
      <c r="R5" s="714"/>
      <c r="S5" s="714"/>
      <c r="T5" s="714"/>
      <c r="U5" s="714"/>
    </row>
    <row r="6" spans="1:17" ht="12.75">
      <c r="A6" s="700"/>
      <c r="B6" s="709" t="s">
        <v>854</v>
      </c>
      <c r="C6" s="285" t="s">
        <v>992</v>
      </c>
      <c r="D6" s="702">
        <v>34</v>
      </c>
      <c r="E6" s="710"/>
      <c r="F6" s="711"/>
      <c r="G6" s="711"/>
      <c r="H6" s="710"/>
      <c r="I6" s="712"/>
      <c r="J6" s="710"/>
      <c r="K6" s="710"/>
      <c r="L6" s="702">
        <f t="shared" si="1"/>
        <v>0</v>
      </c>
      <c r="M6" s="706">
        <f t="shared" si="2"/>
        <v>-34</v>
      </c>
      <c r="N6" s="704"/>
      <c r="O6" s="708"/>
      <c r="P6" s="705"/>
      <c r="Q6" s="705"/>
    </row>
    <row r="7" spans="1:17" ht="12.75">
      <c r="A7" s="700"/>
      <c r="B7" s="709" t="s">
        <v>876</v>
      </c>
      <c r="C7" s="285" t="s">
        <v>993</v>
      </c>
      <c r="D7" s="702">
        <v>56.5</v>
      </c>
      <c r="E7" s="710"/>
      <c r="F7" s="711">
        <v>4</v>
      </c>
      <c r="G7" s="711"/>
      <c r="H7" s="710"/>
      <c r="I7" s="712">
        <v>45.5</v>
      </c>
      <c r="J7" s="710"/>
      <c r="K7" s="710">
        <v>7</v>
      </c>
      <c r="L7" s="702">
        <f t="shared" si="1"/>
        <v>56.5</v>
      </c>
      <c r="M7" s="706">
        <f t="shared" si="2"/>
        <v>0</v>
      </c>
      <c r="N7" s="704"/>
      <c r="O7" s="705"/>
      <c r="P7" s="705"/>
      <c r="Q7" s="705"/>
    </row>
    <row r="8" spans="1:17" ht="12.75">
      <c r="A8" s="700"/>
      <c r="B8" s="709" t="s">
        <v>523</v>
      </c>
      <c r="C8" s="285" t="s">
        <v>994</v>
      </c>
      <c r="D8" s="702">
        <v>176</v>
      </c>
      <c r="E8" s="710"/>
      <c r="F8" s="711"/>
      <c r="G8" s="711"/>
      <c r="H8" s="710"/>
      <c r="I8" s="712"/>
      <c r="J8" s="710">
        <v>46.5</v>
      </c>
      <c r="K8" s="710">
        <v>124.5</v>
      </c>
      <c r="L8" s="702">
        <f t="shared" si="1"/>
        <v>171</v>
      </c>
      <c r="M8" s="706">
        <f t="shared" si="2"/>
        <v>-5</v>
      </c>
      <c r="N8" s="704"/>
      <c r="O8" s="715"/>
      <c r="P8" s="705"/>
      <c r="Q8" s="705"/>
    </row>
    <row r="9" spans="1:21" ht="12.75">
      <c r="A9" s="700"/>
      <c r="B9" s="709" t="s">
        <v>31</v>
      </c>
      <c r="C9" s="285" t="s">
        <v>995</v>
      </c>
      <c r="D9" s="702">
        <v>72</v>
      </c>
      <c r="E9" s="710"/>
      <c r="F9" s="711"/>
      <c r="G9" s="711">
        <v>40.5</v>
      </c>
      <c r="H9" s="710"/>
      <c r="I9" s="712">
        <v>24</v>
      </c>
      <c r="J9" s="710"/>
      <c r="K9" s="710">
        <v>8</v>
      </c>
      <c r="L9" s="702">
        <f t="shared" si="1"/>
        <v>72.5</v>
      </c>
      <c r="M9" s="706">
        <f t="shared" si="2"/>
        <v>0.5</v>
      </c>
      <c r="N9" s="704"/>
      <c r="O9" s="708"/>
      <c r="P9" s="708"/>
      <c r="Q9" s="705"/>
      <c r="T9" s="708"/>
      <c r="U9" s="705"/>
    </row>
    <row r="10" spans="1:17" ht="12.75">
      <c r="A10" s="700"/>
      <c r="B10" s="709" t="s">
        <v>32</v>
      </c>
      <c r="C10" s="285" t="s">
        <v>996</v>
      </c>
      <c r="D10" s="702">
        <v>67</v>
      </c>
      <c r="E10" s="710"/>
      <c r="F10" s="711"/>
      <c r="G10" s="711">
        <v>37</v>
      </c>
      <c r="H10" s="710"/>
      <c r="I10" s="712">
        <v>22</v>
      </c>
      <c r="J10" s="710"/>
      <c r="K10" s="710">
        <v>8</v>
      </c>
      <c r="L10" s="702">
        <f t="shared" si="1"/>
        <v>67</v>
      </c>
      <c r="M10" s="706">
        <f t="shared" si="2"/>
        <v>0</v>
      </c>
      <c r="N10" s="704"/>
      <c r="O10" s="708"/>
      <c r="P10" s="708"/>
      <c r="Q10" s="705"/>
    </row>
    <row r="11" spans="1:17" ht="12.75">
      <c r="A11" s="700"/>
      <c r="B11" s="709" t="s">
        <v>33</v>
      </c>
      <c r="C11" s="285" t="s">
        <v>997</v>
      </c>
      <c r="D11" s="702">
        <v>69</v>
      </c>
      <c r="E11" s="710"/>
      <c r="F11" s="711"/>
      <c r="G11" s="711">
        <v>39</v>
      </c>
      <c r="H11" s="710"/>
      <c r="I11" s="712">
        <v>23</v>
      </c>
      <c r="J11" s="710"/>
      <c r="K11" s="710">
        <v>7</v>
      </c>
      <c r="L11" s="702">
        <f t="shared" si="1"/>
        <v>69</v>
      </c>
      <c r="M11" s="706">
        <f t="shared" si="2"/>
        <v>0</v>
      </c>
      <c r="N11" s="704"/>
      <c r="O11" s="708"/>
      <c r="P11" s="705"/>
      <c r="Q11" s="705"/>
    </row>
    <row r="12" spans="1:17" ht="12.75">
      <c r="A12" s="700"/>
      <c r="B12" s="709" t="s">
        <v>34</v>
      </c>
      <c r="C12" s="285" t="s">
        <v>998</v>
      </c>
      <c r="D12" s="702">
        <v>67.5</v>
      </c>
      <c r="E12" s="710"/>
      <c r="F12" s="711"/>
      <c r="G12" s="711">
        <v>37</v>
      </c>
      <c r="H12" s="710"/>
      <c r="I12" s="712">
        <v>21</v>
      </c>
      <c r="J12" s="710">
        <v>0.5</v>
      </c>
      <c r="K12" s="710">
        <v>9</v>
      </c>
      <c r="L12" s="702">
        <f t="shared" si="1"/>
        <v>67.5</v>
      </c>
      <c r="M12" s="706">
        <f t="shared" si="2"/>
        <v>0</v>
      </c>
      <c r="N12" s="704"/>
      <c r="O12" s="708"/>
      <c r="P12" s="705"/>
      <c r="Q12" s="716"/>
    </row>
    <row r="13" spans="1:17" ht="12.75">
      <c r="A13" s="700">
        <v>2</v>
      </c>
      <c r="B13" s="700">
        <v>4</v>
      </c>
      <c r="C13" s="252" t="s">
        <v>488</v>
      </c>
      <c r="D13" s="702">
        <v>0</v>
      </c>
      <c r="E13" s="702"/>
      <c r="F13" s="20"/>
      <c r="G13" s="20"/>
      <c r="H13" s="702"/>
      <c r="I13" s="706"/>
      <c r="J13" s="702"/>
      <c r="K13" s="702"/>
      <c r="L13" s="702">
        <f t="shared" si="1"/>
        <v>0</v>
      </c>
      <c r="M13" s="706">
        <f t="shared" si="2"/>
        <v>0</v>
      </c>
      <c r="N13" s="704"/>
      <c r="O13" s="717"/>
      <c r="P13" s="705"/>
      <c r="Q13" s="705"/>
    </row>
    <row r="14" spans="1:17" ht="12.75">
      <c r="A14" s="700"/>
      <c r="B14" s="709" t="s">
        <v>856</v>
      </c>
      <c r="C14" s="285" t="s">
        <v>999</v>
      </c>
      <c r="D14" s="702">
        <v>0</v>
      </c>
      <c r="E14" s="710"/>
      <c r="F14" s="711"/>
      <c r="G14" s="711"/>
      <c r="H14" s="710"/>
      <c r="I14" s="712"/>
      <c r="J14" s="710"/>
      <c r="K14" s="710"/>
      <c r="L14" s="702">
        <f t="shared" si="1"/>
        <v>0</v>
      </c>
      <c r="M14" s="706">
        <f t="shared" si="2"/>
        <v>0</v>
      </c>
      <c r="N14" s="704"/>
      <c r="O14" s="705"/>
      <c r="P14" s="705"/>
      <c r="Q14" s="705"/>
    </row>
    <row r="15" spans="1:17" ht="12.75">
      <c r="A15" s="700"/>
      <c r="B15" s="709" t="s">
        <v>857</v>
      </c>
      <c r="C15" s="285" t="s">
        <v>1000</v>
      </c>
      <c r="D15" s="702">
        <v>0</v>
      </c>
      <c r="E15" s="710"/>
      <c r="F15" s="711"/>
      <c r="G15" s="711"/>
      <c r="H15" s="710"/>
      <c r="I15" s="712"/>
      <c r="J15" s="710"/>
      <c r="K15" s="710"/>
      <c r="L15" s="702">
        <f t="shared" si="1"/>
        <v>0</v>
      </c>
      <c r="M15" s="706">
        <f t="shared" si="2"/>
        <v>0</v>
      </c>
      <c r="N15" s="704"/>
      <c r="O15" s="705"/>
      <c r="P15" s="705"/>
      <c r="Q15" s="705"/>
    </row>
    <row r="16" spans="1:17" ht="12.75">
      <c r="A16" s="700"/>
      <c r="B16" s="709" t="s">
        <v>858</v>
      </c>
      <c r="C16" s="285" t="s">
        <v>1001</v>
      </c>
      <c r="D16" s="702">
        <v>0</v>
      </c>
      <c r="E16" s="710"/>
      <c r="F16" s="711"/>
      <c r="G16" s="711"/>
      <c r="H16" s="710"/>
      <c r="I16" s="712"/>
      <c r="J16" s="710"/>
      <c r="K16" s="710"/>
      <c r="L16" s="702">
        <f t="shared" si="1"/>
        <v>0</v>
      </c>
      <c r="M16" s="706">
        <f t="shared" si="2"/>
        <v>0</v>
      </c>
      <c r="N16" s="704"/>
      <c r="O16" s="705"/>
      <c r="P16" s="705"/>
      <c r="Q16" s="705"/>
    </row>
    <row r="17" spans="1:17" ht="12.75">
      <c r="A17" s="700"/>
      <c r="B17" s="709" t="s">
        <v>859</v>
      </c>
      <c r="C17" s="285" t="s">
        <v>1002</v>
      </c>
      <c r="D17" s="702">
        <v>0</v>
      </c>
      <c r="E17" s="710"/>
      <c r="F17" s="711"/>
      <c r="G17" s="711"/>
      <c r="H17" s="710"/>
      <c r="I17" s="712"/>
      <c r="J17" s="710"/>
      <c r="K17" s="710"/>
      <c r="L17" s="702">
        <f t="shared" si="1"/>
        <v>0</v>
      </c>
      <c r="M17" s="706">
        <f t="shared" si="2"/>
        <v>0</v>
      </c>
      <c r="N17" s="704"/>
      <c r="O17" s="705"/>
      <c r="P17" s="705"/>
      <c r="Q17" s="716"/>
    </row>
    <row r="18" spans="1:17" ht="12.75">
      <c r="A18" s="700"/>
      <c r="B18" s="709" t="s">
        <v>860</v>
      </c>
      <c r="C18" s="285" t="s">
        <v>1003</v>
      </c>
      <c r="D18" s="702">
        <v>0</v>
      </c>
      <c r="E18" s="718"/>
      <c r="F18" s="719"/>
      <c r="G18" s="719"/>
      <c r="H18" s="718"/>
      <c r="I18" s="720"/>
      <c r="J18" s="718"/>
      <c r="K18" s="718"/>
      <c r="L18" s="702">
        <f t="shared" si="1"/>
        <v>0</v>
      </c>
      <c r="M18" s="706">
        <f t="shared" si="2"/>
        <v>0</v>
      </c>
      <c r="N18" s="721"/>
      <c r="O18" s="698"/>
      <c r="P18" s="698"/>
      <c r="Q18" s="698"/>
    </row>
    <row r="19" spans="1:17" ht="12.75">
      <c r="A19" s="722">
        <v>2</v>
      </c>
      <c r="B19" s="722">
        <v>5</v>
      </c>
      <c r="C19" s="252" t="s">
        <v>564</v>
      </c>
      <c r="D19" s="702">
        <v>0</v>
      </c>
      <c r="E19" s="723"/>
      <c r="F19" s="724"/>
      <c r="G19" s="724"/>
      <c r="H19" s="723">
        <v>0</v>
      </c>
      <c r="I19" s="725"/>
      <c r="J19" s="723"/>
      <c r="K19" s="723"/>
      <c r="L19" s="702">
        <f t="shared" si="1"/>
        <v>0</v>
      </c>
      <c r="M19" s="706">
        <f t="shared" si="2"/>
        <v>0</v>
      </c>
      <c r="N19" s="721"/>
      <c r="O19" s="698"/>
      <c r="P19" s="698"/>
      <c r="Q19" s="698"/>
    </row>
    <row r="20" spans="1:17" ht="12.75">
      <c r="A20" s="722">
        <v>2</v>
      </c>
      <c r="B20" s="722">
        <v>6</v>
      </c>
      <c r="C20" s="252" t="s">
        <v>565</v>
      </c>
      <c r="D20" s="702">
        <v>0</v>
      </c>
      <c r="E20" s="723"/>
      <c r="F20" s="724"/>
      <c r="G20" s="724"/>
      <c r="H20" s="723">
        <v>0</v>
      </c>
      <c r="I20" s="725"/>
      <c r="J20" s="723"/>
      <c r="K20" s="723"/>
      <c r="L20" s="702">
        <f t="shared" si="1"/>
        <v>0</v>
      </c>
      <c r="M20" s="706">
        <f t="shared" si="2"/>
        <v>0</v>
      </c>
      <c r="N20" s="721"/>
      <c r="O20" s="698"/>
      <c r="P20" s="698"/>
      <c r="Q20" s="698"/>
    </row>
    <row r="21" spans="1:17" ht="25.5">
      <c r="A21" s="722">
        <v>2</v>
      </c>
      <c r="B21" s="722">
        <v>7</v>
      </c>
      <c r="C21" s="580" t="s">
        <v>1004</v>
      </c>
      <c r="D21" s="702">
        <v>20</v>
      </c>
      <c r="E21" s="723"/>
      <c r="F21" s="724"/>
      <c r="G21" s="724"/>
      <c r="H21" s="723">
        <v>14</v>
      </c>
      <c r="I21" s="725"/>
      <c r="J21" s="723">
        <v>1</v>
      </c>
      <c r="K21" s="723">
        <v>10</v>
      </c>
      <c r="L21" s="702">
        <f t="shared" si="1"/>
        <v>25</v>
      </c>
      <c r="M21" s="706">
        <f t="shared" si="2"/>
        <v>5</v>
      </c>
      <c r="N21" s="721"/>
      <c r="O21" s="715"/>
      <c r="P21" s="698"/>
      <c r="Q21" s="698"/>
    </row>
    <row r="22" spans="1:17" ht="12.75" hidden="1">
      <c r="A22" s="722"/>
      <c r="B22" s="722"/>
      <c r="C22" s="252"/>
      <c r="D22" s="707"/>
      <c r="E22" s="723"/>
      <c r="F22" s="724"/>
      <c r="G22" s="724"/>
      <c r="H22" s="723"/>
      <c r="I22" s="725"/>
      <c r="J22" s="723"/>
      <c r="K22" s="723"/>
      <c r="L22" s="702">
        <f t="shared" si="1"/>
        <v>0</v>
      </c>
      <c r="M22" s="706">
        <f t="shared" si="2"/>
        <v>0</v>
      </c>
      <c r="N22" s="721"/>
      <c r="O22" s="698"/>
      <c r="P22" s="698"/>
      <c r="Q22" s="698"/>
    </row>
    <row r="23" spans="1:17" ht="12.75">
      <c r="A23" s="267">
        <v>2</v>
      </c>
      <c r="B23" s="267">
        <v>8</v>
      </c>
      <c r="C23" s="133" t="s">
        <v>566</v>
      </c>
      <c r="D23" s="702">
        <v>51</v>
      </c>
      <c r="E23" s="723"/>
      <c r="F23" s="724"/>
      <c r="G23" s="724"/>
      <c r="H23" s="723">
        <v>9.5</v>
      </c>
      <c r="I23" s="725">
        <v>7</v>
      </c>
      <c r="J23" s="723">
        <v>9.5</v>
      </c>
      <c r="K23" s="723">
        <v>25</v>
      </c>
      <c r="L23" s="702">
        <f t="shared" si="1"/>
        <v>51</v>
      </c>
      <c r="M23" s="706">
        <f t="shared" si="2"/>
        <v>0</v>
      </c>
      <c r="N23" s="721"/>
      <c r="O23" s="698"/>
      <c r="P23" s="698"/>
      <c r="Q23" s="698"/>
    </row>
    <row r="24" spans="1:17" ht="12.75">
      <c r="A24" s="267"/>
      <c r="B24" s="726" t="s">
        <v>1059</v>
      </c>
      <c r="C24" s="285" t="s">
        <v>1005</v>
      </c>
      <c r="D24" s="702">
        <v>48</v>
      </c>
      <c r="E24" s="718"/>
      <c r="F24" s="719"/>
      <c r="G24" s="719"/>
      <c r="H24" s="718">
        <v>9.5</v>
      </c>
      <c r="I24" s="720">
        <v>4</v>
      </c>
      <c r="J24" s="718">
        <v>9.5</v>
      </c>
      <c r="K24" s="718">
        <v>25</v>
      </c>
      <c r="L24" s="702">
        <f t="shared" si="1"/>
        <v>48</v>
      </c>
      <c r="M24" s="706">
        <f t="shared" si="2"/>
        <v>0</v>
      </c>
      <c r="N24" s="721"/>
      <c r="O24" s="698"/>
      <c r="P24" s="698"/>
      <c r="Q24" s="698"/>
    </row>
    <row r="25" spans="1:17" ht="12.75">
      <c r="A25" s="267"/>
      <c r="B25" s="266" t="s">
        <v>1060</v>
      </c>
      <c r="C25" s="285" t="s">
        <v>1006</v>
      </c>
      <c r="D25" s="702">
        <v>3</v>
      </c>
      <c r="E25" s="718"/>
      <c r="F25" s="719"/>
      <c r="G25" s="719"/>
      <c r="H25" s="718"/>
      <c r="I25" s="720">
        <v>3</v>
      </c>
      <c r="J25" s="718"/>
      <c r="K25" s="718"/>
      <c r="L25" s="702">
        <f t="shared" si="1"/>
        <v>3</v>
      </c>
      <c r="M25" s="706">
        <f t="shared" si="2"/>
        <v>0</v>
      </c>
      <c r="N25" s="721"/>
      <c r="O25" s="698"/>
      <c r="P25" s="698"/>
      <c r="Q25" s="698"/>
    </row>
    <row r="26" spans="1:17" ht="12.75">
      <c r="A26" s="267">
        <v>2</v>
      </c>
      <c r="B26" s="267">
        <v>9</v>
      </c>
      <c r="C26" s="102" t="s">
        <v>569</v>
      </c>
      <c r="D26" s="702">
        <v>50</v>
      </c>
      <c r="E26" s="723"/>
      <c r="F26" s="724"/>
      <c r="G26" s="724"/>
      <c r="H26" s="723">
        <v>38</v>
      </c>
      <c r="I26" s="725">
        <v>5.5</v>
      </c>
      <c r="J26" s="723">
        <v>1</v>
      </c>
      <c r="K26" s="723">
        <v>5.5</v>
      </c>
      <c r="L26" s="702">
        <f t="shared" si="1"/>
        <v>50</v>
      </c>
      <c r="M26" s="706">
        <f t="shared" si="2"/>
        <v>0</v>
      </c>
      <c r="N26" s="721"/>
      <c r="O26" s="698"/>
      <c r="P26" s="698"/>
      <c r="Q26" s="698"/>
    </row>
    <row r="27" spans="1:17" ht="12.75">
      <c r="A27" s="267">
        <v>2</v>
      </c>
      <c r="B27" s="267">
        <v>10</v>
      </c>
      <c r="C27" s="102" t="s">
        <v>570</v>
      </c>
      <c r="D27" s="702">
        <v>66</v>
      </c>
      <c r="E27" s="723"/>
      <c r="F27" s="724"/>
      <c r="G27" s="724"/>
      <c r="H27" s="727"/>
      <c r="I27" s="725">
        <v>49</v>
      </c>
      <c r="J27" s="723">
        <v>7</v>
      </c>
      <c r="K27" s="723">
        <v>10</v>
      </c>
      <c r="L27" s="702">
        <f t="shared" si="1"/>
        <v>66</v>
      </c>
      <c r="M27" s="706">
        <f t="shared" si="2"/>
        <v>0</v>
      </c>
      <c r="N27" s="721"/>
      <c r="O27" s="698"/>
      <c r="P27" s="698"/>
      <c r="Q27" s="698"/>
    </row>
    <row r="28" spans="1:17" ht="12.75" hidden="1">
      <c r="A28" s="267"/>
      <c r="B28" s="267"/>
      <c r="C28" s="102"/>
      <c r="D28" s="702"/>
      <c r="E28" s="723"/>
      <c r="F28" s="724"/>
      <c r="G28" s="724"/>
      <c r="H28" s="727"/>
      <c r="I28" s="725"/>
      <c r="J28" s="723"/>
      <c r="K28" s="723"/>
      <c r="L28" s="702">
        <f t="shared" si="1"/>
        <v>0</v>
      </c>
      <c r="M28" s="706">
        <f t="shared" si="2"/>
        <v>0</v>
      </c>
      <c r="N28" s="721"/>
      <c r="O28" s="698"/>
      <c r="P28" s="698"/>
      <c r="Q28" s="698"/>
    </row>
    <row r="29" spans="1:17" ht="12.75">
      <c r="A29" s="267">
        <v>2</v>
      </c>
      <c r="B29" s="267">
        <v>11</v>
      </c>
      <c r="C29" s="102" t="s">
        <v>575</v>
      </c>
      <c r="D29" s="702">
        <v>127</v>
      </c>
      <c r="E29" s="723"/>
      <c r="F29" s="724"/>
      <c r="G29" s="724"/>
      <c r="H29" s="727"/>
      <c r="I29" s="725">
        <v>39</v>
      </c>
      <c r="J29" s="723">
        <v>16</v>
      </c>
      <c r="K29" s="723">
        <v>72</v>
      </c>
      <c r="L29" s="702">
        <f t="shared" si="1"/>
        <v>127</v>
      </c>
      <c r="M29" s="706">
        <f t="shared" si="2"/>
        <v>0</v>
      </c>
      <c r="N29" s="721"/>
      <c r="O29" s="698"/>
      <c r="P29" s="698"/>
      <c r="Q29" s="698"/>
    </row>
    <row r="30" spans="1:17" ht="12.75">
      <c r="A30" s="267">
        <v>2</v>
      </c>
      <c r="B30" s="267">
        <v>12</v>
      </c>
      <c r="C30" s="102" t="s">
        <v>574</v>
      </c>
      <c r="D30" s="702">
        <v>17</v>
      </c>
      <c r="E30" s="723"/>
      <c r="F30" s="724"/>
      <c r="G30" s="724"/>
      <c r="H30" s="727"/>
      <c r="I30" s="725">
        <v>10</v>
      </c>
      <c r="J30" s="723">
        <v>1</v>
      </c>
      <c r="K30" s="723">
        <v>6</v>
      </c>
      <c r="L30" s="702">
        <f t="shared" si="1"/>
        <v>17</v>
      </c>
      <c r="M30" s="706">
        <f t="shared" si="2"/>
        <v>0</v>
      </c>
      <c r="N30" s="721"/>
      <c r="O30" s="698"/>
      <c r="P30" s="698"/>
      <c r="Q30" s="698"/>
    </row>
    <row r="31" spans="1:17" ht="12.75">
      <c r="A31" s="267">
        <v>2</v>
      </c>
      <c r="B31" s="267">
        <v>13</v>
      </c>
      <c r="C31" s="102" t="s">
        <v>571</v>
      </c>
      <c r="D31" s="702">
        <v>20</v>
      </c>
      <c r="E31" s="723"/>
      <c r="F31" s="724"/>
      <c r="G31" s="724"/>
      <c r="H31" s="727"/>
      <c r="I31" s="725"/>
      <c r="J31" s="723">
        <v>4</v>
      </c>
      <c r="K31" s="723">
        <v>16</v>
      </c>
      <c r="L31" s="702">
        <f t="shared" si="1"/>
        <v>20</v>
      </c>
      <c r="M31" s="706">
        <f t="shared" si="2"/>
        <v>0</v>
      </c>
      <c r="N31" s="721"/>
      <c r="O31" s="698"/>
      <c r="P31" s="698"/>
      <c r="Q31" s="698"/>
    </row>
    <row r="32" spans="1:17" ht="12.75">
      <c r="A32" s="267">
        <v>2</v>
      </c>
      <c r="B32" s="267">
        <v>14</v>
      </c>
      <c r="C32" s="102" t="s">
        <v>489</v>
      </c>
      <c r="D32" s="702">
        <v>8</v>
      </c>
      <c r="E32" s="723"/>
      <c r="F32" s="724"/>
      <c r="G32" s="724"/>
      <c r="H32" s="727"/>
      <c r="I32" s="725"/>
      <c r="J32" s="723">
        <v>3</v>
      </c>
      <c r="K32" s="723">
        <v>5</v>
      </c>
      <c r="L32" s="702">
        <f t="shared" si="1"/>
        <v>8</v>
      </c>
      <c r="M32" s="706">
        <f t="shared" si="2"/>
        <v>0</v>
      </c>
      <c r="N32" s="721"/>
      <c r="O32" s="698"/>
      <c r="P32" s="698"/>
      <c r="Q32" s="698"/>
    </row>
    <row r="33" spans="1:17" ht="15">
      <c r="A33" s="728"/>
      <c r="B33" s="728"/>
      <c r="C33" s="729" t="s">
        <v>534</v>
      </c>
      <c r="D33" s="730">
        <f aca="true" t="shared" si="3" ref="D33:N33">D2+D3+D4+D13+D19+D20+D21+D23+D26+D27+D29+D30+D31+D32</f>
        <v>1342.5</v>
      </c>
      <c r="E33" s="730">
        <f t="shared" si="3"/>
        <v>144</v>
      </c>
      <c r="F33" s="730">
        <f t="shared" si="3"/>
        <v>4.5</v>
      </c>
      <c r="G33" s="730">
        <f t="shared" si="3"/>
        <v>153.5</v>
      </c>
      <c r="H33" s="730">
        <f t="shared" si="3"/>
        <v>61.5</v>
      </c>
      <c r="I33" s="730">
        <f t="shared" si="3"/>
        <v>322</v>
      </c>
      <c r="J33" s="730">
        <f t="shared" si="3"/>
        <v>111.5</v>
      </c>
      <c r="K33" s="730">
        <f t="shared" si="3"/>
        <v>363</v>
      </c>
      <c r="L33" s="730">
        <f t="shared" si="3"/>
        <v>1160</v>
      </c>
      <c r="M33" s="816">
        <f t="shared" si="3"/>
        <v>-182.5</v>
      </c>
      <c r="N33" s="730">
        <f t="shared" si="3"/>
        <v>0</v>
      </c>
      <c r="O33" s="731"/>
      <c r="P33" s="732"/>
      <c r="Q33" s="732"/>
    </row>
    <row r="34" spans="1:17" ht="12.75" hidden="1">
      <c r="A34" s="721"/>
      <c r="B34" s="721"/>
      <c r="C34" s="696"/>
      <c r="D34" s="733"/>
      <c r="E34" s="721"/>
      <c r="F34" s="721"/>
      <c r="G34" s="721"/>
      <c r="H34" s="733"/>
      <c r="I34" s="734"/>
      <c r="J34" s="735"/>
      <c r="K34" s="734"/>
      <c r="L34" s="733"/>
      <c r="M34" s="736"/>
      <c r="N34" s="721"/>
      <c r="O34" s="732"/>
      <c r="P34" s="732"/>
      <c r="Q34" s="732"/>
    </row>
    <row r="35" spans="1:37" ht="12.75" hidden="1">
      <c r="A35" s="737"/>
      <c r="B35" s="737"/>
      <c r="C35" s="738"/>
      <c r="D35" s="739"/>
      <c r="E35" s="737"/>
      <c r="F35" s="737"/>
      <c r="G35" s="737"/>
      <c r="H35" s="739"/>
      <c r="I35" s="740"/>
      <c r="J35" s="741"/>
      <c r="K35" s="740"/>
      <c r="L35" s="739"/>
      <c r="M35" s="742"/>
      <c r="N35" s="721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2"/>
      <c r="Z35" s="732"/>
      <c r="AA35" s="732"/>
      <c r="AB35" s="732"/>
      <c r="AC35" s="732"/>
      <c r="AD35" s="732"/>
      <c r="AE35" s="732"/>
      <c r="AF35" s="732"/>
      <c r="AG35" s="732"/>
      <c r="AH35" s="732"/>
      <c r="AI35" s="732"/>
      <c r="AJ35" s="732"/>
      <c r="AK35" s="732"/>
    </row>
    <row r="36" spans="1:17" ht="12.75">
      <c r="A36" s="698"/>
      <c r="B36" s="698"/>
      <c r="C36" s="698"/>
      <c r="D36" s="743"/>
      <c r="E36" s="698"/>
      <c r="F36" s="698"/>
      <c r="G36" s="698"/>
      <c r="H36" s="743"/>
      <c r="I36" s="744"/>
      <c r="J36" s="745"/>
      <c r="K36" s="744"/>
      <c r="L36" s="743"/>
      <c r="M36" s="744"/>
      <c r="N36" s="698"/>
      <c r="O36" s="732"/>
      <c r="P36" s="732"/>
      <c r="Q36" s="732"/>
    </row>
    <row r="37" spans="1:17" ht="12.75">
      <c r="A37" s="697"/>
      <c r="B37" s="698"/>
      <c r="C37" s="698"/>
      <c r="D37" s="743"/>
      <c r="E37" s="698"/>
      <c r="F37" s="698"/>
      <c r="G37" s="698"/>
      <c r="H37" s="743"/>
      <c r="I37" s="744"/>
      <c r="J37" s="744"/>
      <c r="K37" s="744"/>
      <c r="L37" s="743"/>
      <c r="M37" s="744"/>
      <c r="N37" s="698"/>
      <c r="O37" s="732"/>
      <c r="P37" s="732"/>
      <c r="Q37" s="732"/>
    </row>
    <row r="38" spans="1:17" ht="12.75">
      <c r="A38" s="697"/>
      <c r="B38" s="698"/>
      <c r="C38" s="697"/>
      <c r="D38" s="743"/>
      <c r="E38" s="698"/>
      <c r="F38" s="698"/>
      <c r="G38" s="698"/>
      <c r="H38" s="743"/>
      <c r="I38" s="744"/>
      <c r="J38" s="744"/>
      <c r="K38" s="744"/>
      <c r="L38" s="743"/>
      <c r="M38" s="744"/>
      <c r="N38" s="698"/>
      <c r="O38" s="732"/>
      <c r="P38" s="732"/>
      <c r="Q38" s="732"/>
    </row>
    <row r="39" spans="1:17" ht="12.75">
      <c r="A39" s="698"/>
      <c r="B39" s="698"/>
      <c r="C39" s="697"/>
      <c r="D39" s="743"/>
      <c r="E39" s="698"/>
      <c r="F39" s="698"/>
      <c r="G39" s="698"/>
      <c r="H39" s="743"/>
      <c r="I39" s="744"/>
      <c r="J39" s="744"/>
      <c r="K39" s="744"/>
      <c r="L39" s="743"/>
      <c r="M39" s="744"/>
      <c r="N39" s="698"/>
      <c r="O39" s="732"/>
      <c r="P39" s="732"/>
      <c r="Q39" s="732"/>
    </row>
    <row r="40" spans="1:17" ht="12.75">
      <c r="A40" s="698"/>
      <c r="B40" s="698"/>
      <c r="C40" s="697"/>
      <c r="D40" s="743"/>
      <c r="E40" s="698"/>
      <c r="F40" s="698"/>
      <c r="G40" s="698"/>
      <c r="H40" s="743"/>
      <c r="I40" s="744"/>
      <c r="J40" s="744"/>
      <c r="K40" s="744"/>
      <c r="L40" s="743"/>
      <c r="M40" s="744"/>
      <c r="N40" s="698"/>
      <c r="O40" s="732"/>
      <c r="P40" s="732"/>
      <c r="Q40" s="732"/>
    </row>
    <row r="41" spans="1:17" ht="12.75">
      <c r="A41" s="698"/>
      <c r="B41" s="698"/>
      <c r="C41" s="698"/>
      <c r="D41" s="743"/>
      <c r="E41" s="698"/>
      <c r="F41" s="698"/>
      <c r="G41" s="698"/>
      <c r="H41" s="743"/>
      <c r="I41" s="744"/>
      <c r="J41" s="744"/>
      <c r="K41" s="744"/>
      <c r="L41" s="743"/>
      <c r="M41" s="744"/>
      <c r="N41" s="698"/>
      <c r="O41" s="732"/>
      <c r="P41" s="732"/>
      <c r="Q41" s="732"/>
    </row>
    <row r="42" spans="1:17" ht="12.75">
      <c r="A42" s="698"/>
      <c r="B42" s="698"/>
      <c r="C42" s="698"/>
      <c r="D42" s="743"/>
      <c r="E42" s="698"/>
      <c r="F42" s="698"/>
      <c r="G42" s="698"/>
      <c r="H42" s="743"/>
      <c r="I42" s="744"/>
      <c r="J42" s="744"/>
      <c r="K42" s="744"/>
      <c r="L42" s="743"/>
      <c r="M42" s="744"/>
      <c r="N42" s="698"/>
      <c r="O42" s="732"/>
      <c r="P42" s="732"/>
      <c r="Q42" s="732"/>
    </row>
    <row r="43" spans="1:17" ht="12.75">
      <c r="A43" s="698"/>
      <c r="B43" s="698"/>
      <c r="C43" s="698"/>
      <c r="D43" s="743"/>
      <c r="E43" s="698"/>
      <c r="F43" s="698"/>
      <c r="G43" s="698"/>
      <c r="H43" s="743"/>
      <c r="I43" s="744"/>
      <c r="J43" s="744"/>
      <c r="K43" s="744"/>
      <c r="L43" s="743"/>
      <c r="M43" s="744"/>
      <c r="N43" s="698"/>
      <c r="O43" s="732"/>
      <c r="P43" s="732"/>
      <c r="Q43" s="732"/>
    </row>
    <row r="44" spans="1:17" ht="12.75">
      <c r="A44" s="698"/>
      <c r="B44" s="698"/>
      <c r="C44" s="698"/>
      <c r="D44" s="743"/>
      <c r="E44" s="698"/>
      <c r="F44" s="698"/>
      <c r="G44" s="698"/>
      <c r="H44" s="743"/>
      <c r="I44" s="744"/>
      <c r="J44" s="744"/>
      <c r="K44" s="744"/>
      <c r="L44" s="743"/>
      <c r="M44" s="744"/>
      <c r="N44" s="698"/>
      <c r="O44" s="732"/>
      <c r="P44" s="732"/>
      <c r="Q44" s="732"/>
    </row>
    <row r="45" spans="1:17" ht="12.75">
      <c r="A45" s="698"/>
      <c r="B45" s="698"/>
      <c r="C45" s="698"/>
      <c r="D45" s="743"/>
      <c r="E45" s="698"/>
      <c r="F45" s="698"/>
      <c r="G45" s="698"/>
      <c r="H45" s="743"/>
      <c r="I45" s="744"/>
      <c r="J45" s="744"/>
      <c r="K45" s="744"/>
      <c r="L45" s="743"/>
      <c r="M45" s="744"/>
      <c r="N45" s="698"/>
      <c r="O45" s="732"/>
      <c r="P45" s="732"/>
      <c r="Q45" s="732"/>
    </row>
    <row r="46" spans="1:17" ht="12.75">
      <c r="A46" s="698"/>
      <c r="B46" s="698"/>
      <c r="C46" s="698"/>
      <c r="D46" s="743"/>
      <c r="E46" s="698"/>
      <c r="F46" s="698"/>
      <c r="G46" s="698"/>
      <c r="H46" s="743"/>
      <c r="I46" s="744"/>
      <c r="J46" s="744"/>
      <c r="K46" s="744"/>
      <c r="L46" s="743"/>
      <c r="M46" s="744"/>
      <c r="N46" s="698"/>
      <c r="O46" s="732"/>
      <c r="P46" s="732"/>
      <c r="Q46" s="732"/>
    </row>
    <row r="47" spans="1:17" ht="12.75">
      <c r="A47" s="698"/>
      <c r="B47" s="698"/>
      <c r="C47" s="698"/>
      <c r="D47" s="743"/>
      <c r="E47" s="698"/>
      <c r="F47" s="698"/>
      <c r="G47" s="698"/>
      <c r="H47" s="743"/>
      <c r="I47" s="744"/>
      <c r="J47" s="744"/>
      <c r="K47" s="744"/>
      <c r="L47" s="743"/>
      <c r="M47" s="744"/>
      <c r="N47" s="698"/>
      <c r="O47" s="732"/>
      <c r="P47" s="732"/>
      <c r="Q47" s="732"/>
    </row>
    <row r="48" spans="1:17" ht="12.75">
      <c r="A48" s="698"/>
      <c r="B48" s="698"/>
      <c r="C48" s="698"/>
      <c r="D48" s="743"/>
      <c r="E48" s="698"/>
      <c r="F48" s="698"/>
      <c r="G48" s="698"/>
      <c r="H48" s="743"/>
      <c r="I48" s="744"/>
      <c r="J48" s="744"/>
      <c r="K48" s="744"/>
      <c r="L48" s="743"/>
      <c r="M48" s="744"/>
      <c r="N48" s="698"/>
      <c r="O48" s="732"/>
      <c r="P48" s="732"/>
      <c r="Q48" s="732"/>
    </row>
    <row r="49" spans="1:17" ht="12.75">
      <c r="A49" s="732"/>
      <c r="B49" s="732"/>
      <c r="C49" s="732"/>
      <c r="D49" s="732"/>
      <c r="E49" s="732"/>
      <c r="F49" s="732"/>
      <c r="G49" s="732"/>
      <c r="H49" s="732"/>
      <c r="I49" s="732"/>
      <c r="J49" s="732"/>
      <c r="K49" s="732"/>
      <c r="L49" s="732"/>
      <c r="M49" s="746"/>
      <c r="N49" s="732"/>
      <c r="O49" s="732"/>
      <c r="P49" s="732"/>
      <c r="Q49" s="732"/>
    </row>
    <row r="50" spans="1:17" ht="12.75">
      <c r="A50" s="732"/>
      <c r="B50" s="732"/>
      <c r="C50" s="732"/>
      <c r="D50" s="732"/>
      <c r="E50" s="732"/>
      <c r="F50" s="732"/>
      <c r="G50" s="732"/>
      <c r="H50" s="732"/>
      <c r="I50" s="732"/>
      <c r="J50" s="732"/>
      <c r="K50" s="732"/>
      <c r="L50" s="732"/>
      <c r="M50" s="746"/>
      <c r="N50" s="732"/>
      <c r="O50" s="732"/>
      <c r="P50" s="732"/>
      <c r="Q50" s="732"/>
    </row>
    <row r="51" spans="1:17" ht="12.75">
      <c r="A51" s="732"/>
      <c r="B51" s="732"/>
      <c r="C51" s="732"/>
      <c r="D51" s="732"/>
      <c r="E51" s="732"/>
      <c r="F51" s="732"/>
      <c r="G51" s="732"/>
      <c r="H51" s="732"/>
      <c r="I51" s="732"/>
      <c r="J51" s="732"/>
      <c r="K51" s="732"/>
      <c r="L51" s="732"/>
      <c r="M51" s="746"/>
      <c r="N51" s="732"/>
      <c r="O51" s="732"/>
      <c r="P51" s="732"/>
      <c r="Q51" s="732"/>
    </row>
    <row r="52" spans="1:17" ht="12.75">
      <c r="A52" s="732"/>
      <c r="B52" s="732"/>
      <c r="C52" s="732"/>
      <c r="D52" s="732"/>
      <c r="E52" s="732"/>
      <c r="F52" s="732"/>
      <c r="G52" s="732"/>
      <c r="H52" s="732"/>
      <c r="I52" s="732"/>
      <c r="J52" s="732"/>
      <c r="K52" s="732"/>
      <c r="L52" s="732"/>
      <c r="M52" s="746"/>
      <c r="N52" s="732"/>
      <c r="O52" s="732"/>
      <c r="P52" s="732"/>
      <c r="Q52" s="732"/>
    </row>
    <row r="53" spans="1:17" ht="12.75">
      <c r="A53" s="732"/>
      <c r="B53" s="732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46"/>
      <c r="N53" s="732"/>
      <c r="O53" s="732"/>
      <c r="P53" s="732"/>
      <c r="Q53" s="732"/>
    </row>
    <row r="54" spans="1:17" ht="12.75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46"/>
      <c r="N54" s="732"/>
      <c r="O54" s="732"/>
      <c r="P54" s="732"/>
      <c r="Q54" s="732"/>
    </row>
    <row r="55" spans="1:17" ht="12.75">
      <c r="A55" s="732"/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46"/>
      <c r="N55" s="732"/>
      <c r="O55" s="732"/>
      <c r="P55" s="732"/>
      <c r="Q55" s="732"/>
    </row>
    <row r="56" spans="1:17" ht="12.75">
      <c r="A56" s="732"/>
      <c r="B56" s="732"/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46"/>
      <c r="N56" s="732"/>
      <c r="O56" s="732"/>
      <c r="P56" s="732"/>
      <c r="Q56" s="732"/>
    </row>
    <row r="57" spans="1:17" ht="12.75">
      <c r="A57" s="732"/>
      <c r="B57" s="732"/>
      <c r="C57" s="732"/>
      <c r="D57" s="732"/>
      <c r="E57" s="732"/>
      <c r="F57" s="732"/>
      <c r="G57" s="732"/>
      <c r="H57" s="732"/>
      <c r="I57" s="732"/>
      <c r="J57" s="732"/>
      <c r="K57" s="732"/>
      <c r="L57" s="732"/>
      <c r="M57" s="746"/>
      <c r="N57" s="732"/>
      <c r="O57" s="732"/>
      <c r="P57" s="732"/>
      <c r="Q57" s="732"/>
    </row>
    <row r="58" spans="1:17" ht="12.75">
      <c r="A58" s="732"/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46"/>
      <c r="N58" s="732"/>
      <c r="O58" s="732"/>
      <c r="P58" s="732"/>
      <c r="Q58" s="732"/>
    </row>
    <row r="59" spans="1:17" ht="12.75">
      <c r="A59" s="732"/>
      <c r="B59" s="732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46"/>
      <c r="N59" s="732"/>
      <c r="O59" s="732"/>
      <c r="P59" s="732"/>
      <c r="Q59" s="732"/>
    </row>
    <row r="60" spans="1:17" ht="12.75">
      <c r="A60" s="732"/>
      <c r="B60" s="732"/>
      <c r="C60" s="732"/>
      <c r="D60" s="732"/>
      <c r="E60" s="732"/>
      <c r="F60" s="732"/>
      <c r="G60" s="732"/>
      <c r="H60" s="732"/>
      <c r="I60" s="732"/>
      <c r="J60" s="732"/>
      <c r="K60" s="732"/>
      <c r="L60" s="732"/>
      <c r="M60" s="746"/>
      <c r="N60" s="732"/>
      <c r="O60" s="732"/>
      <c r="P60" s="732"/>
      <c r="Q60" s="732"/>
    </row>
    <row r="61" spans="1:17" ht="12.75">
      <c r="A61" s="732"/>
      <c r="B61" s="732"/>
      <c r="C61" s="732"/>
      <c r="D61" s="732"/>
      <c r="E61" s="732"/>
      <c r="F61" s="732"/>
      <c r="G61" s="732"/>
      <c r="H61" s="732"/>
      <c r="I61" s="732"/>
      <c r="J61" s="732"/>
      <c r="K61" s="732"/>
      <c r="L61" s="732"/>
      <c r="M61" s="746"/>
      <c r="N61" s="732"/>
      <c r="O61" s="732"/>
      <c r="P61" s="732"/>
      <c r="Q61" s="732"/>
    </row>
    <row r="62" spans="1:17" ht="12.75">
      <c r="A62" s="732"/>
      <c r="B62" s="732"/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46"/>
      <c r="N62" s="732"/>
      <c r="O62" s="732"/>
      <c r="P62" s="732"/>
      <c r="Q62" s="732"/>
    </row>
    <row r="63" spans="1:17" ht="12.75">
      <c r="A63" s="732"/>
      <c r="B63" s="732"/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46"/>
      <c r="N63" s="732"/>
      <c r="O63" s="732"/>
      <c r="P63" s="732"/>
      <c r="Q63" s="732"/>
    </row>
    <row r="64" spans="1:17" ht="12.75">
      <c r="A64" s="732"/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46"/>
      <c r="N64" s="732"/>
      <c r="O64" s="732"/>
      <c r="P64" s="732"/>
      <c r="Q64" s="732"/>
    </row>
    <row r="65" spans="1:17" ht="12.75">
      <c r="A65" s="732"/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46"/>
      <c r="N65" s="732"/>
      <c r="O65" s="732"/>
      <c r="P65" s="732"/>
      <c r="Q65" s="732"/>
    </row>
    <row r="66" spans="1:17" ht="12.75">
      <c r="A66" s="732"/>
      <c r="B66" s="732"/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46"/>
      <c r="N66" s="732"/>
      <c r="O66" s="732"/>
      <c r="P66" s="732"/>
      <c r="Q66" s="732"/>
    </row>
    <row r="67" spans="1:17" ht="12.75">
      <c r="A67" s="732"/>
      <c r="B67" s="732"/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46"/>
      <c r="N67" s="732"/>
      <c r="O67" s="732"/>
      <c r="P67" s="732"/>
      <c r="Q67" s="732"/>
    </row>
    <row r="68" spans="1:17" ht="12.75">
      <c r="A68" s="732"/>
      <c r="B68" s="732"/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46"/>
      <c r="N68" s="732"/>
      <c r="O68" s="732"/>
      <c r="P68" s="732"/>
      <c r="Q68" s="732"/>
    </row>
    <row r="69" spans="1:17" ht="12.75">
      <c r="A69" s="732"/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46"/>
      <c r="N69" s="732"/>
      <c r="O69" s="732"/>
      <c r="P69" s="732"/>
      <c r="Q69" s="732"/>
    </row>
    <row r="70" spans="1:17" ht="12.75">
      <c r="A70" s="732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46"/>
      <c r="N70" s="732"/>
      <c r="O70" s="732"/>
      <c r="P70" s="732"/>
      <c r="Q70" s="732"/>
    </row>
    <row r="71" spans="1:17" ht="12.75">
      <c r="A71" s="732"/>
      <c r="B71" s="732"/>
      <c r="C71" s="732"/>
      <c r="D71" s="732"/>
      <c r="E71" s="732"/>
      <c r="F71" s="732"/>
      <c r="G71" s="732"/>
      <c r="H71" s="732"/>
      <c r="I71" s="732"/>
      <c r="J71" s="732"/>
      <c r="K71" s="732"/>
      <c r="L71" s="732"/>
      <c r="M71" s="746"/>
      <c r="N71" s="732"/>
      <c r="O71" s="732"/>
      <c r="P71" s="732"/>
      <c r="Q71" s="732"/>
    </row>
    <row r="72" spans="1:17" ht="12.75">
      <c r="A72" s="732"/>
      <c r="B72" s="732"/>
      <c r="C72" s="732"/>
      <c r="D72" s="732"/>
      <c r="E72" s="732"/>
      <c r="F72" s="732"/>
      <c r="G72" s="732"/>
      <c r="H72" s="732"/>
      <c r="I72" s="732"/>
      <c r="J72" s="732"/>
      <c r="K72" s="732"/>
      <c r="L72" s="732"/>
      <c r="M72" s="746"/>
      <c r="N72" s="732"/>
      <c r="O72" s="732"/>
      <c r="P72" s="732"/>
      <c r="Q72" s="732"/>
    </row>
    <row r="73" spans="1:17" ht="12.75">
      <c r="A73" s="732"/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46"/>
      <c r="N73" s="732"/>
      <c r="O73" s="732"/>
      <c r="P73" s="732"/>
      <c r="Q73" s="732"/>
    </row>
    <row r="74" spans="1:17" ht="12.75">
      <c r="A74" s="732"/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46"/>
      <c r="N74" s="732"/>
      <c r="O74" s="732"/>
      <c r="P74" s="732"/>
      <c r="Q74" s="732"/>
    </row>
    <row r="75" spans="1:17" ht="12.75">
      <c r="A75" s="732"/>
      <c r="B75" s="732"/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46"/>
      <c r="N75" s="732"/>
      <c r="O75" s="732"/>
      <c r="P75" s="732"/>
      <c r="Q75" s="732"/>
    </row>
    <row r="76" spans="1:17" ht="12.75">
      <c r="A76" s="732"/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46"/>
      <c r="N76" s="732"/>
      <c r="O76" s="732"/>
      <c r="P76" s="732"/>
      <c r="Q76" s="732"/>
    </row>
    <row r="77" spans="1:17" ht="12.75">
      <c r="A77" s="732"/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46"/>
      <c r="N77" s="732"/>
      <c r="O77" s="732"/>
      <c r="P77" s="732"/>
      <c r="Q77" s="732"/>
    </row>
    <row r="78" spans="1:17" ht="12.75">
      <c r="A78" s="732"/>
      <c r="B78" s="732"/>
      <c r="C78" s="732"/>
      <c r="D78" s="732"/>
      <c r="E78" s="732"/>
      <c r="F78" s="732"/>
      <c r="G78" s="732"/>
      <c r="H78" s="732"/>
      <c r="I78" s="732"/>
      <c r="J78" s="732"/>
      <c r="K78" s="732"/>
      <c r="L78" s="732"/>
      <c r="M78" s="746"/>
      <c r="N78" s="732"/>
      <c r="O78" s="732"/>
      <c r="P78" s="732"/>
      <c r="Q78" s="732"/>
    </row>
    <row r="79" spans="1:17" ht="12.75">
      <c r="A79" s="732"/>
      <c r="B79" s="732"/>
      <c r="C79" s="732"/>
      <c r="D79" s="732"/>
      <c r="E79" s="732"/>
      <c r="F79" s="732"/>
      <c r="G79" s="732"/>
      <c r="H79" s="732"/>
      <c r="I79" s="732"/>
      <c r="J79" s="732"/>
      <c r="K79" s="732"/>
      <c r="L79" s="732"/>
      <c r="M79" s="746"/>
      <c r="N79" s="732"/>
      <c r="O79" s="732"/>
      <c r="P79" s="732"/>
      <c r="Q79" s="732"/>
    </row>
    <row r="80" spans="1:17" ht="12.75">
      <c r="A80" s="732"/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46"/>
      <c r="N80" s="732"/>
      <c r="O80" s="732"/>
      <c r="P80" s="732"/>
      <c r="Q80" s="732"/>
    </row>
    <row r="81" spans="1:17" ht="12.75">
      <c r="A81" s="732"/>
      <c r="B81" s="732"/>
      <c r="C81" s="732"/>
      <c r="D81" s="732"/>
      <c r="E81" s="732"/>
      <c r="F81" s="732"/>
      <c r="G81" s="732"/>
      <c r="H81" s="732"/>
      <c r="I81" s="732"/>
      <c r="J81" s="732"/>
      <c r="K81" s="732"/>
      <c r="L81" s="732"/>
      <c r="M81" s="746"/>
      <c r="N81" s="732"/>
      <c r="O81" s="732"/>
      <c r="P81" s="732"/>
      <c r="Q81" s="732"/>
    </row>
    <row r="82" spans="1:17" ht="12.75">
      <c r="A82" s="732"/>
      <c r="B82" s="732"/>
      <c r="C82" s="732"/>
      <c r="D82" s="732"/>
      <c r="E82" s="732"/>
      <c r="F82" s="732"/>
      <c r="G82" s="732"/>
      <c r="H82" s="732"/>
      <c r="I82" s="732"/>
      <c r="J82" s="732"/>
      <c r="K82" s="732"/>
      <c r="L82" s="732"/>
      <c r="M82" s="746"/>
      <c r="N82" s="732"/>
      <c r="O82" s="732"/>
      <c r="P82" s="732"/>
      <c r="Q82" s="732"/>
    </row>
    <row r="83" spans="1:17" ht="12.75">
      <c r="A83" s="732"/>
      <c r="B83" s="732"/>
      <c r="C83" s="732"/>
      <c r="D83" s="732"/>
      <c r="E83" s="732"/>
      <c r="F83" s="732"/>
      <c r="G83" s="732"/>
      <c r="H83" s="732"/>
      <c r="I83" s="732"/>
      <c r="J83" s="732"/>
      <c r="K83" s="732"/>
      <c r="L83" s="732"/>
      <c r="M83" s="746"/>
      <c r="N83" s="732"/>
      <c r="O83" s="732"/>
      <c r="P83" s="732"/>
      <c r="Q83" s="732"/>
    </row>
    <row r="84" spans="1:17" ht="12.75">
      <c r="A84" s="732"/>
      <c r="B84" s="732"/>
      <c r="C84" s="732"/>
      <c r="D84" s="732"/>
      <c r="E84" s="732"/>
      <c r="F84" s="732"/>
      <c r="G84" s="732"/>
      <c r="H84" s="732"/>
      <c r="I84" s="732"/>
      <c r="J84" s="732"/>
      <c r="K84" s="732"/>
      <c r="L84" s="732"/>
      <c r="M84" s="746"/>
      <c r="N84" s="732"/>
      <c r="O84" s="732"/>
      <c r="P84" s="732"/>
      <c r="Q84" s="732"/>
    </row>
    <row r="85" spans="1:17" ht="12.75">
      <c r="A85" s="732"/>
      <c r="B85" s="732"/>
      <c r="C85" s="732"/>
      <c r="D85" s="732"/>
      <c r="E85" s="732"/>
      <c r="F85" s="732"/>
      <c r="G85" s="732"/>
      <c r="H85" s="732"/>
      <c r="I85" s="732"/>
      <c r="J85" s="732"/>
      <c r="K85" s="732"/>
      <c r="L85" s="732"/>
      <c r="M85" s="746"/>
      <c r="N85" s="732"/>
      <c r="O85" s="732"/>
      <c r="P85" s="732"/>
      <c r="Q85" s="732"/>
    </row>
    <row r="86" spans="1:17" ht="12.75">
      <c r="A86" s="732"/>
      <c r="B86" s="732"/>
      <c r="C86" s="732"/>
      <c r="D86" s="732"/>
      <c r="E86" s="732"/>
      <c r="F86" s="732"/>
      <c r="G86" s="732"/>
      <c r="H86" s="732"/>
      <c r="I86" s="732"/>
      <c r="J86" s="732"/>
      <c r="K86" s="732"/>
      <c r="L86" s="732"/>
      <c r="M86" s="746"/>
      <c r="N86" s="732"/>
      <c r="O86" s="732"/>
      <c r="P86" s="732"/>
      <c r="Q86" s="732"/>
    </row>
    <row r="87" spans="1:17" ht="12.75">
      <c r="A87" s="732"/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46"/>
      <c r="N87" s="732"/>
      <c r="O87" s="732"/>
      <c r="P87" s="732"/>
      <c r="Q87" s="732"/>
    </row>
    <row r="88" spans="1:17" ht="12.75">
      <c r="A88" s="732"/>
      <c r="B88" s="732"/>
      <c r="C88" s="732"/>
      <c r="D88" s="732"/>
      <c r="E88" s="732"/>
      <c r="F88" s="732"/>
      <c r="G88" s="732"/>
      <c r="H88" s="732"/>
      <c r="I88" s="732"/>
      <c r="J88" s="732"/>
      <c r="K88" s="732"/>
      <c r="L88" s="732"/>
      <c r="M88" s="746"/>
      <c r="N88" s="732"/>
      <c r="O88" s="732"/>
      <c r="P88" s="732"/>
      <c r="Q88" s="732"/>
    </row>
    <row r="89" spans="1:17" ht="12.75">
      <c r="A89" s="732"/>
      <c r="B89" s="732"/>
      <c r="C89" s="732"/>
      <c r="D89" s="732"/>
      <c r="E89" s="732"/>
      <c r="F89" s="732"/>
      <c r="G89" s="732"/>
      <c r="H89" s="732"/>
      <c r="I89" s="732"/>
      <c r="J89" s="732"/>
      <c r="K89" s="732"/>
      <c r="L89" s="732"/>
      <c r="M89" s="746"/>
      <c r="N89" s="732"/>
      <c r="O89" s="732"/>
      <c r="P89" s="732"/>
      <c r="Q89" s="732"/>
    </row>
    <row r="90" spans="1:17" ht="12.75">
      <c r="A90" s="732"/>
      <c r="B90" s="732"/>
      <c r="C90" s="732"/>
      <c r="D90" s="732"/>
      <c r="E90" s="732"/>
      <c r="F90" s="732"/>
      <c r="G90" s="732"/>
      <c r="H90" s="732"/>
      <c r="I90" s="732"/>
      <c r="J90" s="732"/>
      <c r="K90" s="732"/>
      <c r="L90" s="732"/>
      <c r="M90" s="746"/>
      <c r="N90" s="732"/>
      <c r="O90" s="732"/>
      <c r="P90" s="732"/>
      <c r="Q90" s="732"/>
    </row>
    <row r="91" spans="1:17" ht="12.75">
      <c r="A91" s="732"/>
      <c r="B91" s="732"/>
      <c r="C91" s="732"/>
      <c r="D91" s="732"/>
      <c r="E91" s="732"/>
      <c r="F91" s="732"/>
      <c r="G91" s="732"/>
      <c r="H91" s="732"/>
      <c r="I91" s="732"/>
      <c r="J91" s="732"/>
      <c r="K91" s="732"/>
      <c r="L91" s="732"/>
      <c r="M91" s="746"/>
      <c r="N91" s="732"/>
      <c r="O91" s="732"/>
      <c r="P91" s="732"/>
      <c r="Q91" s="732"/>
    </row>
    <row r="92" spans="1:17" ht="12.75">
      <c r="A92" s="732"/>
      <c r="B92" s="732"/>
      <c r="C92" s="732"/>
      <c r="D92" s="732"/>
      <c r="E92" s="732"/>
      <c r="F92" s="732"/>
      <c r="G92" s="732"/>
      <c r="H92" s="732"/>
      <c r="I92" s="732"/>
      <c r="J92" s="732"/>
      <c r="K92" s="732"/>
      <c r="L92" s="732"/>
      <c r="M92" s="746"/>
      <c r="N92" s="732"/>
      <c r="O92" s="732"/>
      <c r="P92" s="732"/>
      <c r="Q92" s="732"/>
    </row>
    <row r="93" spans="1:17" ht="12.75">
      <c r="A93" s="732"/>
      <c r="B93" s="732"/>
      <c r="C93" s="732"/>
      <c r="D93" s="732"/>
      <c r="E93" s="732"/>
      <c r="F93" s="732"/>
      <c r="G93" s="732"/>
      <c r="H93" s="732"/>
      <c r="I93" s="732"/>
      <c r="J93" s="732"/>
      <c r="K93" s="732"/>
      <c r="L93" s="732"/>
      <c r="M93" s="746"/>
      <c r="N93" s="732"/>
      <c r="O93" s="732"/>
      <c r="P93" s="732"/>
      <c r="Q93" s="732"/>
    </row>
    <row r="94" spans="1:17" ht="12.75">
      <c r="A94" s="732"/>
      <c r="B94" s="732"/>
      <c r="C94" s="732"/>
      <c r="D94" s="732"/>
      <c r="E94" s="732"/>
      <c r="F94" s="732"/>
      <c r="G94" s="732"/>
      <c r="H94" s="732"/>
      <c r="I94" s="732"/>
      <c r="J94" s="732"/>
      <c r="K94" s="732"/>
      <c r="L94" s="732"/>
      <c r="M94" s="746"/>
      <c r="N94" s="732"/>
      <c r="O94" s="732"/>
      <c r="P94" s="732"/>
      <c r="Q94" s="732"/>
    </row>
    <row r="95" spans="1:17" ht="12.75">
      <c r="A95" s="732"/>
      <c r="B95" s="732"/>
      <c r="C95" s="732"/>
      <c r="D95" s="732"/>
      <c r="E95" s="732"/>
      <c r="F95" s="732"/>
      <c r="G95" s="732"/>
      <c r="H95" s="732"/>
      <c r="I95" s="732"/>
      <c r="J95" s="732"/>
      <c r="K95" s="732"/>
      <c r="L95" s="732"/>
      <c r="M95" s="746"/>
      <c r="N95" s="732"/>
      <c r="O95" s="732"/>
      <c r="P95" s="732"/>
      <c r="Q95" s="732"/>
    </row>
    <row r="96" spans="1:17" ht="12.75">
      <c r="A96" s="732"/>
      <c r="B96" s="732"/>
      <c r="C96" s="732"/>
      <c r="D96" s="732"/>
      <c r="E96" s="732"/>
      <c r="F96" s="732"/>
      <c r="G96" s="732"/>
      <c r="H96" s="732"/>
      <c r="I96" s="732"/>
      <c r="J96" s="732"/>
      <c r="K96" s="732"/>
      <c r="L96" s="732"/>
      <c r="M96" s="746"/>
      <c r="N96" s="732"/>
      <c r="O96" s="732"/>
      <c r="P96" s="732"/>
      <c r="Q96" s="732"/>
    </row>
    <row r="97" spans="1:17" ht="12.75">
      <c r="A97" s="732"/>
      <c r="B97" s="732"/>
      <c r="C97" s="732"/>
      <c r="D97" s="732"/>
      <c r="E97" s="732"/>
      <c r="F97" s="732"/>
      <c r="G97" s="732"/>
      <c r="H97" s="732"/>
      <c r="I97" s="732"/>
      <c r="J97" s="732"/>
      <c r="K97" s="732"/>
      <c r="L97" s="732"/>
      <c r="M97" s="746"/>
      <c r="N97" s="732"/>
      <c r="O97" s="732"/>
      <c r="P97" s="732"/>
      <c r="Q97" s="732"/>
    </row>
    <row r="98" spans="1:17" ht="12.75">
      <c r="A98" s="732"/>
      <c r="B98" s="732"/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46"/>
      <c r="N98" s="732"/>
      <c r="O98" s="732"/>
      <c r="P98" s="732"/>
      <c r="Q98" s="732"/>
    </row>
    <row r="99" spans="1:17" ht="12.75">
      <c r="A99" s="732"/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46"/>
      <c r="N99" s="732"/>
      <c r="O99" s="732"/>
      <c r="P99" s="732"/>
      <c r="Q99" s="732"/>
    </row>
    <row r="100" spans="1:17" ht="12.75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46"/>
      <c r="N100" s="732"/>
      <c r="O100" s="732"/>
      <c r="P100" s="732"/>
      <c r="Q100" s="732"/>
    </row>
    <row r="101" spans="1:17" ht="12.75">
      <c r="A101" s="732"/>
      <c r="B101" s="732"/>
      <c r="C101" s="732"/>
      <c r="D101" s="732"/>
      <c r="E101" s="732"/>
      <c r="F101" s="732"/>
      <c r="G101" s="732"/>
      <c r="H101" s="732"/>
      <c r="I101" s="732"/>
      <c r="J101" s="732"/>
      <c r="K101" s="732"/>
      <c r="L101" s="732"/>
      <c r="M101" s="746"/>
      <c r="N101" s="732"/>
      <c r="O101" s="732"/>
      <c r="P101" s="732"/>
      <c r="Q101" s="732"/>
    </row>
    <row r="102" spans="1:17" ht="12.75">
      <c r="A102" s="732"/>
      <c r="B102" s="732"/>
      <c r="C102" s="732"/>
      <c r="D102" s="732"/>
      <c r="E102" s="732"/>
      <c r="F102" s="732"/>
      <c r="G102" s="732"/>
      <c r="H102" s="732"/>
      <c r="I102" s="732"/>
      <c r="J102" s="732"/>
      <c r="K102" s="732"/>
      <c r="L102" s="732"/>
      <c r="M102" s="746"/>
      <c r="N102" s="732"/>
      <c r="O102" s="732"/>
      <c r="P102" s="732"/>
      <c r="Q102" s="732"/>
    </row>
    <row r="103" spans="1:17" ht="12.75">
      <c r="A103" s="732"/>
      <c r="B103" s="732"/>
      <c r="C103" s="732"/>
      <c r="D103" s="732"/>
      <c r="E103" s="732"/>
      <c r="F103" s="732"/>
      <c r="G103" s="732"/>
      <c r="H103" s="732"/>
      <c r="I103" s="732"/>
      <c r="J103" s="732"/>
      <c r="K103" s="732"/>
      <c r="L103" s="732"/>
      <c r="M103" s="746"/>
      <c r="N103" s="732"/>
      <c r="O103" s="732"/>
      <c r="P103" s="732"/>
      <c r="Q103" s="732"/>
    </row>
    <row r="104" spans="1:17" ht="12.75">
      <c r="A104" s="732"/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46"/>
      <c r="N104" s="732"/>
      <c r="O104" s="732"/>
      <c r="P104" s="732"/>
      <c r="Q104" s="732"/>
    </row>
    <row r="105" spans="1:17" ht="12.75">
      <c r="A105" s="732"/>
      <c r="B105" s="732"/>
      <c r="C105" s="732"/>
      <c r="D105" s="732"/>
      <c r="E105" s="732"/>
      <c r="F105" s="732"/>
      <c r="G105" s="732"/>
      <c r="H105" s="732"/>
      <c r="I105" s="732"/>
      <c r="J105" s="732"/>
      <c r="K105" s="732"/>
      <c r="L105" s="732"/>
      <c r="M105" s="746"/>
      <c r="N105" s="732"/>
      <c r="O105" s="732"/>
      <c r="P105" s="732"/>
      <c r="Q105" s="732"/>
    </row>
    <row r="106" spans="1:17" ht="12.75">
      <c r="A106" s="732"/>
      <c r="B106" s="732"/>
      <c r="C106" s="732"/>
      <c r="D106" s="732"/>
      <c r="E106" s="732"/>
      <c r="F106" s="732"/>
      <c r="G106" s="732"/>
      <c r="H106" s="732"/>
      <c r="I106" s="732"/>
      <c r="J106" s="732"/>
      <c r="K106" s="732"/>
      <c r="L106" s="732"/>
      <c r="M106" s="746"/>
      <c r="N106" s="732"/>
      <c r="O106" s="732"/>
      <c r="P106" s="732"/>
      <c r="Q106" s="732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&amp;CZALAEGERSZEG MEGYEI JOGÚ VÁROS ÁLTAL IRÁNYÍTOTT KÖLTSÉGVETÉSI SZERVEK 
                                        2013. ÉVI LÉTSZÁM ELŐIRÁNYZATA&amp;R14. számú melléklet
Adatok: főben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4" width="11.125" style="74" customWidth="1"/>
    <col min="5" max="5" width="10.625" style="74" customWidth="1"/>
    <col min="6" max="6" width="11.375" style="74" customWidth="1"/>
    <col min="7" max="7" width="10.00390625" style="74" customWidth="1"/>
    <col min="8" max="8" width="12.50390625" style="74" customWidth="1"/>
    <col min="9" max="9" width="11.375" style="74" customWidth="1"/>
    <col min="10" max="10" width="10.625" style="74" customWidth="1"/>
    <col min="11" max="11" width="9.50390625" style="74" customWidth="1"/>
    <col min="12" max="12" width="10.00390625" style="74" customWidth="1"/>
    <col min="13" max="13" width="11.875" style="74" customWidth="1"/>
    <col min="14" max="14" width="10.00390625" style="74" bestFit="1" customWidth="1"/>
    <col min="15" max="16384" width="9.375" style="74" customWidth="1"/>
  </cols>
  <sheetData>
    <row r="1" spans="1:13" ht="12.75" customHeight="1" thickBot="1">
      <c r="A1" s="331"/>
      <c r="B1" s="331"/>
      <c r="C1" s="332"/>
      <c r="D1" s="877" t="s">
        <v>556</v>
      </c>
      <c r="E1" s="878"/>
      <c r="F1" s="332"/>
      <c r="G1" s="883" t="s">
        <v>557</v>
      </c>
      <c r="H1" s="884"/>
      <c r="I1" s="885"/>
      <c r="J1" s="877" t="s">
        <v>558</v>
      </c>
      <c r="K1" s="878"/>
      <c r="L1" s="864" t="s">
        <v>559</v>
      </c>
      <c r="M1" s="864" t="s">
        <v>560</v>
      </c>
    </row>
    <row r="2" spans="1:16" ht="26.25" customHeight="1" thickBot="1">
      <c r="A2" s="886" t="s">
        <v>483</v>
      </c>
      <c r="B2" s="886" t="s">
        <v>484</v>
      </c>
      <c r="C2" s="891" t="s">
        <v>533</v>
      </c>
      <c r="D2" s="879"/>
      <c r="E2" s="880"/>
      <c r="F2" s="881" t="s">
        <v>561</v>
      </c>
      <c r="G2" s="886" t="s">
        <v>562</v>
      </c>
      <c r="H2" s="888" t="s">
        <v>909</v>
      </c>
      <c r="I2" s="870" t="s">
        <v>563</v>
      </c>
      <c r="J2" s="879"/>
      <c r="K2" s="880"/>
      <c r="L2" s="873"/>
      <c r="M2" s="873"/>
      <c r="N2" s="73"/>
      <c r="O2" s="73"/>
      <c r="P2" s="73"/>
    </row>
    <row r="3" spans="1:16" ht="11.25" customHeight="1">
      <c r="A3" s="887"/>
      <c r="B3" s="887"/>
      <c r="C3" s="969"/>
      <c r="D3" s="253" t="s">
        <v>926</v>
      </c>
      <c r="E3" s="253" t="s">
        <v>927</v>
      </c>
      <c r="F3" s="882"/>
      <c r="G3" s="887"/>
      <c r="H3" s="889"/>
      <c r="I3" s="890"/>
      <c r="J3" s="253" t="s">
        <v>926</v>
      </c>
      <c r="K3" s="253" t="s">
        <v>927</v>
      </c>
      <c r="L3" s="873"/>
      <c r="M3" s="873"/>
      <c r="N3" s="73"/>
      <c r="O3" s="73"/>
      <c r="P3" s="73"/>
    </row>
    <row r="4" spans="1:16" ht="15" customHeight="1">
      <c r="A4" s="279">
        <v>2</v>
      </c>
      <c r="B4" s="279">
        <v>1</v>
      </c>
      <c r="C4" s="333" t="s">
        <v>902</v>
      </c>
      <c r="D4" s="278">
        <v>28</v>
      </c>
      <c r="E4" s="278"/>
      <c r="F4" s="334">
        <v>-4998</v>
      </c>
      <c r="G4" s="334"/>
      <c r="H4" s="335">
        <v>3961</v>
      </c>
      <c r="I4" s="334"/>
      <c r="J4" s="278">
        <v>17</v>
      </c>
      <c r="K4" s="278"/>
      <c r="L4" s="336"/>
      <c r="M4" s="336">
        <f aca="true" t="shared" si="0" ref="M4:M32">SUM(D4:L4)</f>
        <v>-992</v>
      </c>
      <c r="N4" s="73"/>
      <c r="O4" s="73"/>
      <c r="P4" s="73"/>
    </row>
    <row r="5" spans="1:13" s="75" customFormat="1" ht="15" customHeight="1">
      <c r="A5" s="337">
        <v>2</v>
      </c>
      <c r="B5" s="337">
        <v>2</v>
      </c>
      <c r="C5" s="333" t="s">
        <v>168</v>
      </c>
      <c r="D5" s="103">
        <v>-214839</v>
      </c>
      <c r="E5" s="103"/>
      <c r="F5" s="103">
        <v>-292434</v>
      </c>
      <c r="G5" s="103"/>
      <c r="H5" s="103">
        <v>-1374</v>
      </c>
      <c r="I5" s="103"/>
      <c r="J5" s="103"/>
      <c r="K5" s="103"/>
      <c r="L5" s="103">
        <v>-52232</v>
      </c>
      <c r="M5" s="338">
        <f t="shared" si="0"/>
        <v>-560879</v>
      </c>
    </row>
    <row r="6" spans="1:13" s="75" customFormat="1" ht="15" customHeight="1">
      <c r="A6" s="337">
        <v>2</v>
      </c>
      <c r="B6" s="337">
        <v>3</v>
      </c>
      <c r="C6" s="333" t="s">
        <v>87</v>
      </c>
      <c r="D6" s="103">
        <f aca="true" t="shared" si="1" ref="D6:L6">SUM(D7:D14)</f>
        <v>114565</v>
      </c>
      <c r="E6" s="103">
        <f t="shared" si="1"/>
        <v>375</v>
      </c>
      <c r="F6" s="103">
        <f t="shared" si="1"/>
        <v>721091</v>
      </c>
      <c r="G6" s="103">
        <f t="shared" si="1"/>
        <v>0</v>
      </c>
      <c r="H6" s="103">
        <f t="shared" si="1"/>
        <v>-2152</v>
      </c>
      <c r="I6" s="103">
        <f t="shared" si="1"/>
        <v>6131</v>
      </c>
      <c r="J6" s="103">
        <f t="shared" si="1"/>
        <v>0</v>
      </c>
      <c r="K6" s="103">
        <f t="shared" si="1"/>
        <v>0</v>
      </c>
      <c r="L6" s="103">
        <f t="shared" si="1"/>
        <v>6586</v>
      </c>
      <c r="M6" s="338">
        <f t="shared" si="0"/>
        <v>846596</v>
      </c>
    </row>
    <row r="7" spans="1:13" s="75" customFormat="1" ht="15" customHeight="1">
      <c r="A7" s="337"/>
      <c r="B7" s="339" t="s">
        <v>853</v>
      </c>
      <c r="C7" s="285" t="s">
        <v>169</v>
      </c>
      <c r="D7" s="281"/>
      <c r="E7" s="281"/>
      <c r="F7" s="281">
        <v>5240</v>
      </c>
      <c r="G7" s="281"/>
      <c r="H7" s="281"/>
      <c r="I7" s="281">
        <v>4143</v>
      </c>
      <c r="J7" s="281"/>
      <c r="K7" s="281"/>
      <c r="L7" s="281"/>
      <c r="M7" s="340">
        <f t="shared" si="0"/>
        <v>9383</v>
      </c>
    </row>
    <row r="8" spans="1:13" s="75" customFormat="1" ht="22.5" customHeight="1">
      <c r="A8" s="337"/>
      <c r="B8" s="339" t="s">
        <v>854</v>
      </c>
      <c r="C8" s="638" t="s">
        <v>170</v>
      </c>
      <c r="D8" s="281"/>
      <c r="E8" s="281"/>
      <c r="F8" s="281">
        <v>-98193</v>
      </c>
      <c r="G8" s="281"/>
      <c r="H8" s="281">
        <v>-3716</v>
      </c>
      <c r="I8" s="281"/>
      <c r="J8" s="281"/>
      <c r="K8" s="281"/>
      <c r="L8" s="281">
        <v>-3247</v>
      </c>
      <c r="M8" s="340">
        <f t="shared" si="0"/>
        <v>-105156</v>
      </c>
    </row>
    <row r="9" spans="1:13" s="75" customFormat="1" ht="15" customHeight="1">
      <c r="A9" s="337"/>
      <c r="B9" s="339" t="s">
        <v>876</v>
      </c>
      <c r="C9" s="285" t="s">
        <v>171</v>
      </c>
      <c r="D9" s="281">
        <v>2530</v>
      </c>
      <c r="E9" s="281"/>
      <c r="F9" s="281">
        <v>-2989</v>
      </c>
      <c r="G9" s="281"/>
      <c r="H9" s="281"/>
      <c r="I9" s="281"/>
      <c r="J9" s="281"/>
      <c r="K9" s="281"/>
      <c r="L9" s="281"/>
      <c r="M9" s="340">
        <f t="shared" si="0"/>
        <v>-459</v>
      </c>
    </row>
    <row r="10" spans="1:13" s="75" customFormat="1" ht="15" customHeight="1">
      <c r="A10" s="337"/>
      <c r="B10" s="339" t="s">
        <v>523</v>
      </c>
      <c r="C10" s="285" t="s">
        <v>172</v>
      </c>
      <c r="D10" s="281">
        <v>34391</v>
      </c>
      <c r="E10" s="281"/>
      <c r="F10" s="281">
        <v>197499</v>
      </c>
      <c r="G10" s="281"/>
      <c r="H10" s="281">
        <v>1214</v>
      </c>
      <c r="I10" s="281"/>
      <c r="J10" s="281"/>
      <c r="K10" s="281"/>
      <c r="L10" s="281">
        <v>2099</v>
      </c>
      <c r="M10" s="340">
        <f t="shared" si="0"/>
        <v>235203</v>
      </c>
    </row>
    <row r="11" spans="1:13" s="75" customFormat="1" ht="15" customHeight="1">
      <c r="A11" s="337"/>
      <c r="B11" s="339" t="s">
        <v>31</v>
      </c>
      <c r="C11" s="285" t="s">
        <v>173</v>
      </c>
      <c r="D11" s="281">
        <v>27284</v>
      </c>
      <c r="E11" s="281"/>
      <c r="F11" s="281">
        <v>198186</v>
      </c>
      <c r="G11" s="281"/>
      <c r="H11" s="281">
        <v>92</v>
      </c>
      <c r="I11" s="281">
        <v>1988</v>
      </c>
      <c r="J11" s="281"/>
      <c r="K11" s="281"/>
      <c r="L11" s="281">
        <v>2736</v>
      </c>
      <c r="M11" s="340">
        <f t="shared" si="0"/>
        <v>230286</v>
      </c>
    </row>
    <row r="12" spans="1:13" s="75" customFormat="1" ht="15" customHeight="1">
      <c r="A12" s="337"/>
      <c r="B12" s="339" t="s">
        <v>32</v>
      </c>
      <c r="C12" s="285" t="s">
        <v>174</v>
      </c>
      <c r="D12" s="281">
        <v>25452</v>
      </c>
      <c r="E12" s="281"/>
      <c r="F12" s="281">
        <v>178632</v>
      </c>
      <c r="G12" s="281"/>
      <c r="H12" s="281">
        <v>258</v>
      </c>
      <c r="I12" s="281"/>
      <c r="J12" s="281"/>
      <c r="K12" s="281"/>
      <c r="L12" s="281">
        <v>2592</v>
      </c>
      <c r="M12" s="340">
        <f t="shared" si="0"/>
        <v>206934</v>
      </c>
    </row>
    <row r="13" spans="1:13" s="75" customFormat="1" ht="15" customHeight="1">
      <c r="A13" s="337"/>
      <c r="B13" s="339" t="s">
        <v>33</v>
      </c>
      <c r="C13" s="285" t="s">
        <v>175</v>
      </c>
      <c r="D13" s="281">
        <v>24908</v>
      </c>
      <c r="E13" s="281"/>
      <c r="F13" s="281">
        <v>198641</v>
      </c>
      <c r="G13" s="281"/>
      <c r="H13" s="281"/>
      <c r="I13" s="281"/>
      <c r="J13" s="281"/>
      <c r="K13" s="281"/>
      <c r="L13" s="281">
        <v>2406</v>
      </c>
      <c r="M13" s="340">
        <f t="shared" si="0"/>
        <v>225955</v>
      </c>
    </row>
    <row r="14" spans="1:13" s="75" customFormat="1" ht="15" customHeight="1">
      <c r="A14" s="337"/>
      <c r="B14" s="339" t="s">
        <v>34</v>
      </c>
      <c r="C14" s="285" t="s">
        <v>176</v>
      </c>
      <c r="D14" s="281"/>
      <c r="E14" s="281">
        <v>375</v>
      </c>
      <c r="F14" s="281">
        <v>44075</v>
      </c>
      <c r="G14" s="281"/>
      <c r="H14" s="281"/>
      <c r="I14" s="281"/>
      <c r="J14" s="281"/>
      <c r="K14" s="281"/>
      <c r="L14" s="281"/>
      <c r="M14" s="340">
        <f t="shared" si="0"/>
        <v>44450</v>
      </c>
    </row>
    <row r="15" spans="1:13" s="75" customFormat="1" ht="10.5" customHeight="1">
      <c r="A15" s="337">
        <v>2</v>
      </c>
      <c r="B15" s="337">
        <v>4</v>
      </c>
      <c r="C15" s="252" t="s">
        <v>488</v>
      </c>
      <c r="D15" s="103">
        <f aca="true" t="shared" si="2" ref="D15:L15">SUM(D16:D20)</f>
        <v>-105750</v>
      </c>
      <c r="E15" s="103">
        <f t="shared" si="2"/>
        <v>0</v>
      </c>
      <c r="F15" s="103">
        <f t="shared" si="2"/>
        <v>-733660</v>
      </c>
      <c r="G15" s="103">
        <f t="shared" si="2"/>
        <v>0</v>
      </c>
      <c r="H15" s="103">
        <f t="shared" si="2"/>
        <v>-15970</v>
      </c>
      <c r="I15" s="103">
        <f t="shared" si="2"/>
        <v>0</v>
      </c>
      <c r="J15" s="103">
        <f t="shared" si="2"/>
        <v>0</v>
      </c>
      <c r="K15" s="103">
        <f t="shared" si="2"/>
        <v>0</v>
      </c>
      <c r="L15" s="103">
        <f t="shared" si="2"/>
        <v>-9833</v>
      </c>
      <c r="M15" s="338">
        <f t="shared" si="0"/>
        <v>-865213</v>
      </c>
    </row>
    <row r="16" spans="1:13" s="75" customFormat="1" ht="13.5" customHeight="1">
      <c r="A16" s="337"/>
      <c r="B16" s="339" t="s">
        <v>856</v>
      </c>
      <c r="C16" s="285" t="s">
        <v>177</v>
      </c>
      <c r="D16" s="281">
        <v>-32924</v>
      </c>
      <c r="E16" s="281"/>
      <c r="F16" s="281">
        <v>-185480</v>
      </c>
      <c r="G16" s="281"/>
      <c r="H16" s="281">
        <v>-5112</v>
      </c>
      <c r="I16" s="281"/>
      <c r="J16" s="281"/>
      <c r="K16" s="281"/>
      <c r="L16" s="281">
        <v>-2099</v>
      </c>
      <c r="M16" s="340">
        <f t="shared" si="0"/>
        <v>-225615</v>
      </c>
    </row>
    <row r="17" spans="1:13" s="75" customFormat="1" ht="13.5" customHeight="1">
      <c r="A17" s="337"/>
      <c r="B17" s="339" t="s">
        <v>857</v>
      </c>
      <c r="C17" s="285" t="s">
        <v>178</v>
      </c>
      <c r="D17" s="281">
        <v>-27284</v>
      </c>
      <c r="E17" s="281"/>
      <c r="F17" s="281">
        <v>-190349</v>
      </c>
      <c r="G17" s="281"/>
      <c r="H17" s="281">
        <v>-4141</v>
      </c>
      <c r="I17" s="281"/>
      <c r="J17" s="281"/>
      <c r="K17" s="281"/>
      <c r="L17" s="281">
        <v>-2736</v>
      </c>
      <c r="M17" s="340">
        <f t="shared" si="0"/>
        <v>-224510</v>
      </c>
    </row>
    <row r="18" spans="1:13" s="75" customFormat="1" ht="13.5" customHeight="1">
      <c r="A18" s="337"/>
      <c r="B18" s="339" t="s">
        <v>858</v>
      </c>
      <c r="C18" s="285" t="s">
        <v>179</v>
      </c>
      <c r="D18" s="281">
        <v>-20986</v>
      </c>
      <c r="E18" s="281"/>
      <c r="F18" s="281">
        <v>-156040</v>
      </c>
      <c r="G18" s="281"/>
      <c r="H18" s="281">
        <v>-2910</v>
      </c>
      <c r="I18" s="281"/>
      <c r="J18" s="281"/>
      <c r="K18" s="281"/>
      <c r="L18" s="281">
        <v>-2592</v>
      </c>
      <c r="M18" s="340">
        <f t="shared" si="0"/>
        <v>-182528</v>
      </c>
    </row>
    <row r="19" spans="1:13" s="75" customFormat="1" ht="13.5" customHeight="1">
      <c r="A19" s="337"/>
      <c r="B19" s="339" t="s">
        <v>859</v>
      </c>
      <c r="C19" s="285" t="s">
        <v>175</v>
      </c>
      <c r="D19" s="281">
        <v>-24908</v>
      </c>
      <c r="E19" s="281"/>
      <c r="F19" s="281">
        <v>-193941</v>
      </c>
      <c r="G19" s="281"/>
      <c r="H19" s="281">
        <v>-3807</v>
      </c>
      <c r="I19" s="281"/>
      <c r="J19" s="281"/>
      <c r="K19" s="281"/>
      <c r="L19" s="281">
        <v>-2406</v>
      </c>
      <c r="M19" s="340">
        <f t="shared" si="0"/>
        <v>-225062</v>
      </c>
    </row>
    <row r="20" spans="1:13" s="75" customFormat="1" ht="13.5" customHeight="1">
      <c r="A20" s="337"/>
      <c r="B20" s="339" t="s">
        <v>860</v>
      </c>
      <c r="C20" s="285" t="s">
        <v>163</v>
      </c>
      <c r="D20" s="281">
        <v>352</v>
      </c>
      <c r="E20" s="281"/>
      <c r="F20" s="281">
        <v>-7850</v>
      </c>
      <c r="G20" s="281"/>
      <c r="H20" s="281"/>
      <c r="I20" s="281"/>
      <c r="J20" s="281"/>
      <c r="K20" s="281"/>
      <c r="L20" s="281"/>
      <c r="M20" s="340">
        <f t="shared" si="0"/>
        <v>-7498</v>
      </c>
    </row>
    <row r="21" spans="1:13" s="75" customFormat="1" ht="15" customHeight="1">
      <c r="A21" s="341">
        <v>2</v>
      </c>
      <c r="B21" s="341">
        <v>5</v>
      </c>
      <c r="C21" s="252" t="s">
        <v>564</v>
      </c>
      <c r="D21" s="103">
        <v>-8473</v>
      </c>
      <c r="E21" s="103"/>
      <c r="F21" s="103">
        <v>-7516</v>
      </c>
      <c r="G21" s="103"/>
      <c r="H21" s="103">
        <v>-22107</v>
      </c>
      <c r="I21" s="103">
        <v>154</v>
      </c>
      <c r="J21" s="103"/>
      <c r="K21" s="103">
        <v>-800</v>
      </c>
      <c r="L21" s="103"/>
      <c r="M21" s="338">
        <f t="shared" si="0"/>
        <v>-38742</v>
      </c>
    </row>
    <row r="22" spans="1:13" s="75" customFormat="1" ht="15" customHeight="1">
      <c r="A22" s="341">
        <v>2</v>
      </c>
      <c r="B22" s="341">
        <v>6</v>
      </c>
      <c r="C22" s="252" t="s">
        <v>565</v>
      </c>
      <c r="D22" s="103">
        <v>-6482</v>
      </c>
      <c r="E22" s="103"/>
      <c r="F22" s="103">
        <v>-26092</v>
      </c>
      <c r="G22" s="103"/>
      <c r="H22" s="103">
        <v>-1370</v>
      </c>
      <c r="I22" s="103"/>
      <c r="J22" s="103"/>
      <c r="K22" s="103"/>
      <c r="L22" s="103"/>
      <c r="M22" s="338">
        <f t="shared" si="0"/>
        <v>-33944</v>
      </c>
    </row>
    <row r="23" spans="1:13" s="75" customFormat="1" ht="24" customHeight="1">
      <c r="A23" s="341">
        <v>2</v>
      </c>
      <c r="B23" s="341">
        <v>7</v>
      </c>
      <c r="C23" s="580" t="s">
        <v>182</v>
      </c>
      <c r="D23" s="103">
        <v>9022</v>
      </c>
      <c r="E23" s="103"/>
      <c r="F23" s="103">
        <v>10015</v>
      </c>
      <c r="G23" s="103"/>
      <c r="H23" s="103">
        <v>29424</v>
      </c>
      <c r="I23" s="103">
        <v>5453</v>
      </c>
      <c r="J23" s="103"/>
      <c r="K23" s="103">
        <v>800</v>
      </c>
      <c r="L23" s="103"/>
      <c r="M23" s="338">
        <f t="shared" si="0"/>
        <v>54714</v>
      </c>
    </row>
    <row r="24" spans="1:13" s="75" customFormat="1" ht="15" customHeight="1">
      <c r="A24" s="267">
        <v>2</v>
      </c>
      <c r="B24" s="267">
        <v>8</v>
      </c>
      <c r="C24" s="133" t="s">
        <v>566</v>
      </c>
      <c r="D24" s="103">
        <f aca="true" t="shared" si="3" ref="D24:L24">SUM(D25:D26)</f>
        <v>0</v>
      </c>
      <c r="E24" s="103">
        <f t="shared" si="3"/>
        <v>2100</v>
      </c>
      <c r="F24" s="103">
        <f t="shared" si="3"/>
        <v>2338</v>
      </c>
      <c r="G24" s="103">
        <f t="shared" si="3"/>
        <v>0</v>
      </c>
      <c r="H24" s="103">
        <f t="shared" si="3"/>
        <v>16404</v>
      </c>
      <c r="I24" s="103">
        <f t="shared" si="3"/>
        <v>0</v>
      </c>
      <c r="J24" s="103">
        <f t="shared" si="3"/>
        <v>0</v>
      </c>
      <c r="K24" s="103">
        <f t="shared" si="3"/>
        <v>0</v>
      </c>
      <c r="L24" s="103">
        <f t="shared" si="3"/>
        <v>0</v>
      </c>
      <c r="M24" s="342">
        <f t="shared" si="0"/>
        <v>20842</v>
      </c>
    </row>
    <row r="25" spans="1:13" s="75" customFormat="1" ht="15" customHeight="1">
      <c r="A25" s="267"/>
      <c r="B25" s="266" t="s">
        <v>567</v>
      </c>
      <c r="C25" s="285" t="s">
        <v>180</v>
      </c>
      <c r="D25" s="281"/>
      <c r="E25" s="281"/>
      <c r="F25" s="281">
        <v>2193</v>
      </c>
      <c r="G25" s="281"/>
      <c r="H25" s="281">
        <v>16404</v>
      </c>
      <c r="I25" s="281"/>
      <c r="J25" s="281"/>
      <c r="K25" s="281"/>
      <c r="L25" s="281"/>
      <c r="M25" s="340">
        <f t="shared" si="0"/>
        <v>18597</v>
      </c>
    </row>
    <row r="26" spans="1:13" s="75" customFormat="1" ht="15" customHeight="1">
      <c r="A26" s="267"/>
      <c r="B26" s="266" t="s">
        <v>568</v>
      </c>
      <c r="C26" s="285" t="s">
        <v>181</v>
      </c>
      <c r="D26" s="281"/>
      <c r="E26" s="281">
        <v>2100</v>
      </c>
      <c r="F26" s="281">
        <v>145</v>
      </c>
      <c r="G26" s="281"/>
      <c r="H26" s="281"/>
      <c r="I26" s="281"/>
      <c r="J26" s="281"/>
      <c r="K26" s="281"/>
      <c r="L26" s="281"/>
      <c r="M26" s="340">
        <f t="shared" si="0"/>
        <v>2245</v>
      </c>
    </row>
    <row r="27" spans="1:13" s="75" customFormat="1" ht="15" customHeight="1">
      <c r="A27" s="267">
        <v>2</v>
      </c>
      <c r="B27" s="267">
        <v>9</v>
      </c>
      <c r="C27" s="102" t="s">
        <v>569</v>
      </c>
      <c r="D27" s="103"/>
      <c r="E27" s="103">
        <v>150</v>
      </c>
      <c r="F27" s="103">
        <v>3673</v>
      </c>
      <c r="G27" s="103"/>
      <c r="H27" s="103">
        <v>6582</v>
      </c>
      <c r="I27" s="103"/>
      <c r="J27" s="103"/>
      <c r="K27" s="103"/>
      <c r="L27" s="103"/>
      <c r="M27" s="338">
        <f t="shared" si="0"/>
        <v>10405</v>
      </c>
    </row>
    <row r="28" spans="1:13" s="75" customFormat="1" ht="15" customHeight="1">
      <c r="A28" s="267">
        <v>2</v>
      </c>
      <c r="B28" s="267">
        <v>10</v>
      </c>
      <c r="C28" s="102" t="s">
        <v>570</v>
      </c>
      <c r="D28" s="103"/>
      <c r="E28" s="103"/>
      <c r="F28" s="103">
        <v>-1346</v>
      </c>
      <c r="G28" s="103"/>
      <c r="H28" s="103">
        <v>58654</v>
      </c>
      <c r="I28" s="103">
        <v>26112</v>
      </c>
      <c r="J28" s="103">
        <v>14100</v>
      </c>
      <c r="K28" s="103"/>
      <c r="L28" s="103"/>
      <c r="M28" s="338">
        <f t="shared" si="0"/>
        <v>97520</v>
      </c>
    </row>
    <row r="29" spans="1:13" s="75" customFormat="1" ht="15" customHeight="1">
      <c r="A29" s="267">
        <v>2</v>
      </c>
      <c r="B29" s="267">
        <v>11</v>
      </c>
      <c r="C29" s="102" t="s">
        <v>575</v>
      </c>
      <c r="D29" s="103"/>
      <c r="E29" s="103">
        <v>200</v>
      </c>
      <c r="F29" s="103">
        <v>1917</v>
      </c>
      <c r="G29" s="103"/>
      <c r="H29" s="103">
        <v>1000</v>
      </c>
      <c r="I29" s="103"/>
      <c r="J29" s="103"/>
      <c r="K29" s="103"/>
      <c r="L29" s="103"/>
      <c r="M29" s="350">
        <f t="shared" si="0"/>
        <v>3117</v>
      </c>
    </row>
    <row r="30" spans="1:13" s="75" customFormat="1" ht="15" customHeight="1">
      <c r="A30" s="267">
        <v>2</v>
      </c>
      <c r="B30" s="267">
        <v>12</v>
      </c>
      <c r="C30" s="102" t="s">
        <v>574</v>
      </c>
      <c r="D30" s="103"/>
      <c r="E30" s="103"/>
      <c r="F30" s="103">
        <v>410</v>
      </c>
      <c r="G30" s="103"/>
      <c r="H30" s="103"/>
      <c r="I30" s="103"/>
      <c r="J30" s="103"/>
      <c r="K30" s="103"/>
      <c r="L30" s="103"/>
      <c r="M30" s="350">
        <f t="shared" si="0"/>
        <v>410</v>
      </c>
    </row>
    <row r="31" spans="1:13" s="75" customFormat="1" ht="15" customHeight="1">
      <c r="A31" s="267">
        <v>2</v>
      </c>
      <c r="B31" s="267">
        <v>13</v>
      </c>
      <c r="C31" s="102" t="s">
        <v>571</v>
      </c>
      <c r="D31" s="103">
        <v>2250</v>
      </c>
      <c r="E31" s="103"/>
      <c r="F31" s="103">
        <v>244</v>
      </c>
      <c r="G31" s="103"/>
      <c r="H31" s="103"/>
      <c r="I31" s="103"/>
      <c r="J31" s="103"/>
      <c r="K31" s="103"/>
      <c r="L31" s="103"/>
      <c r="M31" s="338">
        <f t="shared" si="0"/>
        <v>2494</v>
      </c>
    </row>
    <row r="32" spans="1:13" s="75" customFormat="1" ht="15" customHeight="1">
      <c r="A32" s="267">
        <v>2</v>
      </c>
      <c r="B32" s="267">
        <v>14</v>
      </c>
      <c r="C32" s="102" t="s">
        <v>489</v>
      </c>
      <c r="D32" s="103"/>
      <c r="E32" s="103"/>
      <c r="F32" s="103">
        <v>149</v>
      </c>
      <c r="G32" s="103"/>
      <c r="H32" s="103"/>
      <c r="I32" s="103"/>
      <c r="J32" s="103"/>
      <c r="K32" s="103">
        <v>200</v>
      </c>
      <c r="L32" s="103"/>
      <c r="M32" s="338">
        <f t="shared" si="0"/>
        <v>349</v>
      </c>
    </row>
    <row r="33" spans="1:13" s="75" customFormat="1" ht="15" customHeight="1">
      <c r="A33" s="104"/>
      <c r="B33" s="104"/>
      <c r="C33" s="105" t="s">
        <v>534</v>
      </c>
      <c r="D33" s="157">
        <f>SUM(D4+D5+D6+D15+D21+D22+D23+D24+D27+D28+D29+D30+D31+D32)</f>
        <v>-209679</v>
      </c>
      <c r="E33" s="157">
        <f aca="true" t="shared" si="4" ref="E33:M33">SUM(E4+E5+E6+E15+E21+E22+E23+E24+E27+E28+E29+E30+E31+E32)</f>
        <v>2825</v>
      </c>
      <c r="F33" s="157">
        <f t="shared" si="4"/>
        <v>-326209</v>
      </c>
      <c r="G33" s="157">
        <f t="shared" si="4"/>
        <v>0</v>
      </c>
      <c r="H33" s="157">
        <f t="shared" si="4"/>
        <v>73052</v>
      </c>
      <c r="I33" s="157">
        <f t="shared" si="4"/>
        <v>37850</v>
      </c>
      <c r="J33" s="157">
        <f t="shared" si="4"/>
        <v>14117</v>
      </c>
      <c r="K33" s="157">
        <f t="shared" si="4"/>
        <v>200</v>
      </c>
      <c r="L33" s="157">
        <f t="shared" si="4"/>
        <v>-55479</v>
      </c>
      <c r="M33" s="157">
        <f t="shared" si="4"/>
        <v>-463323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2">
    <mergeCell ref="G2:G3"/>
    <mergeCell ref="H2:H3"/>
    <mergeCell ref="L1:L3"/>
    <mergeCell ref="I2:I3"/>
    <mergeCell ref="M1:M3"/>
    <mergeCell ref="A2:A3"/>
    <mergeCell ref="B2:B3"/>
    <mergeCell ref="J1:K2"/>
    <mergeCell ref="C2:C3"/>
    <mergeCell ref="D1:E2"/>
    <mergeCell ref="F2:F3"/>
    <mergeCell ref="G1:I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2013. ÉVI  BEVÉTELI ELŐIRÁNYZATAINAK MÓDOSÍTÁSA A III. NEGYEDÉVBEN&amp;R&amp;"Times New Roman,Dőlt"&amp;9
 1. számú tájékoztató tábla
Adatok eFt-ban
</oddHeader>
    <oddFooter>&amp;C 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D31" sqref="D31"/>
    </sheetView>
  </sheetViews>
  <sheetFormatPr defaultColWidth="9.00390625" defaultRowHeight="12.75"/>
  <cols>
    <col min="1" max="1" width="4.875" style="77" customWidth="1"/>
    <col min="2" max="2" width="6.375" style="77" customWidth="1"/>
    <col min="3" max="3" width="44.50390625" style="74" customWidth="1"/>
    <col min="4" max="4" width="11.125" style="74" customWidth="1"/>
    <col min="5" max="5" width="12.125" style="74" customWidth="1"/>
    <col min="6" max="6" width="11.125" style="74" customWidth="1"/>
    <col min="7" max="8" width="12.875" style="74" customWidth="1"/>
    <col min="9" max="9" width="10.625" style="74" customWidth="1"/>
    <col min="10" max="11" width="11.375" style="74" customWidth="1"/>
    <col min="12" max="12" width="12.625" style="74" customWidth="1"/>
    <col min="13" max="16384" width="9.375" style="74" customWidth="1"/>
  </cols>
  <sheetData>
    <row r="1" spans="1:12" ht="11.25" customHeight="1" thickBot="1">
      <c r="A1" s="891" t="s">
        <v>483</v>
      </c>
      <c r="B1" s="891" t="s">
        <v>484</v>
      </c>
      <c r="C1" s="891" t="s">
        <v>533</v>
      </c>
      <c r="D1" s="974" t="s">
        <v>69</v>
      </c>
      <c r="E1" s="974"/>
      <c r="F1" s="974"/>
      <c r="G1" s="974"/>
      <c r="H1" s="974"/>
      <c r="I1" s="970" t="s">
        <v>75</v>
      </c>
      <c r="J1" s="970"/>
      <c r="K1" s="970"/>
      <c r="L1" s="971" t="s">
        <v>487</v>
      </c>
    </row>
    <row r="2" spans="1:15" ht="35.25" customHeight="1" thickBot="1">
      <c r="A2" s="892"/>
      <c r="B2" s="973"/>
      <c r="C2" s="972"/>
      <c r="D2" s="536" t="s">
        <v>572</v>
      </c>
      <c r="E2" s="536" t="s">
        <v>485</v>
      </c>
      <c r="F2" s="536" t="s">
        <v>486</v>
      </c>
      <c r="G2" s="535" t="s">
        <v>73</v>
      </c>
      <c r="H2" s="537" t="s">
        <v>932</v>
      </c>
      <c r="I2" s="536" t="s">
        <v>76</v>
      </c>
      <c r="J2" s="536" t="s">
        <v>77</v>
      </c>
      <c r="K2" s="536" t="s">
        <v>78</v>
      </c>
      <c r="L2" s="972"/>
      <c r="M2" s="73"/>
      <c r="N2" s="73"/>
      <c r="O2" s="73"/>
    </row>
    <row r="3" spans="1:15" ht="13.5" customHeight="1">
      <c r="A3" s="345">
        <v>2</v>
      </c>
      <c r="B3" s="345">
        <v>1</v>
      </c>
      <c r="C3" s="538" t="s">
        <v>902</v>
      </c>
      <c r="D3" s="539">
        <v>4267</v>
      </c>
      <c r="E3" s="539">
        <v>-1138</v>
      </c>
      <c r="F3" s="539">
        <v>539</v>
      </c>
      <c r="G3" s="539">
        <v>13</v>
      </c>
      <c r="H3" s="539"/>
      <c r="I3" s="539">
        <v>-1919</v>
      </c>
      <c r="J3" s="539">
        <v>-2754</v>
      </c>
      <c r="K3" s="539"/>
      <c r="L3" s="539">
        <f>SUM(D3:K3)</f>
        <v>-992</v>
      </c>
      <c r="M3" s="73"/>
      <c r="N3" s="73"/>
      <c r="O3" s="73"/>
    </row>
    <row r="4" spans="1:15" ht="12.75" customHeight="1">
      <c r="A4" s="345">
        <v>2</v>
      </c>
      <c r="B4" s="345">
        <v>2</v>
      </c>
      <c r="C4" s="333" t="s">
        <v>168</v>
      </c>
      <c r="D4" s="344">
        <v>-276087</v>
      </c>
      <c r="E4" s="344">
        <v>-73289</v>
      </c>
      <c r="F4" s="344">
        <v>-205352</v>
      </c>
      <c r="G4" s="344">
        <v>-74</v>
      </c>
      <c r="H4" s="344"/>
      <c r="I4" s="344">
        <v>-6077</v>
      </c>
      <c r="J4" s="344"/>
      <c r="K4" s="344"/>
      <c r="L4" s="344">
        <f aca="true" t="shared" si="0" ref="L4:L31">SUM(D4:K4)</f>
        <v>-560879</v>
      </c>
      <c r="M4" s="73"/>
      <c r="N4" s="73"/>
      <c r="O4" s="73"/>
    </row>
    <row r="5" spans="1:15" ht="14.25" customHeight="1">
      <c r="A5" s="345">
        <v>2</v>
      </c>
      <c r="B5" s="345">
        <v>3</v>
      </c>
      <c r="C5" s="343" t="s">
        <v>87</v>
      </c>
      <c r="D5" s="344">
        <f>SUM(D6:D13)</f>
        <v>462596</v>
      </c>
      <c r="E5" s="344">
        <f aca="true" t="shared" si="1" ref="E5:K5">SUM(E6:E13)</f>
        <v>99057</v>
      </c>
      <c r="F5" s="344">
        <f t="shared" si="1"/>
        <v>280202</v>
      </c>
      <c r="G5" s="344">
        <f t="shared" si="1"/>
        <v>-1770</v>
      </c>
      <c r="H5" s="344">
        <f t="shared" si="1"/>
        <v>0</v>
      </c>
      <c r="I5" s="344">
        <f t="shared" si="1"/>
        <v>2488</v>
      </c>
      <c r="J5" s="344">
        <f t="shared" si="1"/>
        <v>4023</v>
      </c>
      <c r="K5" s="344">
        <f t="shared" si="1"/>
        <v>0</v>
      </c>
      <c r="L5" s="344">
        <f t="shared" si="0"/>
        <v>846596</v>
      </c>
      <c r="M5" s="73"/>
      <c r="N5" s="73"/>
      <c r="O5" s="73"/>
    </row>
    <row r="6" spans="1:15" ht="14.25" customHeight="1">
      <c r="A6" s="345"/>
      <c r="B6" s="339" t="s">
        <v>853</v>
      </c>
      <c r="C6" s="285" t="s">
        <v>1068</v>
      </c>
      <c r="D6" s="347">
        <v>6717</v>
      </c>
      <c r="E6" s="347">
        <v>-2918</v>
      </c>
      <c r="F6" s="347">
        <v>1297</v>
      </c>
      <c r="G6" s="347">
        <v>44</v>
      </c>
      <c r="H6" s="347"/>
      <c r="I6" s="347"/>
      <c r="J6" s="347">
        <v>4243</v>
      </c>
      <c r="K6" s="347"/>
      <c r="L6" s="347">
        <f t="shared" si="0"/>
        <v>9383</v>
      </c>
      <c r="M6" s="73"/>
      <c r="N6" s="73"/>
      <c r="O6" s="73"/>
    </row>
    <row r="7" spans="1:15" ht="22.5" customHeight="1">
      <c r="A7" s="345"/>
      <c r="B7" s="339" t="s">
        <v>854</v>
      </c>
      <c r="C7" s="638" t="s">
        <v>170</v>
      </c>
      <c r="D7" s="347">
        <v>-69899</v>
      </c>
      <c r="E7" s="347">
        <v>-18534</v>
      </c>
      <c r="F7" s="347">
        <v>-12003</v>
      </c>
      <c r="G7" s="347">
        <v>-2000</v>
      </c>
      <c r="H7" s="347"/>
      <c r="I7" s="347"/>
      <c r="J7" s="347">
        <v>-2720</v>
      </c>
      <c r="K7" s="347"/>
      <c r="L7" s="347">
        <f t="shared" si="0"/>
        <v>-105156</v>
      </c>
      <c r="M7" s="73"/>
      <c r="N7" s="73"/>
      <c r="O7" s="73"/>
    </row>
    <row r="8" spans="1:15" ht="14.25" customHeight="1">
      <c r="A8" s="345"/>
      <c r="B8" s="339" t="s">
        <v>876</v>
      </c>
      <c r="C8" s="285" t="s">
        <v>171</v>
      </c>
      <c r="D8" s="347">
        <v>1391</v>
      </c>
      <c r="E8" s="347">
        <v>-880</v>
      </c>
      <c r="F8" s="347">
        <v>-970</v>
      </c>
      <c r="G8" s="347"/>
      <c r="H8" s="347"/>
      <c r="I8" s="347"/>
      <c r="J8" s="347"/>
      <c r="K8" s="347"/>
      <c r="L8" s="347">
        <f t="shared" si="0"/>
        <v>-459</v>
      </c>
      <c r="M8" s="73"/>
      <c r="N8" s="73"/>
      <c r="O8" s="73"/>
    </row>
    <row r="9" spans="1:15" ht="14.25" customHeight="1">
      <c r="A9" s="345"/>
      <c r="B9" s="339" t="s">
        <v>523</v>
      </c>
      <c r="C9" s="285" t="s">
        <v>172</v>
      </c>
      <c r="D9" s="347">
        <v>133913</v>
      </c>
      <c r="E9" s="347">
        <v>34472</v>
      </c>
      <c r="F9" s="347">
        <v>66810</v>
      </c>
      <c r="G9" s="347">
        <v>8</v>
      </c>
      <c r="H9" s="347"/>
      <c r="I9" s="347"/>
      <c r="J9" s="347"/>
      <c r="K9" s="347"/>
      <c r="L9" s="347">
        <f t="shared" si="0"/>
        <v>235203</v>
      </c>
      <c r="M9" s="73"/>
      <c r="N9" s="73"/>
      <c r="O9" s="73"/>
    </row>
    <row r="10" spans="1:15" ht="14.25" customHeight="1">
      <c r="A10" s="345"/>
      <c r="B10" s="339" t="s">
        <v>31</v>
      </c>
      <c r="C10" s="285" t="s">
        <v>173</v>
      </c>
      <c r="D10" s="347">
        <v>134457</v>
      </c>
      <c r="E10" s="347">
        <v>33638</v>
      </c>
      <c r="F10" s="347">
        <v>60025</v>
      </c>
      <c r="G10" s="347">
        <v>178</v>
      </c>
      <c r="H10" s="347"/>
      <c r="I10" s="347">
        <v>1988</v>
      </c>
      <c r="J10" s="347"/>
      <c r="K10" s="347"/>
      <c r="L10" s="347">
        <f t="shared" si="0"/>
        <v>230286</v>
      </c>
      <c r="M10" s="73"/>
      <c r="N10" s="73"/>
      <c r="O10" s="73"/>
    </row>
    <row r="11" spans="1:15" ht="14.25" customHeight="1">
      <c r="A11" s="345"/>
      <c r="B11" s="339" t="s">
        <v>32</v>
      </c>
      <c r="C11" s="285" t="s">
        <v>174</v>
      </c>
      <c r="D11" s="347">
        <v>118120</v>
      </c>
      <c r="E11" s="347">
        <v>30091</v>
      </c>
      <c r="F11" s="347">
        <v>58723</v>
      </c>
      <c r="G11" s="347"/>
      <c r="H11" s="347"/>
      <c r="I11" s="347"/>
      <c r="J11" s="347"/>
      <c r="K11" s="347"/>
      <c r="L11" s="347">
        <f t="shared" si="0"/>
        <v>206934</v>
      </c>
      <c r="M11" s="73"/>
      <c r="N11" s="73"/>
      <c r="O11" s="73"/>
    </row>
    <row r="12" spans="1:15" ht="14.25" customHeight="1">
      <c r="A12" s="345"/>
      <c r="B12" s="339" t="s">
        <v>33</v>
      </c>
      <c r="C12" s="285" t="s">
        <v>175</v>
      </c>
      <c r="D12" s="347">
        <v>130366</v>
      </c>
      <c r="E12" s="347">
        <v>33345</v>
      </c>
      <c r="F12" s="347">
        <v>61744</v>
      </c>
      <c r="G12" s="347"/>
      <c r="H12" s="347"/>
      <c r="I12" s="347">
        <v>500</v>
      </c>
      <c r="J12" s="347"/>
      <c r="K12" s="347"/>
      <c r="L12" s="347">
        <f t="shared" si="0"/>
        <v>225955</v>
      </c>
      <c r="M12" s="73"/>
      <c r="N12" s="73"/>
      <c r="O12" s="73"/>
    </row>
    <row r="13" spans="1:15" ht="12.75" customHeight="1">
      <c r="A13" s="345"/>
      <c r="B13" s="339" t="s">
        <v>34</v>
      </c>
      <c r="C13" s="285" t="s">
        <v>176</v>
      </c>
      <c r="D13" s="347">
        <v>7531</v>
      </c>
      <c r="E13" s="347">
        <v>-10157</v>
      </c>
      <c r="F13" s="347">
        <v>44576</v>
      </c>
      <c r="G13" s="347"/>
      <c r="H13" s="347"/>
      <c r="I13" s="347"/>
      <c r="J13" s="347">
        <v>2500</v>
      </c>
      <c r="K13" s="347"/>
      <c r="L13" s="347">
        <f t="shared" si="0"/>
        <v>44450</v>
      </c>
      <c r="M13" s="73"/>
      <c r="N13" s="73"/>
      <c r="O13" s="73"/>
    </row>
    <row r="14" spans="1:15" ht="14.25" customHeight="1">
      <c r="A14" s="345">
        <v>2</v>
      </c>
      <c r="B14" s="345">
        <v>4</v>
      </c>
      <c r="C14" s="252" t="s">
        <v>488</v>
      </c>
      <c r="D14" s="344">
        <f aca="true" t="shared" si="2" ref="D14:K14">SUM(D15:D19)</f>
        <v>-497233</v>
      </c>
      <c r="E14" s="344">
        <f t="shared" si="2"/>
        <v>-130406</v>
      </c>
      <c r="F14" s="344">
        <f t="shared" si="2"/>
        <v>-238865</v>
      </c>
      <c r="G14" s="344">
        <f t="shared" si="2"/>
        <v>1791</v>
      </c>
      <c r="H14" s="344">
        <f t="shared" si="2"/>
        <v>0</v>
      </c>
      <c r="I14" s="344">
        <f t="shared" si="2"/>
        <v>-500</v>
      </c>
      <c r="J14" s="344">
        <f t="shared" si="2"/>
        <v>0</v>
      </c>
      <c r="K14" s="344">
        <f t="shared" si="2"/>
        <v>0</v>
      </c>
      <c r="L14" s="344">
        <f t="shared" si="0"/>
        <v>-865213</v>
      </c>
      <c r="M14" s="73"/>
      <c r="N14" s="73"/>
      <c r="O14" s="73"/>
    </row>
    <row r="15" spans="1:15" ht="13.5" customHeight="1">
      <c r="A15" s="345"/>
      <c r="B15" s="346" t="s">
        <v>856</v>
      </c>
      <c r="C15" s="285" t="s">
        <v>177</v>
      </c>
      <c r="D15" s="347">
        <v>-128103</v>
      </c>
      <c r="E15" s="347">
        <v>-33699</v>
      </c>
      <c r="F15" s="347">
        <v>-63805</v>
      </c>
      <c r="G15" s="347">
        <v>-8</v>
      </c>
      <c r="H15" s="347"/>
      <c r="I15" s="347"/>
      <c r="J15" s="347"/>
      <c r="K15" s="347"/>
      <c r="L15" s="347">
        <f t="shared" si="0"/>
        <v>-225615</v>
      </c>
      <c r="M15" s="73"/>
      <c r="N15" s="73"/>
      <c r="O15" s="73"/>
    </row>
    <row r="16" spans="1:15" ht="13.5" customHeight="1">
      <c r="A16" s="345"/>
      <c r="B16" s="346" t="s">
        <v>857</v>
      </c>
      <c r="C16" s="285" t="s">
        <v>178</v>
      </c>
      <c r="D16" s="347">
        <v>-130425</v>
      </c>
      <c r="E16" s="347">
        <v>-33972</v>
      </c>
      <c r="F16" s="347">
        <v>-59935</v>
      </c>
      <c r="G16" s="347">
        <v>-178</v>
      </c>
      <c r="H16" s="347"/>
      <c r="I16" s="347"/>
      <c r="J16" s="347"/>
      <c r="K16" s="347"/>
      <c r="L16" s="347">
        <f t="shared" si="0"/>
        <v>-224510</v>
      </c>
      <c r="M16" s="73"/>
      <c r="N16" s="73"/>
      <c r="O16" s="73"/>
    </row>
    <row r="17" spans="1:15" ht="13.5" customHeight="1">
      <c r="A17" s="345"/>
      <c r="B17" s="346" t="s">
        <v>858</v>
      </c>
      <c r="C17" s="285" t="s">
        <v>179</v>
      </c>
      <c r="D17" s="347">
        <v>-104023</v>
      </c>
      <c r="E17" s="347">
        <v>-27228</v>
      </c>
      <c r="F17" s="347">
        <v>-51277</v>
      </c>
      <c r="G17" s="347"/>
      <c r="H17" s="347"/>
      <c r="I17" s="347"/>
      <c r="J17" s="347"/>
      <c r="K17" s="347"/>
      <c r="L17" s="347">
        <f t="shared" si="0"/>
        <v>-182528</v>
      </c>
      <c r="M17" s="73"/>
      <c r="N17" s="73"/>
      <c r="O17" s="73"/>
    </row>
    <row r="18" spans="1:15" ht="13.5" customHeight="1">
      <c r="A18" s="345"/>
      <c r="B18" s="346" t="s">
        <v>859</v>
      </c>
      <c r="C18" s="285" t="s">
        <v>175</v>
      </c>
      <c r="D18" s="347">
        <v>-129344</v>
      </c>
      <c r="E18" s="347">
        <v>-33679</v>
      </c>
      <c r="F18" s="347">
        <v>-61539</v>
      </c>
      <c r="G18" s="347"/>
      <c r="H18" s="347"/>
      <c r="I18" s="347">
        <v>-500</v>
      </c>
      <c r="J18" s="347"/>
      <c r="K18" s="347"/>
      <c r="L18" s="347">
        <f t="shared" si="0"/>
        <v>-225062</v>
      </c>
      <c r="M18" s="73"/>
      <c r="N18" s="73"/>
      <c r="O18" s="73"/>
    </row>
    <row r="19" spans="1:15" ht="13.5" customHeight="1">
      <c r="A19" s="345"/>
      <c r="B19" s="346" t="s">
        <v>860</v>
      </c>
      <c r="C19" s="285" t="s">
        <v>163</v>
      </c>
      <c r="D19" s="347">
        <v>-5338</v>
      </c>
      <c r="E19" s="347">
        <v>-1828</v>
      </c>
      <c r="F19" s="347">
        <v>-2309</v>
      </c>
      <c r="G19" s="347">
        <v>1977</v>
      </c>
      <c r="H19" s="347"/>
      <c r="I19" s="347"/>
      <c r="J19" s="347"/>
      <c r="K19" s="347"/>
      <c r="L19" s="347">
        <f t="shared" si="0"/>
        <v>-7498</v>
      </c>
      <c r="M19" s="73"/>
      <c r="N19" s="73"/>
      <c r="O19" s="73"/>
    </row>
    <row r="20" spans="1:15" ht="14.25" customHeight="1">
      <c r="A20" s="345">
        <v>2</v>
      </c>
      <c r="B20" s="345">
        <v>5</v>
      </c>
      <c r="C20" s="252" t="s">
        <v>564</v>
      </c>
      <c r="D20" s="344">
        <v>-13186</v>
      </c>
      <c r="E20" s="344">
        <v>-3967</v>
      </c>
      <c r="F20" s="344">
        <v>-24643</v>
      </c>
      <c r="G20" s="344">
        <v>531</v>
      </c>
      <c r="H20" s="344">
        <v>158</v>
      </c>
      <c r="I20" s="344">
        <v>2341</v>
      </c>
      <c r="J20" s="344">
        <v>-419</v>
      </c>
      <c r="K20" s="344">
        <v>443</v>
      </c>
      <c r="L20" s="344">
        <f t="shared" si="0"/>
        <v>-38742</v>
      </c>
      <c r="M20" s="73"/>
      <c r="N20" s="73"/>
      <c r="O20" s="73"/>
    </row>
    <row r="21" spans="1:15" ht="12.75" customHeight="1">
      <c r="A21" s="345">
        <v>2</v>
      </c>
      <c r="B21" s="345">
        <v>6</v>
      </c>
      <c r="C21" s="252" t="s">
        <v>565</v>
      </c>
      <c r="D21" s="344">
        <v>-14672</v>
      </c>
      <c r="E21" s="344">
        <v>-4189</v>
      </c>
      <c r="F21" s="344">
        <v>-15113</v>
      </c>
      <c r="G21" s="344">
        <v>30</v>
      </c>
      <c r="H21" s="344"/>
      <c r="I21" s="344"/>
      <c r="J21" s="344"/>
      <c r="K21" s="344"/>
      <c r="L21" s="344">
        <f t="shared" si="0"/>
        <v>-33944</v>
      </c>
      <c r="M21" s="73"/>
      <c r="N21" s="73"/>
      <c r="O21" s="73"/>
    </row>
    <row r="22" spans="1:15" ht="26.25" customHeight="1">
      <c r="A22" s="345">
        <v>2</v>
      </c>
      <c r="B22" s="345">
        <v>7</v>
      </c>
      <c r="C22" s="580" t="s">
        <v>182</v>
      </c>
      <c r="D22" s="344">
        <v>13438</v>
      </c>
      <c r="E22" s="344">
        <v>3807</v>
      </c>
      <c r="F22" s="344">
        <v>34227</v>
      </c>
      <c r="G22" s="344"/>
      <c r="H22" s="344"/>
      <c r="I22" s="344">
        <v>2443</v>
      </c>
      <c r="J22" s="344">
        <v>799</v>
      </c>
      <c r="K22" s="344"/>
      <c r="L22" s="344">
        <f t="shared" si="0"/>
        <v>54714</v>
      </c>
      <c r="M22" s="73"/>
      <c r="N22" s="73"/>
      <c r="O22" s="73"/>
    </row>
    <row r="23" spans="1:12" s="75" customFormat="1" ht="14.25" customHeight="1">
      <c r="A23" s="267">
        <v>2</v>
      </c>
      <c r="B23" s="267">
        <v>8</v>
      </c>
      <c r="C23" s="133" t="s">
        <v>566</v>
      </c>
      <c r="D23" s="283">
        <f aca="true" t="shared" si="3" ref="D23:K23">SUM(D24:D25)</f>
        <v>5954</v>
      </c>
      <c r="E23" s="283">
        <f t="shared" si="3"/>
        <v>-360</v>
      </c>
      <c r="F23" s="283">
        <f t="shared" si="3"/>
        <v>15248</v>
      </c>
      <c r="G23" s="283">
        <f t="shared" si="3"/>
        <v>0</v>
      </c>
      <c r="H23" s="283">
        <f t="shared" si="3"/>
        <v>0</v>
      </c>
      <c r="I23" s="283">
        <f t="shared" si="3"/>
        <v>0</v>
      </c>
      <c r="J23" s="283">
        <f t="shared" si="3"/>
        <v>0</v>
      </c>
      <c r="K23" s="283">
        <f t="shared" si="3"/>
        <v>0</v>
      </c>
      <c r="L23" s="344">
        <f t="shared" si="0"/>
        <v>20842</v>
      </c>
    </row>
    <row r="24" spans="1:12" s="75" customFormat="1" ht="12.75">
      <c r="A24" s="267"/>
      <c r="B24" s="266" t="s">
        <v>567</v>
      </c>
      <c r="C24" s="285" t="s">
        <v>180</v>
      </c>
      <c r="D24" s="284">
        <v>5719</v>
      </c>
      <c r="E24" s="284">
        <v>-320</v>
      </c>
      <c r="F24" s="284">
        <v>13198</v>
      </c>
      <c r="G24" s="284"/>
      <c r="H24" s="284"/>
      <c r="I24" s="284"/>
      <c r="J24" s="284"/>
      <c r="K24" s="284"/>
      <c r="L24" s="347">
        <f t="shared" si="0"/>
        <v>18597</v>
      </c>
    </row>
    <row r="25" spans="1:12" s="75" customFormat="1" ht="12.75">
      <c r="A25" s="267"/>
      <c r="B25" s="266" t="s">
        <v>568</v>
      </c>
      <c r="C25" s="285" t="s">
        <v>181</v>
      </c>
      <c r="D25" s="284">
        <v>235</v>
      </c>
      <c r="E25" s="284">
        <v>-40</v>
      </c>
      <c r="F25" s="284">
        <v>2050</v>
      </c>
      <c r="G25" s="284"/>
      <c r="H25" s="284"/>
      <c r="I25" s="284"/>
      <c r="J25" s="284"/>
      <c r="K25" s="284"/>
      <c r="L25" s="347">
        <f t="shared" si="0"/>
        <v>2245</v>
      </c>
    </row>
    <row r="26" spans="1:12" s="75" customFormat="1" ht="13.5" customHeight="1">
      <c r="A26" s="267">
        <v>2</v>
      </c>
      <c r="B26" s="267">
        <v>9</v>
      </c>
      <c r="C26" s="102" t="s">
        <v>569</v>
      </c>
      <c r="D26" s="103">
        <v>2357</v>
      </c>
      <c r="E26" s="103">
        <v>-481</v>
      </c>
      <c r="F26" s="103">
        <v>9953</v>
      </c>
      <c r="G26" s="103"/>
      <c r="H26" s="103"/>
      <c r="I26" s="103">
        <v>-1424</v>
      </c>
      <c r="J26" s="103"/>
      <c r="K26" s="103"/>
      <c r="L26" s="344">
        <f t="shared" si="0"/>
        <v>10405</v>
      </c>
    </row>
    <row r="27" spans="1:12" s="75" customFormat="1" ht="13.5" customHeight="1">
      <c r="A27" s="267">
        <v>2</v>
      </c>
      <c r="B27" s="267">
        <v>10</v>
      </c>
      <c r="C27" s="102" t="s">
        <v>570</v>
      </c>
      <c r="D27" s="103">
        <v>11890</v>
      </c>
      <c r="E27" s="103">
        <v>993</v>
      </c>
      <c r="F27" s="103">
        <v>44377</v>
      </c>
      <c r="G27" s="103">
        <v>48</v>
      </c>
      <c r="H27" s="103"/>
      <c r="I27" s="103"/>
      <c r="J27" s="103">
        <v>40212</v>
      </c>
      <c r="K27" s="103"/>
      <c r="L27" s="344">
        <f t="shared" si="0"/>
        <v>97520</v>
      </c>
    </row>
    <row r="28" spans="1:12" s="75" customFormat="1" ht="14.25" customHeight="1">
      <c r="A28" s="267">
        <v>2</v>
      </c>
      <c r="B28" s="267">
        <v>11</v>
      </c>
      <c r="C28" s="102" t="s">
        <v>575</v>
      </c>
      <c r="D28" s="103">
        <v>2261</v>
      </c>
      <c r="E28" s="103">
        <v>-851</v>
      </c>
      <c r="F28" s="103">
        <v>1557</v>
      </c>
      <c r="G28" s="103"/>
      <c r="H28" s="103"/>
      <c r="I28" s="103">
        <v>150</v>
      </c>
      <c r="J28" s="103"/>
      <c r="K28" s="103"/>
      <c r="L28" s="344">
        <f t="shared" si="0"/>
        <v>3117</v>
      </c>
    </row>
    <row r="29" spans="1:12" s="75" customFormat="1" ht="12.75" customHeight="1">
      <c r="A29" s="267">
        <v>2</v>
      </c>
      <c r="B29" s="267">
        <v>12</v>
      </c>
      <c r="C29" s="102" t="s">
        <v>574</v>
      </c>
      <c r="D29" s="103">
        <v>479</v>
      </c>
      <c r="E29" s="103">
        <v>-69</v>
      </c>
      <c r="F29" s="103"/>
      <c r="G29" s="103"/>
      <c r="H29" s="103"/>
      <c r="I29" s="103"/>
      <c r="J29" s="103"/>
      <c r="K29" s="103"/>
      <c r="L29" s="344">
        <f t="shared" si="0"/>
        <v>410</v>
      </c>
    </row>
    <row r="30" spans="1:12" s="75" customFormat="1" ht="13.5" customHeight="1">
      <c r="A30" s="267">
        <v>2</v>
      </c>
      <c r="B30" s="267">
        <v>13</v>
      </c>
      <c r="C30" s="102" t="s">
        <v>571</v>
      </c>
      <c r="D30" s="103">
        <v>2529</v>
      </c>
      <c r="E30" s="103">
        <v>-35</v>
      </c>
      <c r="F30" s="103"/>
      <c r="G30" s="103"/>
      <c r="H30" s="103"/>
      <c r="I30" s="103"/>
      <c r="J30" s="103"/>
      <c r="K30" s="103"/>
      <c r="L30" s="344">
        <f t="shared" si="0"/>
        <v>2494</v>
      </c>
    </row>
    <row r="31" spans="1:12" s="75" customFormat="1" ht="13.5" thickBot="1">
      <c r="A31" s="267">
        <v>2</v>
      </c>
      <c r="B31" s="267">
        <v>14</v>
      </c>
      <c r="C31" s="102" t="s">
        <v>489</v>
      </c>
      <c r="D31" s="103">
        <v>117</v>
      </c>
      <c r="E31" s="103">
        <v>32</v>
      </c>
      <c r="F31" s="103"/>
      <c r="G31" s="103"/>
      <c r="H31" s="103"/>
      <c r="I31" s="103">
        <v>200</v>
      </c>
      <c r="J31" s="103"/>
      <c r="K31" s="103"/>
      <c r="L31" s="344">
        <f t="shared" si="0"/>
        <v>349</v>
      </c>
    </row>
    <row r="32" spans="1:12" s="75" customFormat="1" ht="13.5" customHeight="1" thickBot="1">
      <c r="A32" s="113"/>
      <c r="B32" s="114"/>
      <c r="C32" s="107" t="s">
        <v>534</v>
      </c>
      <c r="D32" s="108">
        <f>SUM(D3+D4+D5+D14+D20+D21+D22+D23+D26+D27+D28+D29+D30+D31)</f>
        <v>-295290</v>
      </c>
      <c r="E32" s="108">
        <f aca="true" t="shared" si="4" ref="E32:L32">SUM(E3+E4+E5+E14+E20+E21+E22+E23+E26+E27+E28+E29+E30+E31)</f>
        <v>-110896</v>
      </c>
      <c r="F32" s="108">
        <f t="shared" si="4"/>
        <v>-97870</v>
      </c>
      <c r="G32" s="108">
        <f t="shared" si="4"/>
        <v>569</v>
      </c>
      <c r="H32" s="108">
        <f t="shared" si="4"/>
        <v>158</v>
      </c>
      <c r="I32" s="108">
        <f t="shared" si="4"/>
        <v>-2298</v>
      </c>
      <c r="J32" s="108">
        <f t="shared" si="4"/>
        <v>41861</v>
      </c>
      <c r="K32" s="108">
        <f t="shared" si="4"/>
        <v>443</v>
      </c>
      <c r="L32" s="108">
        <f t="shared" si="4"/>
        <v>-463323</v>
      </c>
    </row>
    <row r="33" spans="1:12" s="75" customFormat="1" ht="12.75">
      <c r="A33" s="115"/>
      <c r="B33" s="115"/>
      <c r="C33" s="110"/>
      <c r="D33" s="111"/>
      <c r="E33" s="111"/>
      <c r="F33" s="111"/>
      <c r="G33" s="111"/>
      <c r="H33" s="111"/>
      <c r="I33" s="111"/>
      <c r="J33" s="111"/>
      <c r="K33" s="111"/>
      <c r="L33" s="111"/>
    </row>
    <row r="34" spans="1:12" s="75" customFormat="1" ht="12.75">
      <c r="A34" s="115"/>
      <c r="B34" s="115"/>
      <c r="C34" s="110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1:12" s="75" customFormat="1" ht="12.75">
      <c r="A35" s="115"/>
      <c r="B35" s="115"/>
      <c r="C35" s="110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1:12" s="75" customFormat="1" ht="12.75">
      <c r="A36" s="115"/>
      <c r="B36" s="115"/>
      <c r="C36" s="110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75" customFormat="1" ht="12.75">
      <c r="A37" s="115"/>
      <c r="B37" s="115"/>
      <c r="C37" s="110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s="75" customFormat="1" ht="12.75">
      <c r="A38" s="115"/>
      <c r="B38" s="115"/>
      <c r="C38" s="110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12" s="75" customFormat="1" ht="12.75">
      <c r="A39" s="115"/>
      <c r="B39" s="115"/>
      <c r="C39" s="110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s="75" customFormat="1" ht="12.75">
      <c r="A40" s="115"/>
      <c r="B40" s="115"/>
      <c r="C40" s="110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s="75" customFormat="1" ht="12.75">
      <c r="A41" s="115"/>
      <c r="B41" s="115"/>
      <c r="C41" s="110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s="75" customFormat="1" ht="12.75">
      <c r="A42" s="115"/>
      <c r="B42" s="115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s="75" customFormat="1" ht="12.75">
      <c r="A43" s="115"/>
      <c r="B43" s="115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s="75" customFormat="1" ht="12.75">
      <c r="A44" s="115"/>
      <c r="B44" s="115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s="75" customFormat="1" ht="12.75">
      <c r="A45" s="115"/>
      <c r="B45" s="115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s="75" customFormat="1" ht="12.75">
      <c r="A46" s="115"/>
      <c r="B46" s="115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12" s="75" customFormat="1" ht="12.75">
      <c r="A47" s="115"/>
      <c r="B47" s="115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s="75" customFormat="1" ht="12.75">
      <c r="A48" s="115"/>
      <c r="B48" s="115"/>
      <c r="C48" s="109"/>
      <c r="D48" s="109"/>
      <c r="E48" s="109"/>
      <c r="F48" s="109"/>
      <c r="G48" s="109"/>
      <c r="H48" s="109"/>
      <c r="I48" s="109"/>
      <c r="J48" s="109"/>
      <c r="K48" s="109"/>
      <c r="L48" s="109"/>
    </row>
    <row r="49" spans="1:12" s="75" customFormat="1" ht="12.75">
      <c r="A49" s="115"/>
      <c r="B49" s="115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  <row r="77" spans="1:2" s="75" customFormat="1" ht="12.75">
      <c r="A77" s="76"/>
      <c r="B77" s="76"/>
    </row>
    <row r="78" spans="1:2" s="75" customFormat="1" ht="12.75">
      <c r="A78" s="76"/>
      <c r="B78" s="76"/>
    </row>
    <row r="79" spans="1:2" s="75" customFormat="1" ht="12.75">
      <c r="A79" s="76"/>
      <c r="B79" s="76"/>
    </row>
    <row r="80" spans="1:2" s="75" customFormat="1" ht="12.75">
      <c r="A80" s="76"/>
      <c r="B80" s="76"/>
    </row>
    <row r="81" spans="1:2" s="75" customFormat="1" ht="12.75">
      <c r="A81" s="76"/>
      <c r="B81" s="76"/>
    </row>
    <row r="82" spans="1:2" s="75" customFormat="1" ht="12.75">
      <c r="A82" s="76"/>
      <c r="B82" s="76"/>
    </row>
    <row r="83" spans="1:2" s="75" customFormat="1" ht="12.75">
      <c r="A83" s="76"/>
      <c r="B83" s="76"/>
    </row>
    <row r="84" spans="1:2" s="75" customFormat="1" ht="12.75">
      <c r="A84" s="76"/>
      <c r="B84" s="76"/>
    </row>
    <row r="85" spans="1:2" s="75" customFormat="1" ht="12.75">
      <c r="A85" s="76"/>
      <c r="B85" s="76"/>
    </row>
    <row r="86" spans="1:2" s="75" customFormat="1" ht="12.75">
      <c r="A86" s="76"/>
      <c r="B86" s="76"/>
    </row>
    <row r="87" spans="1:2" s="75" customFormat="1" ht="12.75">
      <c r="A87" s="76"/>
      <c r="B87" s="76"/>
    </row>
    <row r="88" spans="1:2" s="75" customFormat="1" ht="12.75">
      <c r="A88" s="76"/>
      <c r="B88" s="76"/>
    </row>
    <row r="89" spans="1:2" s="75" customFormat="1" ht="12.75">
      <c r="A89" s="76"/>
      <c r="B89" s="76"/>
    </row>
    <row r="90" spans="1:2" s="75" customFormat="1" ht="12.75">
      <c r="A90" s="76"/>
      <c r="B90" s="76"/>
    </row>
    <row r="91" spans="1:2" s="75" customFormat="1" ht="12.75">
      <c r="A91" s="76"/>
      <c r="B91" s="76"/>
    </row>
    <row r="92" spans="1:2" s="75" customFormat="1" ht="12.75">
      <c r="A92" s="76"/>
      <c r="B92" s="76"/>
    </row>
    <row r="93" spans="1:2" s="75" customFormat="1" ht="12.75">
      <c r="A93" s="76"/>
      <c r="B93" s="76"/>
    </row>
    <row r="94" spans="1:2" s="75" customFormat="1" ht="12.75">
      <c r="A94" s="76"/>
      <c r="B94" s="76"/>
    </row>
    <row r="95" spans="1:2" s="75" customFormat="1" ht="12.75">
      <c r="A95" s="76"/>
      <c r="B95" s="76"/>
    </row>
    <row r="96" spans="1:2" s="75" customFormat="1" ht="12.75">
      <c r="A96" s="76"/>
      <c r="B96" s="76"/>
    </row>
    <row r="97" spans="1:2" s="75" customFormat="1" ht="12.75">
      <c r="A97" s="76"/>
      <c r="B97" s="76"/>
    </row>
    <row r="98" spans="1:2" s="75" customFormat="1" ht="12.75">
      <c r="A98" s="76"/>
      <c r="B98" s="76"/>
    </row>
    <row r="99" spans="1:2" s="75" customFormat="1" ht="12.75">
      <c r="A99" s="76"/>
      <c r="B99" s="76"/>
    </row>
    <row r="100" spans="1:2" s="75" customFormat="1" ht="12.75">
      <c r="A100" s="76"/>
      <c r="B100" s="76"/>
    </row>
    <row r="101" spans="1:2" s="75" customFormat="1" ht="12.75">
      <c r="A101" s="76"/>
      <c r="B101" s="76"/>
    </row>
    <row r="102" spans="1:2" s="75" customFormat="1" ht="12.75">
      <c r="A102" s="76"/>
      <c r="B102" s="76"/>
    </row>
    <row r="103" spans="1:2" s="75" customFormat="1" ht="12.75">
      <c r="A103" s="76"/>
      <c r="B103" s="76"/>
    </row>
    <row r="104" spans="1:2" s="75" customFormat="1" ht="12.75">
      <c r="A104" s="76"/>
      <c r="B104" s="76"/>
    </row>
    <row r="105" spans="1:2" s="75" customFormat="1" ht="12.75">
      <c r="A105" s="76"/>
      <c r="B105" s="76"/>
    </row>
    <row r="106" spans="1:2" s="75" customFormat="1" ht="12.75">
      <c r="A106" s="76"/>
      <c r="B106" s="76"/>
    </row>
    <row r="107" spans="1:2" s="75" customFormat="1" ht="12.75">
      <c r="A107" s="76"/>
      <c r="B107" s="76"/>
    </row>
    <row r="108" spans="1:2" s="75" customFormat="1" ht="12.75">
      <c r="A108" s="76"/>
      <c r="B108" s="76"/>
    </row>
    <row r="109" spans="1:2" s="75" customFormat="1" ht="12.75">
      <c r="A109" s="76"/>
      <c r="B109" s="76"/>
    </row>
    <row r="110" spans="1:2" s="75" customFormat="1" ht="12.75">
      <c r="A110" s="76"/>
      <c r="B110" s="76"/>
    </row>
    <row r="111" spans="1:2" s="75" customFormat="1" ht="12.75">
      <c r="A111" s="76"/>
      <c r="B111" s="76"/>
    </row>
    <row r="112" spans="1:2" s="75" customFormat="1" ht="12.75">
      <c r="A112" s="76"/>
      <c r="B112" s="76"/>
    </row>
    <row r="113" spans="1:2" s="75" customFormat="1" ht="12.75">
      <c r="A113" s="76"/>
      <c r="B113" s="76"/>
    </row>
    <row r="114" spans="1:2" s="75" customFormat="1" ht="12.75">
      <c r="A114" s="76"/>
      <c r="B114" s="76"/>
    </row>
    <row r="115" spans="1:2" s="75" customFormat="1" ht="12.75">
      <c r="A115" s="76"/>
      <c r="B115" s="76"/>
    </row>
    <row r="116" spans="1:2" s="75" customFormat="1" ht="12.75">
      <c r="A116" s="76"/>
      <c r="B116" s="76"/>
    </row>
    <row r="117" spans="1:2" s="75" customFormat="1" ht="12.75">
      <c r="A117" s="76"/>
      <c r="B117" s="76"/>
    </row>
    <row r="118" spans="1:2" s="75" customFormat="1" ht="12.75">
      <c r="A118" s="76"/>
      <c r="B118" s="76"/>
    </row>
    <row r="119" spans="1:2" s="75" customFormat="1" ht="12.75">
      <c r="A119" s="76"/>
      <c r="B119" s="76"/>
    </row>
    <row r="120" spans="1:2" s="75" customFormat="1" ht="12.75">
      <c r="A120" s="76"/>
      <c r="B120" s="76"/>
    </row>
  </sheetData>
  <sheetProtection/>
  <mergeCells count="6">
    <mergeCell ref="I1:K1"/>
    <mergeCell ref="L1:L2"/>
    <mergeCell ref="A1:A2"/>
    <mergeCell ref="B1:B2"/>
    <mergeCell ref="C1:C2"/>
    <mergeCell ref="D1:H1"/>
  </mergeCells>
  <printOptions horizontalCentered="1" verticalCentered="1"/>
  <pageMargins left="0.07874015748031496" right="0.07874015748031496" top="1.4173228346456694" bottom="0.7480314960629921" header="0.4330708661417323" footer="0.31496062992125984"/>
  <pageSetup fitToHeight="0" fitToWidth="0" horizontalDpi="300" verticalDpi="300" orientation="landscape" paperSize="9" scale="90" r:id="rId1"/>
  <headerFooter alignWithMargins="0">
    <oddHeader>&amp;C&amp;"Times New Roman,Dőlt"ZALAEGERSZEG MJV ÖNKORMÁNYZATA ÁLTAL IRÁNYÍTOTT KÖLTSÉGVETÉSI SZERVEK
2013. ÉVI  KIADÁSI ELŐIRÁNYZATAINAK MÓDOSÍTÁSA A III. NEGYEDÉVBEN&amp;R&amp;"Times New Roman,Dőlt"&amp;9 2. számú tájékoztató tábla 
Adatok eFt-ban</oddHeader>
    <oddFooter>&amp;C 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3">
      <selection activeCell="E30" sqref="E30"/>
    </sheetView>
  </sheetViews>
  <sheetFormatPr defaultColWidth="9.00390625" defaultRowHeight="12.75"/>
  <cols>
    <col min="1" max="1" width="6.875" style="220" customWidth="1"/>
    <col min="2" max="2" width="51.00390625" style="206" customWidth="1"/>
    <col min="3" max="3" width="14.625" style="206" customWidth="1"/>
    <col min="4" max="4" width="15.625" style="206" customWidth="1"/>
    <col min="5" max="5" width="14.875" style="206" customWidth="1"/>
    <col min="6" max="16384" width="9.375" style="58" customWidth="1"/>
  </cols>
  <sheetData>
    <row r="1" spans="1:5" s="192" customFormat="1" ht="43.5" customHeight="1" thickBot="1">
      <c r="A1" s="207" t="s">
        <v>618</v>
      </c>
      <c r="B1" s="208" t="s">
        <v>890</v>
      </c>
      <c r="C1" s="208" t="s">
        <v>1089</v>
      </c>
      <c r="D1" s="208" t="s">
        <v>1090</v>
      </c>
      <c r="E1" s="209" t="s">
        <v>1091</v>
      </c>
    </row>
    <row r="2" spans="1:5" s="212" customFormat="1" ht="14.25" customHeight="1">
      <c r="A2" s="210"/>
      <c r="B2" s="211" t="s">
        <v>619</v>
      </c>
      <c r="C2" s="211"/>
      <c r="D2" s="211"/>
      <c r="E2" s="211"/>
    </row>
    <row r="3" spans="1:5" s="192" customFormat="1" ht="14.25" customHeight="1">
      <c r="A3" s="210" t="s">
        <v>620</v>
      </c>
      <c r="B3" s="211" t="s">
        <v>621</v>
      </c>
      <c r="C3" s="213"/>
      <c r="D3" s="213"/>
      <c r="E3" s="213"/>
    </row>
    <row r="4" spans="1:5" s="192" customFormat="1" ht="14.25" customHeight="1">
      <c r="A4" s="214"/>
      <c r="B4" s="213" t="s">
        <v>622</v>
      </c>
      <c r="C4" s="213">
        <v>2154538</v>
      </c>
      <c r="D4" s="213">
        <v>54311</v>
      </c>
      <c r="E4" s="213">
        <f>SUM(C4+D4)</f>
        <v>2208849</v>
      </c>
    </row>
    <row r="5" spans="1:5" s="192" customFormat="1" ht="14.25" customHeight="1">
      <c r="A5" s="214"/>
      <c r="B5" s="213" t="s">
        <v>1092</v>
      </c>
      <c r="C5" s="213"/>
      <c r="D5" s="213"/>
      <c r="E5" s="213">
        <f>SUM(C5+D5)</f>
        <v>0</v>
      </c>
    </row>
    <row r="6" spans="1:5" s="192" customFormat="1" ht="14.25" customHeight="1">
      <c r="A6" s="214"/>
      <c r="B6" s="213" t="s">
        <v>623</v>
      </c>
      <c r="C6" s="213">
        <v>3706000</v>
      </c>
      <c r="D6" s="213"/>
      <c r="E6" s="213">
        <f>SUM(C6+D6)</f>
        <v>3706000</v>
      </c>
    </row>
    <row r="7" spans="1:5" s="192" customFormat="1" ht="14.25" customHeight="1">
      <c r="A7" s="214"/>
      <c r="B7" s="213" t="s">
        <v>624</v>
      </c>
      <c r="C7" s="213">
        <v>248000</v>
      </c>
      <c r="D7" s="213"/>
      <c r="E7" s="213">
        <f>SUM(C7+D7)</f>
        <v>248000</v>
      </c>
    </row>
    <row r="8" spans="1:5" s="192" customFormat="1" ht="14.25" customHeight="1">
      <c r="A8" s="214"/>
      <c r="B8" s="213" t="s">
        <v>607</v>
      </c>
      <c r="C8" s="213">
        <v>111000</v>
      </c>
      <c r="D8" s="213">
        <v>-98985</v>
      </c>
      <c r="E8" s="213">
        <f>SUM(C8+D8)</f>
        <v>12015</v>
      </c>
    </row>
    <row r="9" spans="1:5" s="195" customFormat="1" ht="14.25" customHeight="1">
      <c r="A9" s="215"/>
      <c r="B9" s="216" t="s">
        <v>625</v>
      </c>
      <c r="C9" s="216">
        <f>SUM(C4:C8)</f>
        <v>6219538</v>
      </c>
      <c r="D9" s="216">
        <f>SUM(D4:D8)</f>
        <v>-44674</v>
      </c>
      <c r="E9" s="216">
        <f>SUM(E4:E8)</f>
        <v>6174864</v>
      </c>
    </row>
    <row r="10" spans="1:5" s="192" customFormat="1" ht="14.25" customHeight="1">
      <c r="A10" s="210" t="s">
        <v>626</v>
      </c>
      <c r="B10" s="211" t="s">
        <v>1093</v>
      </c>
      <c r="C10" s="213"/>
      <c r="D10" s="213"/>
      <c r="E10" s="213"/>
    </row>
    <row r="11" spans="1:5" s="192" customFormat="1" ht="14.25" customHeight="1">
      <c r="A11" s="214"/>
      <c r="B11" s="213" t="s">
        <v>627</v>
      </c>
      <c r="C11" s="213"/>
      <c r="D11" s="213"/>
      <c r="E11" s="213"/>
    </row>
    <row r="12" spans="1:5" s="192" customFormat="1" ht="24.75" customHeight="1">
      <c r="A12" s="214"/>
      <c r="B12" s="22" t="s">
        <v>1094</v>
      </c>
      <c r="C12" s="213">
        <v>1817536</v>
      </c>
      <c r="D12" s="213">
        <v>474923</v>
      </c>
      <c r="E12" s="213">
        <f aca="true" t="shared" si="0" ref="E12:E17">SUM(C12+D12)</f>
        <v>2292459</v>
      </c>
    </row>
    <row r="13" spans="1:5" s="192" customFormat="1" ht="14.25" customHeight="1">
      <c r="A13" s="214"/>
      <c r="B13" s="213" t="s">
        <v>628</v>
      </c>
      <c r="C13" s="213">
        <v>13613</v>
      </c>
      <c r="D13" s="213">
        <v>27325</v>
      </c>
      <c r="E13" s="213">
        <f t="shared" si="0"/>
        <v>40938</v>
      </c>
    </row>
    <row r="14" spans="1:5" s="192" customFormat="1" ht="14.25" customHeight="1">
      <c r="A14" s="214"/>
      <c r="B14" s="213" t="s">
        <v>629</v>
      </c>
      <c r="C14" s="213">
        <v>245100</v>
      </c>
      <c r="D14" s="213"/>
      <c r="E14" s="213">
        <f t="shared" si="0"/>
        <v>245100</v>
      </c>
    </row>
    <row r="15" spans="1:5" s="192" customFormat="1" ht="14.25" customHeight="1">
      <c r="A15" s="214"/>
      <c r="B15" s="213" t="s">
        <v>673</v>
      </c>
      <c r="C15" s="213"/>
      <c r="D15" s="213">
        <v>316948</v>
      </c>
      <c r="E15" s="213">
        <f t="shared" si="0"/>
        <v>316948</v>
      </c>
    </row>
    <row r="16" spans="1:5" s="192" customFormat="1" ht="14.25" customHeight="1">
      <c r="A16" s="214"/>
      <c r="B16" s="213" t="s">
        <v>449</v>
      </c>
      <c r="C16" s="213"/>
      <c r="D16" s="213">
        <v>34262</v>
      </c>
      <c r="E16" s="213">
        <f t="shared" si="0"/>
        <v>34262</v>
      </c>
    </row>
    <row r="17" spans="1:5" s="192" customFormat="1" ht="14.25" customHeight="1">
      <c r="A17" s="214"/>
      <c r="B17" s="213" t="s">
        <v>450</v>
      </c>
      <c r="C17" s="213"/>
      <c r="D17" s="213">
        <v>32553</v>
      </c>
      <c r="E17" s="213">
        <f t="shared" si="0"/>
        <v>32553</v>
      </c>
    </row>
    <row r="18" spans="1:5" s="195" customFormat="1" ht="14.25" customHeight="1">
      <c r="A18" s="215"/>
      <c r="B18" s="216" t="s">
        <v>630</v>
      </c>
      <c r="C18" s="216">
        <f>SUM(C11:C15)</f>
        <v>2076249</v>
      </c>
      <c r="D18" s="216">
        <f>SUM(D11:D17)</f>
        <v>886011</v>
      </c>
      <c r="E18" s="216">
        <f>SUM(E11:E17)</f>
        <v>2962260</v>
      </c>
    </row>
    <row r="19" spans="1:5" s="192" customFormat="1" ht="14.25" customHeight="1">
      <c r="A19" s="210" t="s">
        <v>631</v>
      </c>
      <c r="B19" s="211" t="s">
        <v>1095</v>
      </c>
      <c r="C19" s="213"/>
      <c r="D19" s="213"/>
      <c r="E19" s="213"/>
    </row>
    <row r="20" spans="1:5" s="192" customFormat="1" ht="14.25" customHeight="1">
      <c r="A20" s="214"/>
      <c r="B20" s="213" t="s">
        <v>632</v>
      </c>
      <c r="C20" s="213">
        <v>104000</v>
      </c>
      <c r="D20" s="213">
        <v>21169</v>
      </c>
      <c r="E20" s="213">
        <f>SUM(C20+D20)</f>
        <v>125169</v>
      </c>
    </row>
    <row r="21" spans="1:5" s="192" customFormat="1" ht="14.25" customHeight="1">
      <c r="A21" s="214"/>
      <c r="B21" s="213" t="s">
        <v>634</v>
      </c>
      <c r="C21" s="213">
        <v>5000</v>
      </c>
      <c r="D21" s="213"/>
      <c r="E21" s="213">
        <f>SUM(C21+D21)</f>
        <v>5000</v>
      </c>
    </row>
    <row r="22" spans="1:5" s="192" customFormat="1" ht="14.25" customHeight="1">
      <c r="A22" s="214"/>
      <c r="B22" s="213" t="s">
        <v>635</v>
      </c>
      <c r="C22" s="213">
        <v>20000</v>
      </c>
      <c r="D22" s="213">
        <v>101277</v>
      </c>
      <c r="E22" s="213">
        <f>SUM(C22+D22)</f>
        <v>121277</v>
      </c>
    </row>
    <row r="23" spans="1:5" ht="24.75" customHeight="1">
      <c r="A23" s="215"/>
      <c r="B23" s="216" t="s">
        <v>1096</v>
      </c>
      <c r="C23" s="216">
        <f>SUM(C19:C22)</f>
        <v>129000</v>
      </c>
      <c r="D23" s="216">
        <f>SUM(D19:D22)</f>
        <v>122446</v>
      </c>
      <c r="E23" s="216">
        <f>SUM(E19:E22)</f>
        <v>251446</v>
      </c>
    </row>
    <row r="24" spans="1:5" s="192" customFormat="1" ht="13.5" customHeight="1">
      <c r="A24" s="210" t="s">
        <v>636</v>
      </c>
      <c r="B24" s="211" t="s">
        <v>637</v>
      </c>
      <c r="C24" s="213"/>
      <c r="D24" s="213"/>
      <c r="E24" s="213"/>
    </row>
    <row r="25" spans="1:5" s="192" customFormat="1" ht="13.5" customHeight="1">
      <c r="A25" s="214"/>
      <c r="B25" s="213" t="s">
        <v>638</v>
      </c>
      <c r="C25" s="213">
        <v>417808</v>
      </c>
      <c r="D25" s="213">
        <v>174492</v>
      </c>
      <c r="E25" s="213">
        <f>SUM(C25+D25)</f>
        <v>592300</v>
      </c>
    </row>
    <row r="26" spans="1:5" s="192" customFormat="1" ht="13.5" customHeight="1">
      <c r="A26" s="214"/>
      <c r="B26" s="213" t="s">
        <v>639</v>
      </c>
      <c r="C26" s="213">
        <v>626407</v>
      </c>
      <c r="D26" s="213">
        <v>2530159</v>
      </c>
      <c r="E26" s="213">
        <f>SUM(C26+D26)</f>
        <v>3156566</v>
      </c>
    </row>
    <row r="27" spans="1:5" s="195" customFormat="1" ht="13.5" customHeight="1">
      <c r="A27" s="215"/>
      <c r="B27" s="216" t="s">
        <v>640</v>
      </c>
      <c r="C27" s="216">
        <f>SUM(C25:C26)</f>
        <v>1044215</v>
      </c>
      <c r="D27" s="216">
        <f>SUM(D25:D26)</f>
        <v>2704651</v>
      </c>
      <c r="E27" s="216">
        <f>SUM(E25:E26)</f>
        <v>3748866</v>
      </c>
    </row>
    <row r="28" spans="1:5" s="192" customFormat="1" ht="13.5" customHeight="1">
      <c r="A28" s="210" t="s">
        <v>641</v>
      </c>
      <c r="B28" s="211" t="s">
        <v>642</v>
      </c>
      <c r="C28" s="213"/>
      <c r="D28" s="213"/>
      <c r="E28" s="213"/>
    </row>
    <row r="29" spans="1:5" s="192" customFormat="1" ht="22.5" customHeight="1">
      <c r="A29" s="214"/>
      <c r="B29" s="213" t="s">
        <v>643</v>
      </c>
      <c r="C29" s="213">
        <v>59600</v>
      </c>
      <c r="D29" s="213">
        <v>9521</v>
      </c>
      <c r="E29" s="213">
        <f>SUM(C29+D29)</f>
        <v>69121</v>
      </c>
    </row>
    <row r="30" spans="1:5" s="192" customFormat="1" ht="22.5" customHeight="1">
      <c r="A30" s="214"/>
      <c r="B30" s="213" t="s">
        <v>644</v>
      </c>
      <c r="C30" s="213">
        <v>200800</v>
      </c>
      <c r="D30" s="213">
        <v>71202</v>
      </c>
      <c r="E30" s="213">
        <f>SUM(C30+D30)</f>
        <v>272002</v>
      </c>
    </row>
    <row r="31" spans="1:5" s="192" customFormat="1" ht="22.5" customHeight="1">
      <c r="A31" s="217"/>
      <c r="B31" s="216" t="s">
        <v>645</v>
      </c>
      <c r="C31" s="216">
        <f>SUM(C29:C30)</f>
        <v>260400</v>
      </c>
      <c r="D31" s="216">
        <f>SUM(D29:D30)</f>
        <v>80723</v>
      </c>
      <c r="E31" s="216">
        <f>SUM(E29:E30)</f>
        <v>341123</v>
      </c>
    </row>
    <row r="32" spans="1:5" s="192" customFormat="1" ht="22.5" customHeight="1">
      <c r="A32" s="215" t="s">
        <v>646</v>
      </c>
      <c r="B32" s="216" t="s">
        <v>647</v>
      </c>
      <c r="C32" s="216">
        <v>25600</v>
      </c>
      <c r="D32" s="216"/>
      <c r="E32" s="216">
        <f>SUM(C32:D32)</f>
        <v>25600</v>
      </c>
    </row>
    <row r="33" spans="1:5" s="192" customFormat="1" ht="15.75" customHeight="1">
      <c r="A33" s="215"/>
      <c r="B33" s="216" t="s">
        <v>648</v>
      </c>
      <c r="C33" s="216">
        <f>SUM(C9+C18+C23+C27+C31+C32)</f>
        <v>9755002</v>
      </c>
      <c r="D33" s="216">
        <f>SUM(D9+D18+D23+D27+D31+D32)</f>
        <v>3749157</v>
      </c>
      <c r="E33" s="216">
        <f>SUM(E9+E18+E23+E27+E31+E32)</f>
        <v>13504159</v>
      </c>
    </row>
    <row r="34" spans="1:5" s="192" customFormat="1" ht="14.25" customHeight="1">
      <c r="A34" s="210" t="s">
        <v>649</v>
      </c>
      <c r="B34" s="211" t="s">
        <v>650</v>
      </c>
      <c r="C34" s="213"/>
      <c r="D34" s="213"/>
      <c r="E34" s="213"/>
    </row>
    <row r="35" spans="1:5" s="192" customFormat="1" ht="14.25" customHeight="1">
      <c r="A35" s="218"/>
      <c r="B35" s="219" t="s">
        <v>526</v>
      </c>
      <c r="C35" s="219">
        <v>862489</v>
      </c>
      <c r="D35" s="219"/>
      <c r="E35" s="213">
        <f>SUM(C35:D35)</f>
        <v>862489</v>
      </c>
    </row>
    <row r="36" spans="1:5" s="192" customFormat="1" ht="14.25" customHeight="1">
      <c r="A36" s="217"/>
      <c r="B36" s="216" t="s">
        <v>651</v>
      </c>
      <c r="C36" s="216">
        <f>SUM(C35:C35)</f>
        <v>862489</v>
      </c>
      <c r="D36" s="216">
        <f>SUM(D35:D35)</f>
        <v>0</v>
      </c>
      <c r="E36" s="216">
        <f>SUM(E35:E35)</f>
        <v>862489</v>
      </c>
    </row>
    <row r="37" spans="1:5" s="192" customFormat="1" ht="14.25" customHeight="1">
      <c r="A37" s="210" t="s">
        <v>652</v>
      </c>
      <c r="B37" s="211" t="s">
        <v>657</v>
      </c>
      <c r="C37" s="211"/>
      <c r="D37" s="211"/>
      <c r="E37" s="211"/>
    </row>
    <row r="38" spans="1:5" s="192" customFormat="1" ht="22.5" customHeight="1">
      <c r="A38" s="214"/>
      <c r="B38" s="213" t="s">
        <v>658</v>
      </c>
      <c r="C38" s="213">
        <v>2287454</v>
      </c>
      <c r="D38" s="213">
        <v>328329</v>
      </c>
      <c r="E38" s="213">
        <f>SUM(C38:D38)</f>
        <v>2615783</v>
      </c>
    </row>
    <row r="39" spans="1:5" s="192" customFormat="1" ht="13.5" customHeight="1">
      <c r="A39" s="214"/>
      <c r="B39" s="213" t="s">
        <v>659</v>
      </c>
      <c r="C39" s="211"/>
      <c r="D39" s="213">
        <v>26</v>
      </c>
      <c r="E39" s="213">
        <f>SUM(C39:D39)</f>
        <v>26</v>
      </c>
    </row>
    <row r="40" spans="1:5" s="192" customFormat="1" ht="26.25" customHeight="1">
      <c r="A40" s="217"/>
      <c r="B40" s="216" t="s">
        <v>660</v>
      </c>
      <c r="C40" s="216">
        <f>SUM(C38:C39)</f>
        <v>2287454</v>
      </c>
      <c r="D40" s="216">
        <f>SUM(D38:D39)</f>
        <v>328355</v>
      </c>
      <c r="E40" s="216">
        <f>SUM(E38:E39)</f>
        <v>2615809</v>
      </c>
    </row>
    <row r="41" spans="1:5" ht="15.75" customHeight="1">
      <c r="A41" s="215"/>
      <c r="B41" s="216" t="s">
        <v>661</v>
      </c>
      <c r="C41" s="216">
        <f>SUM(C33+C36+C40)</f>
        <v>12904945</v>
      </c>
      <c r="D41" s="216">
        <f>SUM(D33+D36+D40)</f>
        <v>4077512</v>
      </c>
      <c r="E41" s="216">
        <f>SUM(E33+E36+E40)</f>
        <v>16982457</v>
      </c>
    </row>
  </sheetData>
  <sheetProtection/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FORRÁSONKÉNT
2013. ÉVBEN  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="90" zoomScaleNormal="90"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J54" sqref="J54"/>
    </sheetView>
  </sheetViews>
  <sheetFormatPr defaultColWidth="9.00390625" defaultRowHeight="12.75"/>
  <cols>
    <col min="1" max="1" width="72.00390625" style="270" customWidth="1"/>
    <col min="2" max="3" width="11.50390625" style="270" customWidth="1"/>
    <col min="4" max="4" width="12.375" style="270" customWidth="1"/>
    <col min="5" max="5" width="14.875" style="270" customWidth="1"/>
    <col min="6" max="6" width="11.50390625" style="270" customWidth="1"/>
    <col min="7" max="7" width="13.375" style="270" customWidth="1"/>
    <col min="8" max="9" width="13.125" style="270" customWidth="1"/>
    <col min="10" max="10" width="11.50390625" style="270" customWidth="1"/>
    <col min="11" max="11" width="10.625" style="270" customWidth="1"/>
    <col min="12" max="12" width="12.625" style="270" customWidth="1"/>
    <col min="13" max="13" width="15.00390625" style="270" customWidth="1"/>
    <col min="14" max="14" width="10.50390625" style="269" customWidth="1"/>
    <col min="15" max="15" width="8.375" style="269" customWidth="1"/>
    <col min="16" max="21" width="9.375" style="269" customWidth="1"/>
    <col min="22" max="16384" width="9.375" style="270" customWidth="1"/>
  </cols>
  <sheetData>
    <row r="1" spans="1:21" ht="24.75" customHeight="1">
      <c r="A1" s="583"/>
      <c r="B1" s="820" t="s">
        <v>1097</v>
      </c>
      <c r="C1" s="821"/>
      <c r="D1" s="821"/>
      <c r="E1" s="822"/>
      <c r="F1" s="820" t="s">
        <v>252</v>
      </c>
      <c r="G1" s="820"/>
      <c r="H1" s="820"/>
      <c r="I1" s="820"/>
      <c r="J1" s="817" t="s">
        <v>263</v>
      </c>
      <c r="K1" s="818"/>
      <c r="L1" s="818"/>
      <c r="M1" s="818"/>
      <c r="U1" s="270"/>
    </row>
    <row r="2" spans="1:20" s="272" customFormat="1" ht="24.75" customHeight="1" thickBot="1">
      <c r="A2" s="584" t="s">
        <v>819</v>
      </c>
      <c r="B2" s="585" t="s">
        <v>820</v>
      </c>
      <c r="C2" s="586" t="s">
        <v>821</v>
      </c>
      <c r="D2" s="586" t="s">
        <v>822</v>
      </c>
      <c r="E2" s="587" t="s">
        <v>823</v>
      </c>
      <c r="F2" s="585" t="s">
        <v>820</v>
      </c>
      <c r="G2" s="586" t="s">
        <v>821</v>
      </c>
      <c r="H2" s="586" t="s">
        <v>822</v>
      </c>
      <c r="I2" s="587" t="s">
        <v>823</v>
      </c>
      <c r="J2" s="810" t="s">
        <v>820</v>
      </c>
      <c r="K2" s="811" t="s">
        <v>821</v>
      </c>
      <c r="L2" s="811" t="s">
        <v>822</v>
      </c>
      <c r="M2" s="812" t="s">
        <v>823</v>
      </c>
      <c r="N2" s="271"/>
      <c r="O2" s="271"/>
      <c r="P2" s="271"/>
      <c r="Q2" s="271"/>
      <c r="R2" s="271"/>
      <c r="S2" s="271"/>
      <c r="T2" s="271"/>
    </row>
    <row r="3" spans="1:21" ht="24.75" customHeight="1">
      <c r="A3" s="588" t="s">
        <v>1098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T3" s="270"/>
      <c r="U3" s="270"/>
    </row>
    <row r="4" spans="1:21" ht="24.75" customHeight="1">
      <c r="A4" s="590" t="s">
        <v>1099</v>
      </c>
      <c r="B4" s="591"/>
      <c r="C4" s="591">
        <v>135.32</v>
      </c>
      <c r="D4" s="589">
        <v>4580000</v>
      </c>
      <c r="E4" s="589">
        <v>619765</v>
      </c>
      <c r="F4" s="591"/>
      <c r="G4" s="591">
        <v>135.32</v>
      </c>
      <c r="H4" s="589">
        <v>4580000</v>
      </c>
      <c r="I4" s="589">
        <v>619765</v>
      </c>
      <c r="J4" s="591"/>
      <c r="K4" s="591"/>
      <c r="L4" s="589"/>
      <c r="M4" s="589"/>
      <c r="N4" s="291"/>
      <c r="O4" s="291"/>
      <c r="P4" s="291"/>
      <c r="T4" s="270"/>
      <c r="U4" s="270"/>
    </row>
    <row r="5" spans="1:21" ht="24.75" customHeight="1">
      <c r="A5" s="590" t="s">
        <v>1100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291"/>
      <c r="O5" s="291"/>
      <c r="P5" s="291"/>
      <c r="T5" s="270"/>
      <c r="U5" s="270"/>
    </row>
    <row r="6" spans="1:21" ht="24.75" customHeight="1">
      <c r="A6" s="590" t="s">
        <v>1101</v>
      </c>
      <c r="B6" s="589"/>
      <c r="C6" s="591"/>
      <c r="D6" s="589"/>
      <c r="E6" s="589">
        <v>50134</v>
      </c>
      <c r="F6" s="589"/>
      <c r="G6" s="591"/>
      <c r="H6" s="589"/>
      <c r="I6" s="589">
        <v>50134</v>
      </c>
      <c r="J6" s="589"/>
      <c r="K6" s="591"/>
      <c r="L6" s="589"/>
      <c r="M6" s="589"/>
      <c r="N6" s="291"/>
      <c r="O6" s="291"/>
      <c r="P6" s="291"/>
      <c r="T6" s="270"/>
      <c r="U6" s="270"/>
    </row>
    <row r="7" spans="1:21" ht="24.75" customHeight="1">
      <c r="A7" s="590" t="s">
        <v>1102</v>
      </c>
      <c r="B7" s="589"/>
      <c r="C7" s="589"/>
      <c r="D7" s="589"/>
      <c r="E7" s="589">
        <v>116849</v>
      </c>
      <c r="F7" s="589"/>
      <c r="G7" s="589"/>
      <c r="H7" s="589"/>
      <c r="I7" s="589">
        <v>116849</v>
      </c>
      <c r="J7" s="589"/>
      <c r="K7" s="589"/>
      <c r="L7" s="589"/>
      <c r="M7" s="589"/>
      <c r="N7" s="291"/>
      <c r="O7" s="291"/>
      <c r="P7" s="291"/>
      <c r="T7" s="270"/>
      <c r="U7" s="270"/>
    </row>
    <row r="8" spans="1:21" ht="24.75" customHeight="1">
      <c r="A8" s="590" t="s">
        <v>1103</v>
      </c>
      <c r="B8" s="589"/>
      <c r="C8" s="589"/>
      <c r="D8" s="589"/>
      <c r="E8" s="589">
        <v>24071</v>
      </c>
      <c r="F8" s="589"/>
      <c r="G8" s="589"/>
      <c r="H8" s="589"/>
      <c r="I8" s="589">
        <v>24071</v>
      </c>
      <c r="J8" s="589"/>
      <c r="K8" s="589"/>
      <c r="L8" s="589"/>
      <c r="M8" s="589"/>
      <c r="N8" s="291"/>
      <c r="O8" s="291"/>
      <c r="P8" s="291"/>
      <c r="T8" s="270"/>
      <c r="U8" s="270"/>
    </row>
    <row r="9" spans="1:21" ht="24.75" customHeight="1">
      <c r="A9" s="590" t="s">
        <v>1104</v>
      </c>
      <c r="B9" s="589"/>
      <c r="C9" s="589"/>
      <c r="D9" s="589"/>
      <c r="E9" s="589">
        <v>110211</v>
      </c>
      <c r="F9" s="589"/>
      <c r="G9" s="589"/>
      <c r="H9" s="589"/>
      <c r="I9" s="589">
        <v>110211</v>
      </c>
      <c r="J9" s="589"/>
      <c r="K9" s="589"/>
      <c r="L9" s="589"/>
      <c r="M9" s="589"/>
      <c r="N9" s="291"/>
      <c r="O9" s="291"/>
      <c r="P9" s="291"/>
      <c r="T9" s="270"/>
      <c r="U9" s="270"/>
    </row>
    <row r="10" spans="1:21" ht="24.75" customHeight="1">
      <c r="A10" s="590" t="s">
        <v>1105</v>
      </c>
      <c r="B10" s="589"/>
      <c r="C10" s="589"/>
      <c r="D10" s="589"/>
      <c r="E10" s="589">
        <v>-921030</v>
      </c>
      <c r="F10" s="589"/>
      <c r="G10" s="589"/>
      <c r="H10" s="589"/>
      <c r="I10" s="589">
        <v>-921030</v>
      </c>
      <c r="J10" s="589"/>
      <c r="K10" s="589"/>
      <c r="L10" s="589"/>
      <c r="M10" s="589"/>
      <c r="N10" s="291"/>
      <c r="O10" s="291"/>
      <c r="P10" s="291"/>
      <c r="T10" s="270"/>
      <c r="U10" s="270"/>
    </row>
    <row r="11" spans="1:21" ht="24.75" customHeight="1">
      <c r="A11" s="590" t="s">
        <v>1106</v>
      </c>
      <c r="B11" s="589">
        <v>59272</v>
      </c>
      <c r="C11" s="589"/>
      <c r="D11" s="589">
        <v>2700</v>
      </c>
      <c r="E11" s="589">
        <f>SUM(D11*B11)/1000</f>
        <v>160034.4</v>
      </c>
      <c r="F11" s="589">
        <v>59272</v>
      </c>
      <c r="G11" s="589"/>
      <c r="H11" s="589">
        <v>2700</v>
      </c>
      <c r="I11" s="589">
        <f>SUM(H11*F11)/1000</f>
        <v>160034.4</v>
      </c>
      <c r="J11" s="589"/>
      <c r="K11" s="589"/>
      <c r="L11" s="589"/>
      <c r="M11" s="589"/>
      <c r="N11" s="291"/>
      <c r="O11" s="291"/>
      <c r="P11" s="291"/>
      <c r="T11" s="270"/>
      <c r="U11" s="270"/>
    </row>
    <row r="12" spans="1:21" ht="24.75" customHeight="1">
      <c r="A12" s="588" t="s">
        <v>1107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291"/>
      <c r="O12" s="291"/>
      <c r="P12" s="291"/>
      <c r="T12" s="270"/>
      <c r="U12" s="270"/>
    </row>
    <row r="13" spans="1:21" ht="24.75" customHeight="1">
      <c r="A13" s="592" t="s">
        <v>0</v>
      </c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291"/>
      <c r="O13" s="291"/>
      <c r="P13" s="291"/>
      <c r="T13" s="270"/>
      <c r="U13" s="270"/>
    </row>
    <row r="14" spans="1:21" ht="24.75" customHeight="1">
      <c r="A14" s="592" t="s">
        <v>1</v>
      </c>
      <c r="B14" s="589"/>
      <c r="C14" s="589">
        <v>151</v>
      </c>
      <c r="D14" s="589">
        <v>2832000</v>
      </c>
      <c r="E14" s="589">
        <f>SUM(C14*D14)/1000</f>
        <v>427632</v>
      </c>
      <c r="F14" s="589"/>
      <c r="G14" s="589">
        <v>150</v>
      </c>
      <c r="H14" s="589">
        <v>2832000</v>
      </c>
      <c r="I14" s="589">
        <f>SUM(G14*H14)/1000</f>
        <v>424800</v>
      </c>
      <c r="J14" s="589"/>
      <c r="K14" s="589"/>
      <c r="L14" s="589"/>
      <c r="M14" s="589"/>
      <c r="N14" s="819"/>
      <c r="O14" s="291"/>
      <c r="P14" s="291"/>
      <c r="T14" s="270"/>
      <c r="U14" s="270"/>
    </row>
    <row r="15" spans="1:21" ht="24.75" customHeight="1">
      <c r="A15" s="592" t="s">
        <v>2</v>
      </c>
      <c r="B15" s="589"/>
      <c r="C15" s="589">
        <v>72</v>
      </c>
      <c r="D15" s="589">
        <v>1632000</v>
      </c>
      <c r="E15" s="589">
        <f>SUM(C15*D15)/1000</f>
        <v>117504</v>
      </c>
      <c r="F15" s="589"/>
      <c r="G15" s="591">
        <v>81.66</v>
      </c>
      <c r="H15" s="589">
        <v>1632000</v>
      </c>
      <c r="I15" s="589">
        <v>133280</v>
      </c>
      <c r="J15" s="589"/>
      <c r="K15" s="589"/>
      <c r="L15" s="589"/>
      <c r="M15" s="589"/>
      <c r="N15" s="819"/>
      <c r="O15" s="291"/>
      <c r="P15" s="291"/>
      <c r="T15" s="270"/>
      <c r="U15" s="270"/>
    </row>
    <row r="16" spans="1:21" ht="24.75" customHeight="1">
      <c r="A16" s="590" t="s">
        <v>3</v>
      </c>
      <c r="B16" s="589">
        <v>1757</v>
      </c>
      <c r="C16" s="589"/>
      <c r="D16" s="589">
        <v>54000</v>
      </c>
      <c r="E16" s="589">
        <f aca="true" t="shared" si="0" ref="E16:E22">SUM(D16*B16)/1000</f>
        <v>94878</v>
      </c>
      <c r="F16" s="591">
        <v>1742.66</v>
      </c>
      <c r="G16" s="589"/>
      <c r="H16" s="589">
        <v>54000</v>
      </c>
      <c r="I16" s="589">
        <v>94104</v>
      </c>
      <c r="J16" s="589"/>
      <c r="K16" s="589"/>
      <c r="L16" s="589"/>
      <c r="M16" s="589"/>
      <c r="N16" s="291"/>
      <c r="O16" s="291"/>
      <c r="P16" s="291"/>
      <c r="T16" s="270"/>
      <c r="U16" s="270"/>
    </row>
    <row r="17" spans="1:21" ht="24.75" customHeight="1">
      <c r="A17" s="590" t="s">
        <v>4</v>
      </c>
      <c r="B17" s="589"/>
      <c r="C17" s="589"/>
      <c r="D17" s="589"/>
      <c r="E17" s="589">
        <f t="shared" si="0"/>
        <v>0</v>
      </c>
      <c r="F17" s="589"/>
      <c r="G17" s="589"/>
      <c r="H17" s="589"/>
      <c r="I17" s="589">
        <f aca="true" t="shared" si="1" ref="I17:I22">SUM(H17*F17)/1000</f>
        <v>0</v>
      </c>
      <c r="J17" s="589"/>
      <c r="K17" s="589"/>
      <c r="L17" s="589"/>
      <c r="M17" s="589"/>
      <c r="N17" s="291"/>
      <c r="O17" s="291"/>
      <c r="P17" s="291"/>
      <c r="T17" s="270"/>
      <c r="U17" s="270"/>
    </row>
    <row r="18" spans="1:21" ht="24.75" customHeight="1">
      <c r="A18" s="593" t="s">
        <v>5</v>
      </c>
      <c r="B18" s="589">
        <v>20</v>
      </c>
      <c r="C18" s="589"/>
      <c r="D18" s="589">
        <v>102000</v>
      </c>
      <c r="E18" s="589">
        <f t="shared" si="0"/>
        <v>2040</v>
      </c>
      <c r="F18" s="589">
        <v>20</v>
      </c>
      <c r="G18" s="589"/>
      <c r="H18" s="589">
        <v>102000</v>
      </c>
      <c r="I18" s="589">
        <f t="shared" si="1"/>
        <v>2040</v>
      </c>
      <c r="J18" s="589"/>
      <c r="K18" s="589"/>
      <c r="L18" s="589"/>
      <c r="M18" s="589"/>
      <c r="N18" s="291"/>
      <c r="O18" s="291"/>
      <c r="P18" s="291"/>
      <c r="T18" s="270"/>
      <c r="U18" s="270"/>
    </row>
    <row r="19" spans="1:21" ht="24.75" customHeight="1">
      <c r="A19" s="593" t="s">
        <v>6</v>
      </c>
      <c r="B19" s="589">
        <v>186</v>
      </c>
      <c r="C19" s="589"/>
      <c r="D19" s="589">
        <v>102000</v>
      </c>
      <c r="E19" s="589">
        <f t="shared" si="0"/>
        <v>18972</v>
      </c>
      <c r="F19" s="589">
        <v>186</v>
      </c>
      <c r="G19" s="589"/>
      <c r="H19" s="589">
        <v>102000</v>
      </c>
      <c r="I19" s="589">
        <f t="shared" si="1"/>
        <v>18972</v>
      </c>
      <c r="J19" s="589"/>
      <c r="K19" s="589"/>
      <c r="L19" s="589"/>
      <c r="M19" s="589"/>
      <c r="N19" s="291"/>
      <c r="O19" s="291"/>
      <c r="P19" s="291"/>
      <c r="T19" s="270"/>
      <c r="U19" s="270"/>
    </row>
    <row r="20" spans="1:21" ht="24.75" customHeight="1">
      <c r="A20" s="593" t="s">
        <v>15</v>
      </c>
      <c r="B20" s="589">
        <v>200</v>
      </c>
      <c r="C20" s="589"/>
      <c r="D20" s="589">
        <v>102000</v>
      </c>
      <c r="E20" s="589">
        <f t="shared" si="0"/>
        <v>20400</v>
      </c>
      <c r="F20" s="589">
        <v>200</v>
      </c>
      <c r="G20" s="589"/>
      <c r="H20" s="589">
        <v>102000</v>
      </c>
      <c r="I20" s="589">
        <f t="shared" si="1"/>
        <v>20400</v>
      </c>
      <c r="J20" s="589"/>
      <c r="K20" s="589"/>
      <c r="L20" s="589"/>
      <c r="M20" s="589"/>
      <c r="N20" s="291"/>
      <c r="O20" s="291"/>
      <c r="P20" s="291"/>
      <c r="T20" s="270"/>
      <c r="U20" s="270"/>
    </row>
    <row r="21" spans="1:21" ht="24.75" customHeight="1">
      <c r="A21" s="593" t="s">
        <v>16</v>
      </c>
      <c r="B21" s="589">
        <v>694</v>
      </c>
      <c r="C21" s="589"/>
      <c r="D21" s="589">
        <v>102000</v>
      </c>
      <c r="E21" s="589">
        <f t="shared" si="0"/>
        <v>70788</v>
      </c>
      <c r="F21" s="589">
        <v>694</v>
      </c>
      <c r="G21" s="589"/>
      <c r="H21" s="589">
        <v>102000</v>
      </c>
      <c r="I21" s="589">
        <f t="shared" si="1"/>
        <v>70788</v>
      </c>
      <c r="J21" s="589"/>
      <c r="K21" s="589"/>
      <c r="L21" s="589"/>
      <c r="M21" s="589"/>
      <c r="N21" s="291"/>
      <c r="O21" s="291"/>
      <c r="P21" s="291"/>
      <c r="T21" s="270"/>
      <c r="U21" s="270"/>
    </row>
    <row r="22" spans="1:21" ht="24.75" customHeight="1">
      <c r="A22" s="593" t="s">
        <v>17</v>
      </c>
      <c r="B22" s="589">
        <v>1249</v>
      </c>
      <c r="C22" s="589"/>
      <c r="D22" s="589">
        <v>102000</v>
      </c>
      <c r="E22" s="589">
        <f t="shared" si="0"/>
        <v>127398</v>
      </c>
      <c r="F22" s="589">
        <v>1249</v>
      </c>
      <c r="G22" s="589"/>
      <c r="H22" s="589">
        <v>102000</v>
      </c>
      <c r="I22" s="589">
        <f t="shared" si="1"/>
        <v>127398</v>
      </c>
      <c r="J22" s="589"/>
      <c r="K22" s="589"/>
      <c r="L22" s="589"/>
      <c r="M22" s="589"/>
      <c r="N22" s="291"/>
      <c r="O22" s="291"/>
      <c r="P22" s="291"/>
      <c r="T22" s="270"/>
      <c r="U22" s="270"/>
    </row>
    <row r="23" spans="1:21" ht="24.75" customHeight="1">
      <c r="A23" s="588" t="s">
        <v>18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291"/>
      <c r="O23" s="291"/>
      <c r="P23" s="291"/>
      <c r="T23" s="270"/>
      <c r="U23" s="270"/>
    </row>
    <row r="24" spans="1:21" ht="24.75" customHeight="1">
      <c r="A24" s="590" t="s">
        <v>19</v>
      </c>
      <c r="B24" s="589"/>
      <c r="C24" s="589"/>
      <c r="D24" s="589"/>
      <c r="E24" s="589"/>
      <c r="F24" s="589"/>
      <c r="G24" s="589"/>
      <c r="H24" s="589"/>
      <c r="I24" s="589">
        <v>211846</v>
      </c>
      <c r="J24" s="589"/>
      <c r="K24" s="589"/>
      <c r="L24" s="589"/>
      <c r="M24" s="589"/>
      <c r="N24" s="291"/>
      <c r="O24" s="291"/>
      <c r="P24" s="291"/>
      <c r="T24" s="270"/>
      <c r="U24" s="270"/>
    </row>
    <row r="25" spans="1:21" ht="24.75" customHeight="1">
      <c r="A25" s="590" t="s">
        <v>253</v>
      </c>
      <c r="B25" s="589"/>
      <c r="C25" s="589"/>
      <c r="D25" s="589"/>
      <c r="E25" s="589"/>
      <c r="F25" s="589"/>
      <c r="G25" s="589"/>
      <c r="H25" s="589"/>
      <c r="I25" s="589">
        <v>7917</v>
      </c>
      <c r="J25" s="589"/>
      <c r="K25" s="589"/>
      <c r="L25" s="589"/>
      <c r="M25" s="589"/>
      <c r="N25" s="291"/>
      <c r="O25" s="291"/>
      <c r="P25" s="291"/>
      <c r="T25" s="270"/>
      <c r="U25" s="270"/>
    </row>
    <row r="26" spans="1:21" ht="24.75" customHeight="1">
      <c r="A26" s="590" t="s">
        <v>20</v>
      </c>
      <c r="B26" s="589">
        <v>59272</v>
      </c>
      <c r="C26" s="589"/>
      <c r="D26" s="589" t="s">
        <v>21</v>
      </c>
      <c r="E26" s="589">
        <v>134510</v>
      </c>
      <c r="F26" s="589">
        <v>59272</v>
      </c>
      <c r="G26" s="589"/>
      <c r="H26" s="589" t="s">
        <v>21</v>
      </c>
      <c r="I26" s="589">
        <v>134510</v>
      </c>
      <c r="J26" s="589"/>
      <c r="K26" s="589"/>
      <c r="L26" s="589"/>
      <c r="M26" s="589"/>
      <c r="N26" s="291"/>
      <c r="O26" s="291"/>
      <c r="P26" s="291"/>
      <c r="T26" s="270"/>
      <c r="U26" s="270"/>
    </row>
    <row r="27" spans="1:21" ht="24.75" customHeight="1">
      <c r="A27" s="590" t="s">
        <v>22</v>
      </c>
      <c r="B27" s="589">
        <v>60037</v>
      </c>
      <c r="C27" s="589"/>
      <c r="D27" s="589"/>
      <c r="E27" s="589">
        <v>47429</v>
      </c>
      <c r="F27" s="589">
        <v>71824</v>
      </c>
      <c r="G27" s="589"/>
      <c r="H27" s="589"/>
      <c r="I27" s="589">
        <v>47302</v>
      </c>
      <c r="J27" s="589">
        <v>11787</v>
      </c>
      <c r="K27" s="772">
        <v>1.68375</v>
      </c>
      <c r="L27" s="589"/>
      <c r="M27" s="589">
        <v>6651</v>
      </c>
      <c r="N27" s="291"/>
      <c r="O27" s="291"/>
      <c r="P27" s="291"/>
      <c r="T27" s="270"/>
      <c r="U27" s="270"/>
    </row>
    <row r="28" spans="1:21" ht="24.75" customHeight="1">
      <c r="A28" s="590" t="s">
        <v>23</v>
      </c>
      <c r="B28" s="589">
        <v>60037</v>
      </c>
      <c r="C28" s="589"/>
      <c r="D28" s="589">
        <v>300</v>
      </c>
      <c r="E28" s="589">
        <f>SUM(B28*D28)/1000</f>
        <v>18011.1</v>
      </c>
      <c r="F28" s="589">
        <v>71824</v>
      </c>
      <c r="G28" s="589"/>
      <c r="H28" s="589">
        <v>300</v>
      </c>
      <c r="I28" s="589">
        <f>SUM(F28*H28)/1000</f>
        <v>21547.2</v>
      </c>
      <c r="J28" s="589">
        <v>11787</v>
      </c>
      <c r="K28" s="589"/>
      <c r="L28" s="589">
        <v>300</v>
      </c>
      <c r="M28" s="589">
        <f>SUM(J28*L28)/1000</f>
        <v>3536.1</v>
      </c>
      <c r="N28" s="291"/>
      <c r="O28" s="291"/>
      <c r="P28" s="291"/>
      <c r="T28" s="270"/>
      <c r="U28" s="270"/>
    </row>
    <row r="29" spans="1:21" ht="24.75" customHeight="1">
      <c r="A29" s="592" t="s">
        <v>24</v>
      </c>
      <c r="B29" s="589">
        <v>60037</v>
      </c>
      <c r="C29" s="589"/>
      <c r="D29" s="589">
        <v>300</v>
      </c>
      <c r="E29" s="589">
        <f>SUM(B29*D29)/1000</f>
        <v>18011.1</v>
      </c>
      <c r="F29" s="589">
        <v>71824</v>
      </c>
      <c r="G29" s="589"/>
      <c r="H29" s="589">
        <v>300</v>
      </c>
      <c r="I29" s="589">
        <f>SUM(F29*H29)/1000</f>
        <v>21547.2</v>
      </c>
      <c r="J29" s="589">
        <v>11787</v>
      </c>
      <c r="K29" s="589"/>
      <c r="L29" s="589">
        <v>300</v>
      </c>
      <c r="M29" s="589">
        <f>SUM(J29*L29)/1000</f>
        <v>3536.1</v>
      </c>
      <c r="N29" s="291"/>
      <c r="O29" s="291"/>
      <c r="P29" s="291"/>
      <c r="T29" s="270"/>
      <c r="U29" s="270"/>
    </row>
    <row r="30" spans="1:21" ht="24.75" customHeight="1">
      <c r="A30" s="590" t="s">
        <v>25</v>
      </c>
      <c r="B30" s="589"/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291"/>
      <c r="O30" s="291"/>
      <c r="P30" s="291"/>
      <c r="T30" s="270"/>
      <c r="U30" s="270"/>
    </row>
    <row r="31" spans="1:21" ht="24.75" customHeight="1">
      <c r="A31" s="590" t="s">
        <v>26</v>
      </c>
      <c r="B31" s="589"/>
      <c r="C31" s="589">
        <v>1</v>
      </c>
      <c r="D31" s="589">
        <v>2099400</v>
      </c>
      <c r="E31" s="589">
        <f aca="true" t="shared" si="2" ref="E31:E36">SUM(C31*D31)/1000</f>
        <v>2099.4</v>
      </c>
      <c r="F31" s="589"/>
      <c r="G31" s="589">
        <v>1</v>
      </c>
      <c r="H31" s="589">
        <v>2099400</v>
      </c>
      <c r="I31" s="589">
        <f aca="true" t="shared" si="3" ref="I31:I36">SUM(G31*H31)/1000</f>
        <v>2099.4</v>
      </c>
      <c r="J31" s="589"/>
      <c r="K31" s="589"/>
      <c r="L31" s="589"/>
      <c r="M31" s="589"/>
      <c r="N31" s="291"/>
      <c r="O31" s="291"/>
      <c r="P31" s="291"/>
      <c r="T31" s="270"/>
      <c r="U31" s="270"/>
    </row>
    <row r="32" spans="1:21" ht="24.75" customHeight="1">
      <c r="A32" s="590" t="s">
        <v>27</v>
      </c>
      <c r="B32" s="594"/>
      <c r="C32" s="589">
        <v>470</v>
      </c>
      <c r="D32" s="589">
        <v>60896</v>
      </c>
      <c r="E32" s="589">
        <f t="shared" si="2"/>
        <v>28621.12</v>
      </c>
      <c r="F32" s="594"/>
      <c r="G32" s="589">
        <v>631</v>
      </c>
      <c r="H32" s="589">
        <v>60896</v>
      </c>
      <c r="I32" s="589">
        <v>38426</v>
      </c>
      <c r="J32" s="594"/>
      <c r="K32" s="589">
        <v>161</v>
      </c>
      <c r="L32" s="589">
        <v>60896</v>
      </c>
      <c r="M32" s="589">
        <f>SUM(K32*L32)/1000</f>
        <v>9804.256</v>
      </c>
      <c r="N32" s="291"/>
      <c r="O32" s="292"/>
      <c r="P32" s="291"/>
      <c r="T32" s="270"/>
      <c r="U32" s="270"/>
    </row>
    <row r="33" spans="1:21" ht="24.75" customHeight="1">
      <c r="A33" s="590" t="s">
        <v>28</v>
      </c>
      <c r="B33" s="594"/>
      <c r="C33" s="589">
        <v>65</v>
      </c>
      <c r="D33" s="589">
        <v>188500</v>
      </c>
      <c r="E33" s="589">
        <f t="shared" si="2"/>
        <v>12252.5</v>
      </c>
      <c r="F33" s="594"/>
      <c r="G33" s="589">
        <v>265</v>
      </c>
      <c r="H33" s="589">
        <v>188500</v>
      </c>
      <c r="I33" s="589">
        <v>49954</v>
      </c>
      <c r="J33" s="594"/>
      <c r="K33" s="589">
        <v>200</v>
      </c>
      <c r="L33" s="589">
        <v>188500</v>
      </c>
      <c r="M33" s="589">
        <f>SUM(K33*L33)/1000</f>
        <v>37700</v>
      </c>
      <c r="N33" s="291"/>
      <c r="O33" s="292"/>
      <c r="P33" s="291"/>
      <c r="T33" s="270"/>
      <c r="U33" s="270"/>
    </row>
    <row r="34" spans="1:21" ht="24.75" customHeight="1">
      <c r="A34" s="592" t="s">
        <v>29</v>
      </c>
      <c r="B34" s="595"/>
      <c r="C34" s="589">
        <v>85</v>
      </c>
      <c r="D34" s="589">
        <v>163500</v>
      </c>
      <c r="E34" s="589">
        <f t="shared" si="2"/>
        <v>13897.5</v>
      </c>
      <c r="F34" s="595"/>
      <c r="G34" s="589">
        <v>190</v>
      </c>
      <c r="H34" s="589">
        <v>163500</v>
      </c>
      <c r="I34" s="589">
        <f t="shared" si="3"/>
        <v>31065</v>
      </c>
      <c r="J34" s="595"/>
      <c r="K34" s="589">
        <v>105</v>
      </c>
      <c r="L34" s="589">
        <v>163500</v>
      </c>
      <c r="M34" s="589">
        <f>SUM(K34*L34)/1000</f>
        <v>17167.5</v>
      </c>
      <c r="N34" s="291"/>
      <c r="O34" s="292"/>
      <c r="P34" s="291"/>
      <c r="T34" s="270"/>
      <c r="U34" s="270"/>
    </row>
    <row r="35" spans="1:21" ht="24.75" customHeight="1">
      <c r="A35" s="592" t="s">
        <v>30</v>
      </c>
      <c r="B35" s="595"/>
      <c r="C35" s="589">
        <v>6</v>
      </c>
      <c r="D35" s="589">
        <v>550000</v>
      </c>
      <c r="E35" s="589">
        <f t="shared" si="2"/>
        <v>3300</v>
      </c>
      <c r="F35" s="595"/>
      <c r="G35" s="589">
        <v>6</v>
      </c>
      <c r="H35" s="589">
        <v>550000</v>
      </c>
      <c r="I35" s="589">
        <f t="shared" si="3"/>
        <v>3300</v>
      </c>
      <c r="J35" s="595"/>
      <c r="K35" s="589"/>
      <c r="L35" s="589"/>
      <c r="M35" s="589"/>
      <c r="N35" s="291"/>
      <c r="O35" s="292"/>
      <c r="P35" s="291"/>
      <c r="T35" s="270"/>
      <c r="U35" s="270"/>
    </row>
    <row r="36" spans="1:21" ht="24.75" customHeight="1">
      <c r="A36" s="592" t="s">
        <v>35</v>
      </c>
      <c r="B36" s="595"/>
      <c r="C36" s="589">
        <v>21</v>
      </c>
      <c r="D36" s="589">
        <v>372000</v>
      </c>
      <c r="E36" s="589">
        <f t="shared" si="2"/>
        <v>7812</v>
      </c>
      <c r="F36" s="595"/>
      <c r="G36" s="589">
        <v>21</v>
      </c>
      <c r="H36" s="589">
        <v>372000</v>
      </c>
      <c r="I36" s="589">
        <f t="shared" si="3"/>
        <v>7812</v>
      </c>
      <c r="J36" s="595"/>
      <c r="K36" s="589"/>
      <c r="L36" s="589"/>
      <c r="M36" s="589"/>
      <c r="N36" s="291"/>
      <c r="O36" s="292"/>
      <c r="P36" s="291"/>
      <c r="T36" s="270"/>
      <c r="U36" s="270"/>
    </row>
    <row r="37" spans="1:21" ht="24.75" customHeight="1">
      <c r="A37" s="592" t="s">
        <v>36</v>
      </c>
      <c r="B37" s="595"/>
      <c r="C37" s="589"/>
      <c r="D37" s="589"/>
      <c r="E37" s="589"/>
      <c r="F37" s="595"/>
      <c r="G37" s="589"/>
      <c r="H37" s="589"/>
      <c r="I37" s="589"/>
      <c r="J37" s="595"/>
      <c r="K37" s="589"/>
      <c r="L37" s="589"/>
      <c r="M37" s="589"/>
      <c r="N37" s="291"/>
      <c r="O37" s="292"/>
      <c r="P37" s="291"/>
      <c r="T37" s="270"/>
      <c r="U37" s="270"/>
    </row>
    <row r="38" spans="1:21" ht="24.75" customHeight="1">
      <c r="A38" s="590" t="s">
        <v>37</v>
      </c>
      <c r="B38" s="596"/>
      <c r="C38" s="596">
        <v>260</v>
      </c>
      <c r="D38" s="594">
        <v>494100</v>
      </c>
      <c r="E38" s="589">
        <f aca="true" t="shared" si="4" ref="E38:E43">SUM(C38*D38)/1000</f>
        <v>128466</v>
      </c>
      <c r="F38" s="596"/>
      <c r="G38" s="596">
        <v>260</v>
      </c>
      <c r="H38" s="594">
        <v>494100</v>
      </c>
      <c r="I38" s="589">
        <f aca="true" t="shared" si="5" ref="I38:I43">SUM(G38*H38)/1000</f>
        <v>128466</v>
      </c>
      <c r="J38" s="596"/>
      <c r="K38" s="596"/>
      <c r="L38" s="594"/>
      <c r="M38" s="589"/>
      <c r="N38" s="291"/>
      <c r="O38" s="292"/>
      <c r="P38" s="291"/>
      <c r="T38" s="270"/>
      <c r="U38" s="270"/>
    </row>
    <row r="39" spans="1:21" ht="24.75" customHeight="1">
      <c r="A39" s="590" t="s">
        <v>38</v>
      </c>
      <c r="B39" s="596"/>
      <c r="C39" s="597">
        <v>5</v>
      </c>
      <c r="D39" s="589">
        <v>988200</v>
      </c>
      <c r="E39" s="589">
        <f t="shared" si="4"/>
        <v>4941</v>
      </c>
      <c r="F39" s="596"/>
      <c r="G39" s="597">
        <v>5</v>
      </c>
      <c r="H39" s="589">
        <v>988200</v>
      </c>
      <c r="I39" s="589">
        <f t="shared" si="5"/>
        <v>4941</v>
      </c>
      <c r="J39" s="596"/>
      <c r="K39" s="597"/>
      <c r="L39" s="589"/>
      <c r="M39" s="589"/>
      <c r="N39" s="291"/>
      <c r="O39" s="292"/>
      <c r="P39" s="291"/>
      <c r="T39" s="270"/>
      <c r="U39" s="270"/>
    </row>
    <row r="40" spans="1:15" ht="24.75" customHeight="1">
      <c r="A40" s="590" t="s">
        <v>39</v>
      </c>
      <c r="B40" s="598"/>
      <c r="C40" s="589"/>
      <c r="D40" s="589"/>
      <c r="E40" s="589">
        <f t="shared" si="4"/>
        <v>0</v>
      </c>
      <c r="F40" s="598"/>
      <c r="G40" s="589"/>
      <c r="H40" s="589"/>
      <c r="I40" s="589">
        <f t="shared" si="5"/>
        <v>0</v>
      </c>
      <c r="J40" s="598"/>
      <c r="K40" s="589"/>
      <c r="L40" s="589"/>
      <c r="M40" s="589"/>
      <c r="O40" s="293"/>
    </row>
    <row r="41" spans="1:15" ht="24.75" customHeight="1">
      <c r="A41" s="590" t="s">
        <v>40</v>
      </c>
      <c r="B41" s="598"/>
      <c r="C41" s="589">
        <v>3</v>
      </c>
      <c r="D41" s="589">
        <v>762780</v>
      </c>
      <c r="E41" s="589">
        <f t="shared" si="4"/>
        <v>2288.34</v>
      </c>
      <c r="F41" s="598"/>
      <c r="G41" s="589">
        <v>3</v>
      </c>
      <c r="H41" s="589">
        <v>635650</v>
      </c>
      <c r="I41" s="589">
        <f t="shared" si="5"/>
        <v>1906.95</v>
      </c>
      <c r="J41" s="598"/>
      <c r="K41" s="589"/>
      <c r="L41" s="589"/>
      <c r="M41" s="589"/>
      <c r="O41" s="294"/>
    </row>
    <row r="42" spans="1:13" ht="24.75" customHeight="1">
      <c r="A42" s="592" t="s">
        <v>41</v>
      </c>
      <c r="B42" s="594"/>
      <c r="C42" s="589"/>
      <c r="D42" s="589"/>
      <c r="E42" s="589">
        <f t="shared" si="4"/>
        <v>0</v>
      </c>
      <c r="F42" s="594"/>
      <c r="G42" s="589"/>
      <c r="H42" s="589"/>
      <c r="I42" s="589">
        <f t="shared" si="5"/>
        <v>0</v>
      </c>
      <c r="J42" s="594"/>
      <c r="K42" s="589"/>
      <c r="L42" s="589"/>
      <c r="M42" s="589">
        <f>SUM(K42*L42)/1000</f>
        <v>0</v>
      </c>
    </row>
    <row r="43" spans="1:17" ht="24.75" customHeight="1">
      <c r="A43" s="592" t="s">
        <v>42</v>
      </c>
      <c r="B43" s="594"/>
      <c r="C43" s="589">
        <v>38</v>
      </c>
      <c r="D43" s="589">
        <v>2606040</v>
      </c>
      <c r="E43" s="589">
        <f t="shared" si="4"/>
        <v>99029.52</v>
      </c>
      <c r="F43" s="594"/>
      <c r="G43" s="589">
        <v>38</v>
      </c>
      <c r="H43" s="589">
        <v>2606040</v>
      </c>
      <c r="I43" s="589">
        <f t="shared" si="5"/>
        <v>99029.52</v>
      </c>
      <c r="J43" s="594"/>
      <c r="K43" s="589"/>
      <c r="L43" s="589"/>
      <c r="M43" s="589"/>
      <c r="O43" s="291"/>
      <c r="Q43" s="291"/>
    </row>
    <row r="44" spans="1:15" ht="24.75" customHeight="1">
      <c r="A44" s="590" t="s">
        <v>43</v>
      </c>
      <c r="B44" s="594"/>
      <c r="C44" s="589"/>
      <c r="D44" s="589"/>
      <c r="E44" s="589">
        <v>19812</v>
      </c>
      <c r="F44" s="594"/>
      <c r="G44" s="589"/>
      <c r="H44" s="589"/>
      <c r="I44" s="589">
        <v>19431</v>
      </c>
      <c r="J44" s="594"/>
      <c r="K44" s="589"/>
      <c r="L44" s="589"/>
      <c r="M44" s="589"/>
      <c r="O44" s="291"/>
    </row>
    <row r="45" spans="1:15" ht="24.75" customHeight="1">
      <c r="A45" s="599" t="s">
        <v>44</v>
      </c>
      <c r="B45" s="594"/>
      <c r="C45" s="589"/>
      <c r="D45" s="600"/>
      <c r="E45" s="589"/>
      <c r="F45" s="594"/>
      <c r="G45" s="589"/>
      <c r="H45" s="600"/>
      <c r="I45" s="589"/>
      <c r="J45" s="594"/>
      <c r="K45" s="589"/>
      <c r="L45" s="600"/>
      <c r="M45" s="589"/>
      <c r="O45" s="291"/>
    </row>
    <row r="46" spans="1:15" ht="24.75" customHeight="1">
      <c r="A46" s="592" t="s">
        <v>45</v>
      </c>
      <c r="B46" s="594"/>
      <c r="C46" s="589"/>
      <c r="D46" s="600"/>
      <c r="E46" s="589">
        <v>101100</v>
      </c>
      <c r="F46" s="594"/>
      <c r="G46" s="589"/>
      <c r="H46" s="600"/>
      <c r="I46" s="589">
        <v>101100</v>
      </c>
      <c r="J46" s="594"/>
      <c r="K46" s="589"/>
      <c r="L46" s="600"/>
      <c r="M46" s="589"/>
      <c r="O46" s="291"/>
    </row>
    <row r="47" spans="1:15" ht="24.75" customHeight="1">
      <c r="A47" s="592" t="s">
        <v>58</v>
      </c>
      <c r="B47" s="594"/>
      <c r="C47" s="589"/>
      <c r="D47" s="600"/>
      <c r="E47" s="589">
        <v>112600</v>
      </c>
      <c r="F47" s="594"/>
      <c r="G47" s="589"/>
      <c r="H47" s="600"/>
      <c r="I47" s="589">
        <v>112600</v>
      </c>
      <c r="J47" s="594"/>
      <c r="K47" s="589"/>
      <c r="L47" s="600"/>
      <c r="M47" s="589"/>
      <c r="O47" s="291"/>
    </row>
    <row r="48" spans="1:15" ht="24.75" customHeight="1">
      <c r="A48" s="592" t="s">
        <v>59</v>
      </c>
      <c r="B48" s="594">
        <v>59272</v>
      </c>
      <c r="C48" s="589"/>
      <c r="D48" s="600">
        <v>400</v>
      </c>
      <c r="E48" s="589">
        <f>SUM(B48*D48)/1000</f>
        <v>23708.8</v>
      </c>
      <c r="F48" s="594">
        <v>59272</v>
      </c>
      <c r="G48" s="589"/>
      <c r="H48" s="600">
        <v>400</v>
      </c>
      <c r="I48" s="589">
        <f>SUM(F48*H48)/1000</f>
        <v>23708.8</v>
      </c>
      <c r="J48" s="594"/>
      <c r="K48" s="589"/>
      <c r="L48" s="600"/>
      <c r="M48" s="589"/>
      <c r="O48" s="291"/>
    </row>
    <row r="49" spans="1:15" ht="24.75" customHeight="1">
      <c r="A49" s="592" t="s">
        <v>60</v>
      </c>
      <c r="B49" s="594"/>
      <c r="C49" s="589"/>
      <c r="D49" s="589"/>
      <c r="E49" s="589"/>
      <c r="F49" s="594"/>
      <c r="G49" s="589"/>
      <c r="H49" s="589"/>
      <c r="I49" s="589">
        <v>163566</v>
      </c>
      <c r="J49" s="594"/>
      <c r="K49" s="589"/>
      <c r="L49" s="589"/>
      <c r="M49" s="589"/>
      <c r="O49" s="291"/>
    </row>
    <row r="50" spans="1:15" ht="24.75" customHeight="1">
      <c r="A50" s="592" t="s">
        <v>61</v>
      </c>
      <c r="B50" s="594"/>
      <c r="C50" s="589"/>
      <c r="D50" s="589"/>
      <c r="E50" s="589"/>
      <c r="F50" s="594"/>
      <c r="G50" s="589"/>
      <c r="H50" s="589"/>
      <c r="I50" s="589"/>
      <c r="J50" s="594"/>
      <c r="K50" s="589"/>
      <c r="L50" s="589"/>
      <c r="M50" s="589"/>
      <c r="O50" s="291"/>
    </row>
    <row r="51" spans="1:15" ht="15.75" customHeight="1">
      <c r="A51" s="592" t="s">
        <v>62</v>
      </c>
      <c r="B51" s="594"/>
      <c r="C51" s="589"/>
      <c r="D51" s="589"/>
      <c r="E51" s="589"/>
      <c r="F51" s="594"/>
      <c r="G51" s="589"/>
      <c r="H51" s="589"/>
      <c r="I51" s="589"/>
      <c r="J51" s="594"/>
      <c r="K51" s="589"/>
      <c r="L51" s="589"/>
      <c r="M51" s="589"/>
      <c r="O51" s="291"/>
    </row>
    <row r="52" spans="1:15" ht="15.75" customHeight="1">
      <c r="A52" s="601" t="s">
        <v>63</v>
      </c>
      <c r="B52" s="594"/>
      <c r="C52" s="589"/>
      <c r="D52" s="589"/>
      <c r="E52" s="589">
        <v>245100</v>
      </c>
      <c r="F52" s="594"/>
      <c r="G52" s="589"/>
      <c r="H52" s="589"/>
      <c r="I52" s="589">
        <v>245100</v>
      </c>
      <c r="J52" s="594"/>
      <c r="K52" s="589"/>
      <c r="L52" s="589"/>
      <c r="M52" s="589"/>
      <c r="O52" s="291"/>
    </row>
    <row r="53" spans="1:15" ht="15.75" customHeight="1">
      <c r="A53" s="599" t="s">
        <v>256</v>
      </c>
      <c r="B53" s="594"/>
      <c r="C53" s="589"/>
      <c r="D53" s="589"/>
      <c r="E53" s="589"/>
      <c r="F53" s="594"/>
      <c r="G53" s="589"/>
      <c r="H53" s="589"/>
      <c r="I53" s="589">
        <v>43</v>
      </c>
      <c r="J53" s="594"/>
      <c r="K53" s="589"/>
      <c r="L53" s="589"/>
      <c r="M53" s="589"/>
      <c r="O53" s="291"/>
    </row>
    <row r="54" spans="1:21" s="274" customFormat="1" ht="15.75" customHeight="1">
      <c r="A54" s="602" t="s">
        <v>64</v>
      </c>
      <c r="B54" s="603"/>
      <c r="C54" s="604"/>
      <c r="D54" s="604"/>
      <c r="E54" s="604"/>
      <c r="F54" s="603"/>
      <c r="G54" s="604"/>
      <c r="H54" s="604"/>
      <c r="I54" s="604"/>
      <c r="J54" s="603"/>
      <c r="K54" s="604"/>
      <c r="L54" s="604"/>
      <c r="M54" s="604"/>
      <c r="N54" s="273"/>
      <c r="O54" s="295"/>
      <c r="P54" s="273"/>
      <c r="Q54" s="273"/>
      <c r="R54" s="273"/>
      <c r="S54" s="273"/>
      <c r="T54" s="273"/>
      <c r="U54" s="273"/>
    </row>
    <row r="55" spans="1:15" ht="15.75" customHeight="1">
      <c r="A55" s="592" t="s">
        <v>65</v>
      </c>
      <c r="B55" s="594">
        <v>9075485</v>
      </c>
      <c r="C55" s="589"/>
      <c r="D55" s="605">
        <v>1.5</v>
      </c>
      <c r="E55" s="589">
        <f>SUM(B55*D55)/1000</f>
        <v>13613.2275</v>
      </c>
      <c r="F55" s="594">
        <v>9075485</v>
      </c>
      <c r="G55" s="589"/>
      <c r="H55" s="605">
        <v>1.5</v>
      </c>
      <c r="I55" s="589">
        <f>SUM(F55*H55)/1000</f>
        <v>13613.2275</v>
      </c>
      <c r="J55" s="594"/>
      <c r="K55" s="589"/>
      <c r="L55" s="605"/>
      <c r="M55" s="589"/>
      <c r="O55" s="291"/>
    </row>
    <row r="56" spans="1:15" ht="15.75" customHeight="1">
      <c r="A56" s="592" t="s">
        <v>66</v>
      </c>
      <c r="B56" s="594"/>
      <c r="C56" s="589"/>
      <c r="D56" s="605"/>
      <c r="E56" s="589"/>
      <c r="F56" s="594"/>
      <c r="G56" s="589"/>
      <c r="H56" s="605"/>
      <c r="I56" s="589">
        <v>8524</v>
      </c>
      <c r="J56" s="594"/>
      <c r="K56" s="589"/>
      <c r="L56" s="605"/>
      <c r="M56" s="589"/>
      <c r="O56" s="291"/>
    </row>
    <row r="57" spans="1:15" ht="24.75" customHeight="1">
      <c r="A57" s="592" t="s">
        <v>671</v>
      </c>
      <c r="B57" s="594"/>
      <c r="C57" s="589"/>
      <c r="D57" s="605"/>
      <c r="E57" s="589"/>
      <c r="F57" s="594"/>
      <c r="G57" s="589"/>
      <c r="H57" s="605"/>
      <c r="I57" s="589"/>
      <c r="J57" s="594"/>
      <c r="K57" s="589"/>
      <c r="L57" s="605"/>
      <c r="M57" s="589"/>
      <c r="O57" s="291"/>
    </row>
    <row r="58" spans="1:15" ht="15.75" customHeight="1">
      <c r="A58" s="592" t="s">
        <v>1084</v>
      </c>
      <c r="B58" s="594"/>
      <c r="C58" s="589"/>
      <c r="D58" s="605"/>
      <c r="E58" s="589"/>
      <c r="F58" s="594"/>
      <c r="G58" s="589"/>
      <c r="H58" s="605"/>
      <c r="I58" s="589">
        <v>3414</v>
      </c>
      <c r="J58" s="594"/>
      <c r="K58" s="589"/>
      <c r="L58" s="605"/>
      <c r="M58" s="589"/>
      <c r="O58" s="291"/>
    </row>
    <row r="59" spans="1:15" ht="15.75" customHeight="1">
      <c r="A59" s="592" t="s">
        <v>1085</v>
      </c>
      <c r="B59" s="594"/>
      <c r="C59" s="589"/>
      <c r="D59" s="605"/>
      <c r="E59" s="589"/>
      <c r="F59" s="594"/>
      <c r="G59" s="589"/>
      <c r="H59" s="605"/>
      <c r="I59" s="589">
        <v>7517</v>
      </c>
      <c r="J59" s="594"/>
      <c r="K59" s="589"/>
      <c r="L59" s="605"/>
      <c r="M59" s="589">
        <v>7106</v>
      </c>
      <c r="O59" s="291"/>
    </row>
    <row r="60" spans="1:15" ht="15.75" customHeight="1">
      <c r="A60" s="774" t="s">
        <v>260</v>
      </c>
      <c r="B60" s="594"/>
      <c r="C60" s="589"/>
      <c r="D60" s="605"/>
      <c r="E60" s="589"/>
      <c r="F60" s="594"/>
      <c r="G60" s="589"/>
      <c r="H60" s="605"/>
      <c r="I60" s="589">
        <v>23</v>
      </c>
      <c r="J60" s="594"/>
      <c r="K60" s="589"/>
      <c r="L60" s="605"/>
      <c r="M60" s="589"/>
      <c r="O60" s="291"/>
    </row>
    <row r="61" spans="1:15" ht="15.75" customHeight="1">
      <c r="A61" s="592" t="s">
        <v>518</v>
      </c>
      <c r="B61" s="594"/>
      <c r="C61" s="589"/>
      <c r="D61" s="605"/>
      <c r="E61" s="589"/>
      <c r="F61" s="594"/>
      <c r="G61" s="589"/>
      <c r="H61" s="605"/>
      <c r="I61" s="589">
        <v>1782</v>
      </c>
      <c r="J61" s="594"/>
      <c r="K61" s="589"/>
      <c r="L61" s="605"/>
      <c r="M61" s="589"/>
      <c r="O61" s="291"/>
    </row>
    <row r="62" spans="1:15" ht="24.75" customHeight="1">
      <c r="A62" s="592" t="s">
        <v>259</v>
      </c>
      <c r="B62" s="594"/>
      <c r="C62" s="589"/>
      <c r="D62" s="605"/>
      <c r="E62" s="589"/>
      <c r="F62" s="594"/>
      <c r="G62" s="589"/>
      <c r="H62" s="605"/>
      <c r="I62" s="589">
        <v>10943</v>
      </c>
      <c r="J62" s="594"/>
      <c r="K62" s="589"/>
      <c r="L62" s="605"/>
      <c r="M62" s="589"/>
      <c r="O62" s="291"/>
    </row>
    <row r="63" spans="1:15" ht="15.75" customHeight="1">
      <c r="A63" s="592" t="s">
        <v>261</v>
      </c>
      <c r="B63" s="594"/>
      <c r="C63" s="589"/>
      <c r="D63" s="605"/>
      <c r="E63" s="589"/>
      <c r="F63" s="594"/>
      <c r="G63" s="589"/>
      <c r="H63" s="605"/>
      <c r="I63" s="589">
        <v>3598</v>
      </c>
      <c r="J63" s="594"/>
      <c r="K63" s="589"/>
      <c r="L63" s="605"/>
      <c r="M63" s="589"/>
      <c r="O63" s="291"/>
    </row>
    <row r="64" spans="1:15" ht="15.75" customHeight="1">
      <c r="A64" s="592" t="s">
        <v>262</v>
      </c>
      <c r="B64" s="594"/>
      <c r="C64" s="589"/>
      <c r="D64" s="605"/>
      <c r="E64" s="589"/>
      <c r="F64" s="594"/>
      <c r="G64" s="589"/>
      <c r="H64" s="605"/>
      <c r="I64" s="589">
        <v>48</v>
      </c>
      <c r="J64" s="594"/>
      <c r="K64" s="589"/>
      <c r="L64" s="605"/>
      <c r="M64" s="589"/>
      <c r="O64" s="291"/>
    </row>
    <row r="65" spans="1:15" ht="15.75" customHeight="1">
      <c r="A65" s="599" t="s">
        <v>672</v>
      </c>
      <c r="B65" s="594"/>
      <c r="C65" s="589"/>
      <c r="D65" s="605"/>
      <c r="E65" s="589"/>
      <c r="F65" s="594"/>
      <c r="G65" s="589"/>
      <c r="H65" s="605"/>
      <c r="I65" s="589"/>
      <c r="J65" s="594"/>
      <c r="K65" s="589"/>
      <c r="L65" s="605"/>
      <c r="M65" s="589"/>
      <c r="O65" s="291"/>
    </row>
    <row r="66" spans="1:15" ht="15.75" customHeight="1">
      <c r="A66" s="592" t="s">
        <v>254</v>
      </c>
      <c r="B66" s="594"/>
      <c r="C66" s="589"/>
      <c r="D66" s="605"/>
      <c r="E66" s="589"/>
      <c r="F66" s="594"/>
      <c r="G66" s="589"/>
      <c r="H66" s="605"/>
      <c r="I66" s="589">
        <v>72509</v>
      </c>
      <c r="J66" s="594"/>
      <c r="K66" s="589"/>
      <c r="L66" s="605"/>
      <c r="M66" s="589">
        <v>966</v>
      </c>
      <c r="O66" s="291"/>
    </row>
    <row r="67" spans="1:15" ht="15.75" customHeight="1">
      <c r="A67" s="592" t="s">
        <v>255</v>
      </c>
      <c r="B67" s="594"/>
      <c r="C67" s="589"/>
      <c r="D67" s="605"/>
      <c r="E67" s="589"/>
      <c r="F67" s="594"/>
      <c r="G67" s="589"/>
      <c r="H67" s="605"/>
      <c r="I67" s="589">
        <v>244439</v>
      </c>
      <c r="J67" s="594"/>
      <c r="K67" s="589"/>
      <c r="L67" s="605"/>
      <c r="M67" s="589"/>
      <c r="O67" s="291"/>
    </row>
    <row r="68" spans="1:15" ht="15.75" customHeight="1">
      <c r="A68" s="773" t="s">
        <v>257</v>
      </c>
      <c r="B68" s="594"/>
      <c r="C68" s="589"/>
      <c r="D68" s="605"/>
      <c r="E68" s="589"/>
      <c r="F68" s="594"/>
      <c r="G68" s="589"/>
      <c r="H68" s="605"/>
      <c r="I68" s="589">
        <v>34262</v>
      </c>
      <c r="J68" s="594"/>
      <c r="K68" s="589"/>
      <c r="L68" s="605"/>
      <c r="M68" s="589"/>
      <c r="O68" s="291"/>
    </row>
    <row r="69" spans="1:15" ht="24.75" customHeight="1">
      <c r="A69" s="773" t="s">
        <v>258</v>
      </c>
      <c r="B69" s="594"/>
      <c r="C69" s="589"/>
      <c r="D69" s="605"/>
      <c r="E69" s="589"/>
      <c r="F69" s="594"/>
      <c r="G69" s="589"/>
      <c r="H69" s="605"/>
      <c r="I69" s="589">
        <v>32553</v>
      </c>
      <c r="J69" s="594"/>
      <c r="K69" s="589"/>
      <c r="L69" s="605"/>
      <c r="M69" s="589"/>
      <c r="O69" s="291"/>
    </row>
    <row r="70" spans="1:21" s="272" customFormat="1" ht="24.75" customHeight="1">
      <c r="A70" s="606" t="s">
        <v>67</v>
      </c>
      <c r="B70" s="607"/>
      <c r="C70" s="607"/>
      <c r="D70" s="607"/>
      <c r="E70" s="607">
        <f>SUM(E4:E65)</f>
        <v>2076249.0075000003</v>
      </c>
      <c r="F70" s="607"/>
      <c r="G70" s="607"/>
      <c r="H70" s="607"/>
      <c r="I70" s="607">
        <f>SUM(I4:I69)</f>
        <v>2962259.6975</v>
      </c>
      <c r="J70" s="607"/>
      <c r="K70" s="607"/>
      <c r="L70" s="607"/>
      <c r="M70" s="607">
        <f>SUM(M4:M69)</f>
        <v>86466.956</v>
      </c>
      <c r="N70" s="271"/>
      <c r="O70" s="271"/>
      <c r="P70" s="271"/>
      <c r="Q70" s="271"/>
      <c r="R70" s="271"/>
      <c r="S70" s="271"/>
      <c r="T70" s="271"/>
      <c r="U70" s="271"/>
    </row>
    <row r="71" spans="1:13" ht="12.75" customHeight="1">
      <c r="A71" s="2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96"/>
    </row>
    <row r="72" spans="1:13" ht="18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7"/>
      <c r="K72" s="277"/>
      <c r="L72" s="277"/>
      <c r="M72" s="297"/>
    </row>
    <row r="73" ht="12" hidden="1"/>
    <row r="74" ht="12" hidden="1"/>
  </sheetData>
  <sheetProtection selectLockedCells="1" selectUnlockedCells="1"/>
  <mergeCells count="4">
    <mergeCell ref="J1:M1"/>
    <mergeCell ref="N14:N15"/>
    <mergeCell ref="B1:E1"/>
    <mergeCell ref="F1:I1"/>
  </mergeCells>
  <printOptions horizontalCentered="1" verticalCentered="1"/>
  <pageMargins left="0.07874015748031496" right="0.07874015748031496" top="0.5118110236220472" bottom="0.4330708661417323" header="0.3937007874015748" footer="0.3937007874015748"/>
  <pageSetup horizontalDpi="300" verticalDpi="300" orientation="landscape" paperSize="9" scale="60" r:id="rId1"/>
  <headerFooter alignWithMargins="0">
    <oddHeader>&amp;C&amp;"Times New Roman,Félkövér dőlt"ÁLLAMI HOZZÁJÁRULÁSOK 2013. ÉVBEN&amp;R&amp;"Times New Roman,Normál"3. sz. melléklet
Adatok: eFt-ban</oddHeader>
    <oddFooter>&amp;C&amp;P</oddFooter>
  </headerFooter>
  <rowBreaks count="2" manualBreakCount="2">
    <brk id="70" max="8" man="1"/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B1">
      <selection activeCell="E19" sqref="E19"/>
    </sheetView>
  </sheetViews>
  <sheetFormatPr defaultColWidth="9.00390625" defaultRowHeight="12.75"/>
  <cols>
    <col min="1" max="1" width="8.875" style="58" customWidth="1"/>
    <col min="2" max="2" width="9.375" style="58" customWidth="1"/>
    <col min="3" max="3" width="50.50390625" style="58" customWidth="1"/>
    <col min="4" max="5" width="18.00390625" style="58" customWidth="1"/>
    <col min="6" max="6" width="20.625" style="58" customWidth="1"/>
    <col min="7" max="16384" width="9.375" style="58" customWidth="1"/>
  </cols>
  <sheetData>
    <row r="1" spans="1:6" s="300" customFormat="1" ht="49.5" customHeight="1" thickBot="1">
      <c r="A1" s="298"/>
      <c r="B1" s="299"/>
      <c r="C1" s="299" t="s">
        <v>890</v>
      </c>
      <c r="D1" s="299" t="s">
        <v>1089</v>
      </c>
      <c r="E1" s="299" t="s">
        <v>68</v>
      </c>
      <c r="F1" s="299" t="s">
        <v>1091</v>
      </c>
    </row>
    <row r="2" spans="1:6" s="123" customFormat="1" ht="16.5" customHeight="1">
      <c r="A2" s="301"/>
      <c r="B2" s="302" t="s">
        <v>620</v>
      </c>
      <c r="C2" s="303" t="s">
        <v>69</v>
      </c>
      <c r="D2" s="303"/>
      <c r="E2" s="303"/>
      <c r="F2" s="304"/>
    </row>
    <row r="3" spans="1:6" s="309" customFormat="1" ht="12.75">
      <c r="A3" s="305"/>
      <c r="B3" s="306" t="s">
        <v>702</v>
      </c>
      <c r="C3" s="307" t="s">
        <v>70</v>
      </c>
      <c r="D3" s="308">
        <v>2995023</v>
      </c>
      <c r="E3" s="581">
        <v>-171066</v>
      </c>
      <c r="F3" s="308">
        <f aca="true" t="shared" si="0" ref="F3:F18">SUM(D3:E3)</f>
        <v>2823957</v>
      </c>
    </row>
    <row r="4" spans="1:6" s="124" customFormat="1" ht="12.75">
      <c r="A4" s="310"/>
      <c r="B4" s="306" t="s">
        <v>846</v>
      </c>
      <c r="C4" s="311" t="s">
        <v>71</v>
      </c>
      <c r="D4" s="312">
        <v>787423</v>
      </c>
      <c r="E4" s="582">
        <v>-81930</v>
      </c>
      <c r="F4" s="308">
        <f t="shared" si="0"/>
        <v>705493</v>
      </c>
    </row>
    <row r="5" spans="1:6" s="124" customFormat="1" ht="12.75">
      <c r="A5" s="310"/>
      <c r="B5" s="306" t="s">
        <v>848</v>
      </c>
      <c r="C5" s="313" t="s">
        <v>72</v>
      </c>
      <c r="D5" s="312">
        <v>4382082</v>
      </c>
      <c r="E5" s="314">
        <v>565733</v>
      </c>
      <c r="F5" s="308">
        <f t="shared" si="0"/>
        <v>4947815</v>
      </c>
    </row>
    <row r="6" spans="1:6" s="124" customFormat="1" ht="12.75">
      <c r="A6" s="310"/>
      <c r="B6" s="306" t="s">
        <v>850</v>
      </c>
      <c r="C6" s="313" t="s">
        <v>73</v>
      </c>
      <c r="D6" s="315">
        <v>967192</v>
      </c>
      <c r="E6" s="314">
        <v>429110</v>
      </c>
      <c r="F6" s="308">
        <f t="shared" si="0"/>
        <v>1396302</v>
      </c>
    </row>
    <row r="7" spans="1:6" s="124" customFormat="1" ht="12.75">
      <c r="A7" s="310"/>
      <c r="B7" s="306" t="s">
        <v>851</v>
      </c>
      <c r="C7" s="313" t="s">
        <v>675</v>
      </c>
      <c r="D7" s="312"/>
      <c r="E7" s="314">
        <v>359248</v>
      </c>
      <c r="F7" s="308">
        <f t="shared" si="0"/>
        <v>359248</v>
      </c>
    </row>
    <row r="8" spans="1:6" s="124" customFormat="1" ht="13.5">
      <c r="A8" s="310"/>
      <c r="B8" s="306"/>
      <c r="C8" s="303" t="s">
        <v>74</v>
      </c>
      <c r="D8" s="316">
        <f>SUM(D3:D7)</f>
        <v>9131720</v>
      </c>
      <c r="E8" s="317">
        <f>SUM(E3:E7)</f>
        <v>1101095</v>
      </c>
      <c r="F8" s="304">
        <f t="shared" si="0"/>
        <v>10232815</v>
      </c>
    </row>
    <row r="9" spans="1:6" s="124" customFormat="1" ht="13.5">
      <c r="A9" s="310"/>
      <c r="B9" s="318" t="s">
        <v>626</v>
      </c>
      <c r="C9" s="319" t="s">
        <v>75</v>
      </c>
      <c r="D9" s="316"/>
      <c r="E9" s="319"/>
      <c r="F9" s="308">
        <f t="shared" si="0"/>
        <v>0</v>
      </c>
    </row>
    <row r="10" spans="1:6" s="124" customFormat="1" ht="12.75">
      <c r="A10" s="310"/>
      <c r="B10" s="320" t="s">
        <v>702</v>
      </c>
      <c r="C10" s="312" t="s">
        <v>76</v>
      </c>
      <c r="D10" s="312">
        <v>2516292</v>
      </c>
      <c r="E10" s="312">
        <v>2530683</v>
      </c>
      <c r="F10" s="308">
        <f t="shared" si="0"/>
        <v>5046975</v>
      </c>
    </row>
    <row r="11" spans="1:6" s="124" customFormat="1" ht="12.75">
      <c r="A11" s="310"/>
      <c r="B11" s="320" t="s">
        <v>846</v>
      </c>
      <c r="C11" s="312" t="s">
        <v>77</v>
      </c>
      <c r="D11" s="312">
        <v>492993</v>
      </c>
      <c r="E11" s="312">
        <v>137530</v>
      </c>
      <c r="F11" s="308">
        <f t="shared" si="0"/>
        <v>630523</v>
      </c>
    </row>
    <row r="12" spans="1:6" s="124" customFormat="1" ht="12.75">
      <c r="A12" s="310"/>
      <c r="B12" s="320" t="s">
        <v>848</v>
      </c>
      <c r="C12" s="312" t="s">
        <v>78</v>
      </c>
      <c r="D12" s="315">
        <v>241925</v>
      </c>
      <c r="E12" s="312">
        <v>75587</v>
      </c>
      <c r="F12" s="308">
        <f t="shared" si="0"/>
        <v>317512</v>
      </c>
    </row>
    <row r="13" spans="1:6" s="124" customFormat="1" ht="13.5">
      <c r="A13" s="310"/>
      <c r="B13" s="320"/>
      <c r="C13" s="319" t="s">
        <v>79</v>
      </c>
      <c r="D13" s="321">
        <f>SUM(D10:D12)</f>
        <v>3251210</v>
      </c>
      <c r="E13" s="321">
        <f>SUM(E10:E12)</f>
        <v>2743800</v>
      </c>
      <c r="F13" s="304">
        <f t="shared" si="0"/>
        <v>5995010</v>
      </c>
    </row>
    <row r="14" spans="1:6" s="124" customFormat="1" ht="13.5">
      <c r="A14" s="310"/>
      <c r="B14" s="318" t="s">
        <v>631</v>
      </c>
      <c r="C14" s="316" t="s">
        <v>80</v>
      </c>
      <c r="D14" s="316"/>
      <c r="E14" s="316"/>
      <c r="F14" s="308">
        <f t="shared" si="0"/>
        <v>0</v>
      </c>
    </row>
    <row r="15" spans="1:6" s="124" customFormat="1" ht="12.75">
      <c r="A15" s="310"/>
      <c r="B15" s="320" t="s">
        <v>702</v>
      </c>
      <c r="C15" s="312" t="s">
        <v>81</v>
      </c>
      <c r="D15" s="312">
        <v>262288</v>
      </c>
      <c r="E15" s="312">
        <v>168421</v>
      </c>
      <c r="F15" s="308">
        <f t="shared" si="0"/>
        <v>430709</v>
      </c>
    </row>
    <row r="16" spans="1:6" s="124" customFormat="1" ht="12.75">
      <c r="A16" s="310"/>
      <c r="B16" s="320" t="s">
        <v>846</v>
      </c>
      <c r="C16" s="312" t="s">
        <v>82</v>
      </c>
      <c r="D16" s="312">
        <v>20000</v>
      </c>
      <c r="E16" s="312">
        <v>32485</v>
      </c>
      <c r="F16" s="308">
        <f t="shared" si="0"/>
        <v>52485</v>
      </c>
    </row>
    <row r="17" spans="1:6" s="124" customFormat="1" ht="13.5">
      <c r="A17" s="310"/>
      <c r="B17" s="320"/>
      <c r="C17" s="316" t="s">
        <v>83</v>
      </c>
      <c r="D17" s="316">
        <f>SUM(D15:D16)</f>
        <v>282288</v>
      </c>
      <c r="E17" s="316">
        <f>SUM(E15:E16)</f>
        <v>200906</v>
      </c>
      <c r="F17" s="304">
        <f t="shared" si="0"/>
        <v>483194</v>
      </c>
    </row>
    <row r="18" spans="1:6" s="124" customFormat="1" ht="13.5">
      <c r="A18" s="310"/>
      <c r="B18" s="318" t="s">
        <v>84</v>
      </c>
      <c r="C18" s="316" t="s">
        <v>85</v>
      </c>
      <c r="D18" s="316">
        <v>239727</v>
      </c>
      <c r="E18" s="316">
        <v>31711</v>
      </c>
      <c r="F18" s="304">
        <f t="shared" si="0"/>
        <v>271438</v>
      </c>
    </row>
    <row r="19" spans="1:6" s="126" customFormat="1" ht="18.75" customHeight="1">
      <c r="A19" s="322"/>
      <c r="B19" s="323"/>
      <c r="C19" s="324" t="s">
        <v>86</v>
      </c>
      <c r="D19" s="325">
        <f>SUM(D8+D13+D17+D18)</f>
        <v>12904945</v>
      </c>
      <c r="E19" s="325">
        <f>SUM(E8+E13+E17+E18)</f>
        <v>4077512</v>
      </c>
      <c r="F19" s="325">
        <f>SUM(F8+F13+F17+F18)</f>
        <v>16982457</v>
      </c>
    </row>
    <row r="20" spans="2:6" s="57" customFormat="1" ht="12.75">
      <c r="B20" s="326"/>
      <c r="C20" s="327"/>
      <c r="D20" s="327"/>
      <c r="E20" s="327"/>
      <c r="F20" s="327"/>
    </row>
    <row r="21" spans="2:6" s="24" customFormat="1" ht="12.75">
      <c r="B21" s="326"/>
      <c r="C21" s="326"/>
      <c r="D21" s="326"/>
      <c r="E21" s="326"/>
      <c r="F21" s="326"/>
    </row>
    <row r="22" spans="2:6" s="24" customFormat="1" ht="12.75">
      <c r="B22" s="326"/>
      <c r="C22" s="326"/>
      <c r="D22" s="326"/>
      <c r="E22" s="326"/>
      <c r="F22" s="326"/>
    </row>
    <row r="23" spans="2:6" s="24" customFormat="1" ht="12.75">
      <c r="B23" s="326"/>
      <c r="C23" s="326"/>
      <c r="D23" s="326"/>
      <c r="E23" s="326"/>
      <c r="F23" s="326"/>
    </row>
    <row r="24" spans="2:6" s="24" customFormat="1" ht="12.75">
      <c r="B24" s="326"/>
      <c r="C24" s="326"/>
      <c r="D24" s="326"/>
      <c r="E24" s="326"/>
      <c r="F24" s="326"/>
    </row>
    <row r="25" spans="2:6" s="24" customFormat="1" ht="12.75">
      <c r="B25" s="326"/>
      <c r="C25" s="326"/>
      <c r="D25" s="326"/>
      <c r="E25" s="326"/>
      <c r="F25" s="326"/>
    </row>
    <row r="26" spans="2:6" s="24" customFormat="1" ht="12.75">
      <c r="B26" s="326"/>
      <c r="C26" s="326"/>
      <c r="D26" s="326"/>
      <c r="E26" s="326"/>
      <c r="F26" s="326"/>
    </row>
    <row r="27" spans="2:6" s="24" customFormat="1" ht="12.75">
      <c r="B27" s="326"/>
      <c r="C27" s="326"/>
      <c r="D27" s="326"/>
      <c r="E27" s="326"/>
      <c r="F27" s="326"/>
    </row>
    <row r="28" spans="2:6" s="24" customFormat="1" ht="12.75">
      <c r="B28" s="326"/>
      <c r="C28" s="326"/>
      <c r="D28" s="326"/>
      <c r="E28" s="326"/>
      <c r="F28" s="326"/>
    </row>
    <row r="29" spans="2:6" s="24" customFormat="1" ht="12.75">
      <c r="B29" s="326"/>
      <c r="C29" s="326"/>
      <c r="D29" s="326"/>
      <c r="E29" s="326"/>
      <c r="F29" s="326"/>
    </row>
    <row r="30" spans="2:6" s="24" customFormat="1" ht="12.75">
      <c r="B30" s="328"/>
      <c r="C30" s="326"/>
      <c r="D30" s="326"/>
      <c r="E30" s="326"/>
      <c r="F30" s="326"/>
    </row>
    <row r="31" spans="2:6" ht="12.75">
      <c r="B31" s="328"/>
      <c r="C31" s="328"/>
      <c r="D31" s="328"/>
      <c r="E31" s="328"/>
      <c r="F31" s="328"/>
    </row>
    <row r="32" spans="2:6" ht="12.75">
      <c r="B32" s="328"/>
      <c r="C32" s="328"/>
      <c r="D32" s="328"/>
      <c r="E32" s="328"/>
      <c r="F32" s="328"/>
    </row>
    <row r="33" spans="2:6" ht="12.75">
      <c r="B33" s="328"/>
      <c r="C33" s="328"/>
      <c r="D33" s="328"/>
      <c r="E33" s="328"/>
      <c r="F33" s="328"/>
    </row>
    <row r="34" spans="2:6" ht="12.75">
      <c r="B34" s="328"/>
      <c r="C34" s="328"/>
      <c r="D34" s="328"/>
      <c r="E34" s="328"/>
      <c r="F34" s="328"/>
    </row>
    <row r="35" spans="2:6" ht="12.75">
      <c r="B35" s="328"/>
      <c r="C35" s="328"/>
      <c r="D35" s="328"/>
      <c r="E35" s="328"/>
      <c r="F35" s="328"/>
    </row>
    <row r="36" spans="3:6" ht="12.75">
      <c r="C36" s="328"/>
      <c r="D36" s="328"/>
      <c r="E36" s="328"/>
      <c r="F36" s="328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  KIADÁSI  ELŐIRÁNYZATAI
2013.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D1">
      <selection activeCell="D16" sqref="D16:N16"/>
    </sheetView>
  </sheetViews>
  <sheetFormatPr defaultColWidth="9.00390625" defaultRowHeight="12.75"/>
  <cols>
    <col min="1" max="1" width="6.50390625" style="60" customWidth="1"/>
    <col min="2" max="2" width="7.00390625" style="60" customWidth="1"/>
    <col min="3" max="3" width="32.00390625" style="60" customWidth="1"/>
    <col min="4" max="4" width="10.375" style="60" customWidth="1"/>
    <col min="5" max="5" width="9.50390625" style="60" customWidth="1"/>
    <col min="6" max="6" width="11.625" style="60" customWidth="1"/>
    <col min="7" max="7" width="10.375" style="60" customWidth="1"/>
    <col min="8" max="8" width="11.875" style="60" customWidth="1"/>
    <col min="9" max="9" width="12.00390625" style="60" customWidth="1"/>
    <col min="10" max="11" width="10.875" style="60" customWidth="1"/>
    <col min="12" max="12" width="10.125" style="60" customWidth="1"/>
    <col min="13" max="13" width="11.875" style="60" customWidth="1"/>
    <col min="14" max="14" width="10.875" style="60" customWidth="1"/>
    <col min="15" max="15" width="13.00390625" style="60" customWidth="1"/>
    <col min="16" max="16384" width="9.375" style="60" customWidth="1"/>
  </cols>
  <sheetData>
    <row r="1" spans="1:15" ht="15" customHeight="1">
      <c r="A1" s="833" t="s">
        <v>458</v>
      </c>
      <c r="B1" s="833" t="s">
        <v>459</v>
      </c>
      <c r="C1" s="843" t="s">
        <v>890</v>
      </c>
      <c r="D1" s="836" t="s">
        <v>460</v>
      </c>
      <c r="E1" s="840"/>
      <c r="F1" s="829" t="s">
        <v>102</v>
      </c>
      <c r="G1" s="836" t="s">
        <v>529</v>
      </c>
      <c r="H1" s="837"/>
      <c r="I1" s="826" t="s">
        <v>561</v>
      </c>
      <c r="J1" s="830" t="s">
        <v>928</v>
      </c>
      <c r="K1" s="831"/>
      <c r="L1" s="832"/>
      <c r="M1" s="78"/>
      <c r="N1" s="829" t="s">
        <v>465</v>
      </c>
      <c r="O1" s="823" t="s">
        <v>901</v>
      </c>
    </row>
    <row r="2" spans="1:15" s="61" customFormat="1" ht="42" customHeight="1" thickBot="1">
      <c r="A2" s="834"/>
      <c r="B2" s="834"/>
      <c r="C2" s="844"/>
      <c r="D2" s="841"/>
      <c r="E2" s="842"/>
      <c r="F2" s="824"/>
      <c r="G2" s="838"/>
      <c r="H2" s="839"/>
      <c r="I2" s="824"/>
      <c r="J2" s="827" t="s">
        <v>461</v>
      </c>
      <c r="K2" s="826" t="s">
        <v>462</v>
      </c>
      <c r="L2" s="826" t="s">
        <v>463</v>
      </c>
      <c r="M2" s="827" t="s">
        <v>464</v>
      </c>
      <c r="N2" s="824"/>
      <c r="O2" s="824"/>
    </row>
    <row r="3" spans="1:15" s="61" customFormat="1" ht="27.75" customHeight="1" thickBot="1">
      <c r="A3" s="835"/>
      <c r="B3" s="835"/>
      <c r="C3" s="845"/>
      <c r="D3" s="330" t="s">
        <v>662</v>
      </c>
      <c r="E3" s="221" t="s">
        <v>105</v>
      </c>
      <c r="F3" s="825"/>
      <c r="G3" s="330" t="s">
        <v>926</v>
      </c>
      <c r="H3" s="221" t="s">
        <v>530</v>
      </c>
      <c r="I3" s="825"/>
      <c r="J3" s="828"/>
      <c r="K3" s="828"/>
      <c r="L3" s="828"/>
      <c r="M3" s="828"/>
      <c r="N3" s="825"/>
      <c r="O3" s="825"/>
    </row>
    <row r="4" spans="1:15" ht="16.5" customHeight="1">
      <c r="A4" s="354">
        <v>1</v>
      </c>
      <c r="B4" s="222"/>
      <c r="C4" s="80" t="s">
        <v>531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6.5" customHeight="1">
      <c r="A5" s="81"/>
      <c r="B5" s="81">
        <v>12</v>
      </c>
      <c r="C5" s="80" t="s">
        <v>103</v>
      </c>
      <c r="D5" s="82">
        <f>12325+'11'!D8</f>
        <v>13432</v>
      </c>
      <c r="E5" s="82">
        <f>0+'11'!E8</f>
        <v>0</v>
      </c>
      <c r="F5" s="82">
        <f>0+'11'!F8</f>
        <v>0</v>
      </c>
      <c r="G5" s="82">
        <f>0+'11'!G8</f>
        <v>0</v>
      </c>
      <c r="H5" s="82">
        <f>0+'11'!H8</f>
        <v>0</v>
      </c>
      <c r="I5" s="82">
        <f>0+'11'!I8</f>
        <v>0</v>
      </c>
      <c r="J5" s="82">
        <f>0+'11'!J8</f>
        <v>0</v>
      </c>
      <c r="K5" s="82">
        <f>38+'11'!K8</f>
        <v>65</v>
      </c>
      <c r="L5" s="82">
        <f>0+'11'!L8</f>
        <v>0</v>
      </c>
      <c r="M5" s="82">
        <f>0+'11'!M8</f>
        <v>0</v>
      </c>
      <c r="N5" s="82">
        <f>0+'11'!N8</f>
        <v>0</v>
      </c>
      <c r="O5" s="82">
        <f aca="true" t="shared" si="0" ref="O5:O15">SUM(D5:N5)</f>
        <v>13497</v>
      </c>
    </row>
    <row r="6" spans="1:15" ht="16.5" customHeight="1">
      <c r="A6" s="81"/>
      <c r="B6" s="81">
        <v>13</v>
      </c>
      <c r="C6" s="80" t="s">
        <v>104</v>
      </c>
      <c r="D6" s="82">
        <f>5334+'11'!D14</f>
        <v>5334</v>
      </c>
      <c r="E6" s="82">
        <f>0+'11'!E14</f>
        <v>2000</v>
      </c>
      <c r="F6" s="82">
        <f>0+'11'!F14</f>
        <v>0</v>
      </c>
      <c r="G6" s="82">
        <f>0+'11'!G14</f>
        <v>0</v>
      </c>
      <c r="H6" s="82">
        <f>0+'11'!H14</f>
        <v>0</v>
      </c>
      <c r="I6" s="82">
        <f>0+'11'!I14</f>
        <v>0</v>
      </c>
      <c r="J6" s="82">
        <f>0+'11'!J14</f>
        <v>0</v>
      </c>
      <c r="K6" s="82">
        <f>51643+'11'!K14</f>
        <v>51643</v>
      </c>
      <c r="L6" s="82">
        <f>305063+'11'!L14</f>
        <v>315130</v>
      </c>
      <c r="M6" s="82">
        <f>0+'11'!M14</f>
        <v>0</v>
      </c>
      <c r="N6" s="82">
        <f>0+'11'!N14</f>
        <v>0</v>
      </c>
      <c r="O6" s="82">
        <f t="shared" si="0"/>
        <v>374107</v>
      </c>
    </row>
    <row r="7" spans="1:15" ht="16.5" customHeight="1">
      <c r="A7" s="81"/>
      <c r="B7" s="81">
        <v>15</v>
      </c>
      <c r="C7" s="80" t="s">
        <v>903</v>
      </c>
      <c r="D7" s="82">
        <f>401027+'11'!D23</f>
        <v>403142</v>
      </c>
      <c r="E7" s="82">
        <f>0+'11'!E23</f>
        <v>0</v>
      </c>
      <c r="F7" s="82">
        <f>0+'11'!F23</f>
        <v>0</v>
      </c>
      <c r="G7" s="82">
        <f>0+'11'!G23</f>
        <v>0</v>
      </c>
      <c r="H7" s="82">
        <f>704+'11'!H23</f>
        <v>22002</v>
      </c>
      <c r="I7" s="82">
        <f>0+'11'!I23</f>
        <v>0</v>
      </c>
      <c r="J7" s="82">
        <f>0+'11'!J23</f>
        <v>0</v>
      </c>
      <c r="K7" s="82">
        <f>0+'11'!K23</f>
        <v>0</v>
      </c>
      <c r="L7" s="82">
        <f>19824+'11'!L23</f>
        <v>19824</v>
      </c>
      <c r="M7" s="82">
        <f>0+'11'!M23</f>
        <v>0</v>
      </c>
      <c r="N7" s="82">
        <f>0+'11'!N23</f>
        <v>0</v>
      </c>
      <c r="O7" s="82">
        <f t="shared" si="0"/>
        <v>444968</v>
      </c>
    </row>
    <row r="8" spans="1:15" ht="16.5" customHeight="1">
      <c r="A8" s="81"/>
      <c r="B8" s="81">
        <v>16</v>
      </c>
      <c r="C8" s="80" t="s">
        <v>467</v>
      </c>
      <c r="D8" s="82">
        <f>7709+'11'!D28</f>
        <v>7709</v>
      </c>
      <c r="E8" s="82">
        <f>0+'11'!E28</f>
        <v>0</v>
      </c>
      <c r="F8" s="82">
        <f>0+'11'!F28</f>
        <v>0</v>
      </c>
      <c r="G8" s="82">
        <f>100000+'11'!G28</f>
        <v>100000</v>
      </c>
      <c r="H8" s="82">
        <f>249000+'11'!H28</f>
        <v>249000</v>
      </c>
      <c r="I8" s="82">
        <f>0+'11'!I28</f>
        <v>0</v>
      </c>
      <c r="J8" s="82">
        <f>0+'11'!J28</f>
        <v>0</v>
      </c>
      <c r="K8" s="82">
        <f>0+'11'!K28</f>
        <v>0</v>
      </c>
      <c r="L8" s="82">
        <f>2067323+'11'!L28</f>
        <v>2756035</v>
      </c>
      <c r="M8" s="82">
        <f>0+'11'!M28</f>
        <v>0</v>
      </c>
      <c r="N8" s="82">
        <f>0+'11'!N28</f>
        <v>0</v>
      </c>
      <c r="O8" s="82">
        <f t="shared" si="0"/>
        <v>3112744</v>
      </c>
    </row>
    <row r="9" spans="1:15" ht="16.5" customHeight="1">
      <c r="A9" s="81"/>
      <c r="B9" s="81">
        <v>17</v>
      </c>
      <c r="C9" s="80" t="s">
        <v>904</v>
      </c>
      <c r="D9" s="82">
        <f>403447+'11'!D38</f>
        <v>420747</v>
      </c>
      <c r="E9" s="82">
        <f>0+'11'!E38</f>
        <v>0</v>
      </c>
      <c r="F9" s="82">
        <f>0+'11'!F38</f>
        <v>0</v>
      </c>
      <c r="G9" s="82">
        <f>130077+'11'!G38</f>
        <v>134729</v>
      </c>
      <c r="H9" s="82">
        <f>0+'11'!H38</f>
        <v>0</v>
      </c>
      <c r="I9" s="82">
        <f>0+'11'!I38</f>
        <v>0</v>
      </c>
      <c r="J9" s="82">
        <f>0+'11'!J38</f>
        <v>0</v>
      </c>
      <c r="K9" s="82">
        <f>0+'11'!K38</f>
        <v>0</v>
      </c>
      <c r="L9" s="82">
        <f>0+'11'!L38</f>
        <v>0</v>
      </c>
      <c r="M9" s="82">
        <f>20000+'11'!M38</f>
        <v>20000</v>
      </c>
      <c r="N9" s="82">
        <f>324490+'11'!N38</f>
        <v>324490</v>
      </c>
      <c r="O9" s="82">
        <f t="shared" si="0"/>
        <v>899966</v>
      </c>
    </row>
    <row r="10" spans="1:15" ht="16.5" customHeight="1">
      <c r="A10" s="81"/>
      <c r="B10" s="81">
        <v>18</v>
      </c>
      <c r="C10" s="80" t="s">
        <v>466</v>
      </c>
      <c r="D10" s="82">
        <f>43180+'11'!D41</f>
        <v>43180</v>
      </c>
      <c r="E10" s="82">
        <f>0+'11'!E41</f>
        <v>0</v>
      </c>
      <c r="F10" s="82">
        <f>0+'11'!F41</f>
        <v>0</v>
      </c>
      <c r="G10" s="82">
        <f>0+'11'!G41</f>
        <v>0</v>
      </c>
      <c r="H10" s="82">
        <f>0+'11'!H41</f>
        <v>0</v>
      </c>
      <c r="I10" s="82">
        <f>0+'11'!I41</f>
        <v>0</v>
      </c>
      <c r="J10" s="82">
        <f>0+'11'!J41</f>
        <v>0</v>
      </c>
      <c r="K10" s="82">
        <f>0+'11'!K41</f>
        <v>0</v>
      </c>
      <c r="L10" s="82">
        <f>0+'11'!L41</f>
        <v>0</v>
      </c>
      <c r="M10" s="82">
        <f>0+'11'!M41</f>
        <v>0</v>
      </c>
      <c r="N10" s="82">
        <f>0+'11'!N41</f>
        <v>0</v>
      </c>
      <c r="O10" s="82">
        <f t="shared" si="0"/>
        <v>43180</v>
      </c>
    </row>
    <row r="11" spans="1:15" ht="16.5" customHeight="1">
      <c r="A11" s="81"/>
      <c r="B11" s="81">
        <v>19</v>
      </c>
      <c r="C11" s="80" t="s">
        <v>905</v>
      </c>
      <c r="D11" s="82">
        <f>84216+'11'!D57</f>
        <v>160513</v>
      </c>
      <c r="E11" s="82">
        <f>0+'11'!E57</f>
        <v>0</v>
      </c>
      <c r="F11" s="82">
        <f>3965000+'11'!F57</f>
        <v>3965000</v>
      </c>
      <c r="G11" s="82">
        <f>0+'11'!G57</f>
        <v>0</v>
      </c>
      <c r="H11" s="82">
        <f>0+'11'!H57</f>
        <v>0</v>
      </c>
      <c r="I11" s="82">
        <f>2458177+'11'!I57</f>
        <v>2962260</v>
      </c>
      <c r="J11" s="82">
        <f>0+'11'!J57</f>
        <v>0</v>
      </c>
      <c r="K11" s="82">
        <f>16976+'11'!K57</f>
        <v>17396</v>
      </c>
      <c r="L11" s="82">
        <f>0+'11'!L57</f>
        <v>0</v>
      </c>
      <c r="M11" s="82">
        <f>868089+'11'!M57</f>
        <v>868089</v>
      </c>
      <c r="N11" s="82">
        <f>2022732+'11'!N57</f>
        <v>2022732</v>
      </c>
      <c r="O11" s="82">
        <f t="shared" si="0"/>
        <v>9995990</v>
      </c>
    </row>
    <row r="12" spans="1:15" ht="16.5" customHeight="1">
      <c r="A12" s="81"/>
      <c r="B12" s="81">
        <v>20</v>
      </c>
      <c r="C12" s="40" t="s">
        <v>829</v>
      </c>
      <c r="D12" s="82">
        <f>0+'11'!D60</f>
        <v>0</v>
      </c>
      <c r="E12" s="82">
        <f>0+'11'!E60</f>
        <v>0</v>
      </c>
      <c r="F12" s="82">
        <f>1015+'11'!F60</f>
        <v>1015</v>
      </c>
      <c r="G12" s="82">
        <f>0+'11'!G60</f>
        <v>0</v>
      </c>
      <c r="H12" s="82">
        <f>0+'11'!H60</f>
        <v>0</v>
      </c>
      <c r="I12" s="82">
        <f>0+'11'!I60</f>
        <v>0</v>
      </c>
      <c r="J12" s="82">
        <f>0+'11'!J60</f>
        <v>0</v>
      </c>
      <c r="K12" s="82">
        <f>0+'11'!K60</f>
        <v>0</v>
      </c>
      <c r="L12" s="82">
        <f>0+'11'!L60</f>
        <v>0</v>
      </c>
      <c r="M12" s="82">
        <f>0+'11'!M60</f>
        <v>0</v>
      </c>
      <c r="N12" s="82">
        <f>0+'11'!N60</f>
        <v>0</v>
      </c>
      <c r="O12" s="82">
        <f t="shared" si="0"/>
        <v>1015</v>
      </c>
    </row>
    <row r="13" spans="1:15" ht="16.5" customHeight="1">
      <c r="A13" s="81"/>
      <c r="B13" s="81">
        <v>22</v>
      </c>
      <c r="C13" s="80" t="s">
        <v>831</v>
      </c>
      <c r="D13" s="82">
        <f>0+'11'!D64</f>
        <v>0</v>
      </c>
      <c r="E13" s="82">
        <f>1000+'11'!E64</f>
        <v>4696</v>
      </c>
      <c r="F13" s="82">
        <f>0+'11'!F64</f>
        <v>0</v>
      </c>
      <c r="G13" s="82">
        <f>0+'11'!G64</f>
        <v>0</v>
      </c>
      <c r="H13" s="82">
        <f>0+'11'!H64</f>
        <v>0</v>
      </c>
      <c r="I13" s="82">
        <f>0+'11'!I64</f>
        <v>0</v>
      </c>
      <c r="J13" s="82">
        <f>0+'11'!J64</f>
        <v>0</v>
      </c>
      <c r="K13" s="82">
        <f>14265+'11'!K64</f>
        <v>14265</v>
      </c>
      <c r="L13" s="82">
        <f>0+'11'!L64</f>
        <v>0</v>
      </c>
      <c r="M13" s="82">
        <f>0+'11'!M64</f>
        <v>0</v>
      </c>
      <c r="N13" s="82">
        <f>0+'11'!N64</f>
        <v>0</v>
      </c>
      <c r="O13" s="82">
        <f t="shared" si="0"/>
        <v>18961</v>
      </c>
    </row>
    <row r="14" spans="1:15" ht="27.75" customHeight="1">
      <c r="A14" s="83"/>
      <c r="B14" s="83"/>
      <c r="C14" s="251" t="s">
        <v>532</v>
      </c>
      <c r="D14" s="223">
        <f aca="true" t="shared" si="1" ref="D14:O14">SUM(D5:D13)</f>
        <v>1054057</v>
      </c>
      <c r="E14" s="223">
        <f t="shared" si="1"/>
        <v>6696</v>
      </c>
      <c r="F14" s="223">
        <f t="shared" si="1"/>
        <v>3966015</v>
      </c>
      <c r="G14" s="223">
        <f t="shared" si="1"/>
        <v>234729</v>
      </c>
      <c r="H14" s="223">
        <f t="shared" si="1"/>
        <v>271002</v>
      </c>
      <c r="I14" s="223">
        <f t="shared" si="1"/>
        <v>2962260</v>
      </c>
      <c r="J14" s="223">
        <f t="shared" si="1"/>
        <v>0</v>
      </c>
      <c r="K14" s="223">
        <f t="shared" si="1"/>
        <v>83369</v>
      </c>
      <c r="L14" s="223">
        <f t="shared" si="1"/>
        <v>3090989</v>
      </c>
      <c r="M14" s="223">
        <f t="shared" si="1"/>
        <v>888089</v>
      </c>
      <c r="N14" s="223">
        <f t="shared" si="1"/>
        <v>2347222</v>
      </c>
      <c r="O14" s="223">
        <f t="shared" si="1"/>
        <v>14904428</v>
      </c>
    </row>
    <row r="15" spans="1:15" ht="16.5" customHeight="1">
      <c r="A15" s="85">
        <v>2</v>
      </c>
      <c r="B15" s="85"/>
      <c r="C15" s="80" t="s">
        <v>528</v>
      </c>
      <c r="D15" s="82">
        <f>1364471+'11'!D66</f>
        <v>1154792</v>
      </c>
      <c r="E15" s="82">
        <f>59600+'11'!E66</f>
        <v>62425</v>
      </c>
      <c r="F15" s="82">
        <f>0+'11'!F66</f>
        <v>0</v>
      </c>
      <c r="G15" s="82">
        <f>2600+'11'!G66</f>
        <v>16717</v>
      </c>
      <c r="H15" s="82">
        <f>800+'11'!H66</f>
        <v>1000</v>
      </c>
      <c r="I15" s="82">
        <f>0+'11'!I66</f>
        <v>0</v>
      </c>
      <c r="J15" s="82">
        <f>231745+'11'!J66</f>
        <v>231745</v>
      </c>
      <c r="K15" s="82">
        <f>204134+'11'!K66</f>
        <v>277186</v>
      </c>
      <c r="L15" s="82">
        <f>27727+'11'!L66</f>
        <v>65577</v>
      </c>
      <c r="M15" s="82">
        <f>0+'11'!M66</f>
        <v>0</v>
      </c>
      <c r="N15" s="82">
        <f>324066+'11'!N66</f>
        <v>268587</v>
      </c>
      <c r="O15" s="82">
        <f t="shared" si="0"/>
        <v>2078029</v>
      </c>
    </row>
    <row r="16" spans="1:15" ht="16.5" customHeight="1">
      <c r="A16" s="83"/>
      <c r="B16" s="83"/>
      <c r="C16" s="84" t="s">
        <v>455</v>
      </c>
      <c r="D16" s="223">
        <f aca="true" t="shared" si="2" ref="D16:O16">SUM(D14:D15)</f>
        <v>2208849</v>
      </c>
      <c r="E16" s="223">
        <f t="shared" si="2"/>
        <v>69121</v>
      </c>
      <c r="F16" s="223">
        <f t="shared" si="2"/>
        <v>3966015</v>
      </c>
      <c r="G16" s="223">
        <f t="shared" si="2"/>
        <v>251446</v>
      </c>
      <c r="H16" s="223">
        <f t="shared" si="2"/>
        <v>272002</v>
      </c>
      <c r="I16" s="223">
        <f t="shared" si="2"/>
        <v>2962260</v>
      </c>
      <c r="J16" s="223">
        <f t="shared" si="2"/>
        <v>231745</v>
      </c>
      <c r="K16" s="223">
        <f t="shared" si="2"/>
        <v>360555</v>
      </c>
      <c r="L16" s="223">
        <f t="shared" si="2"/>
        <v>3156566</v>
      </c>
      <c r="M16" s="223">
        <f t="shared" si="2"/>
        <v>888089</v>
      </c>
      <c r="N16" s="223">
        <f t="shared" si="2"/>
        <v>2615809</v>
      </c>
      <c r="O16" s="223">
        <f t="shared" si="2"/>
        <v>16982457</v>
      </c>
    </row>
    <row r="17" spans="3:12" ht="16.5" customHeight="1">
      <c r="C17" s="62"/>
      <c r="D17" s="63"/>
      <c r="E17" s="63"/>
      <c r="F17" s="63"/>
      <c r="G17" s="63"/>
      <c r="H17" s="63"/>
      <c r="I17" s="63"/>
      <c r="J17" s="63"/>
      <c r="K17" s="63"/>
      <c r="L17" s="63"/>
    </row>
    <row r="18" spans="3:11" ht="13.5" customHeight="1">
      <c r="C18" s="62"/>
      <c r="D18" s="63"/>
      <c r="E18" s="63"/>
      <c r="F18" s="63"/>
      <c r="G18" s="63"/>
      <c r="H18" s="63"/>
      <c r="I18" s="63"/>
      <c r="J18" s="63"/>
      <c r="K18" s="63"/>
    </row>
    <row r="19" spans="4:11" ht="13.5" customHeight="1">
      <c r="D19" s="63"/>
      <c r="E19" s="63"/>
      <c r="F19" s="63"/>
      <c r="G19" s="63"/>
      <c r="H19" s="63"/>
      <c r="I19" s="63"/>
      <c r="J19" s="63"/>
      <c r="K19" s="63"/>
    </row>
    <row r="20" spans="4:11" ht="13.5" customHeight="1">
      <c r="D20" s="63"/>
      <c r="E20" s="63"/>
      <c r="F20" s="63"/>
      <c r="G20" s="63"/>
      <c r="H20" s="63"/>
      <c r="I20" s="63"/>
      <c r="J20" s="63"/>
      <c r="K20" s="63"/>
    </row>
    <row r="21" spans="4:11" ht="13.5" customHeight="1">
      <c r="D21" s="63"/>
      <c r="E21" s="63"/>
      <c r="F21" s="63"/>
      <c r="G21" s="63"/>
      <c r="H21" s="63"/>
      <c r="I21" s="63"/>
      <c r="J21" s="63"/>
      <c r="K21" s="63"/>
    </row>
    <row r="22" spans="4:11" ht="13.5" customHeight="1">
      <c r="D22" s="63"/>
      <c r="E22" s="63"/>
      <c r="F22" s="63"/>
      <c r="G22" s="63"/>
      <c r="H22" s="63"/>
      <c r="I22" s="63"/>
      <c r="J22" s="63"/>
      <c r="K22" s="63"/>
    </row>
    <row r="23" spans="4:11" ht="13.5" customHeight="1">
      <c r="D23" s="63"/>
      <c r="E23" s="63"/>
      <c r="F23" s="63"/>
      <c r="G23" s="63"/>
      <c r="H23" s="63"/>
      <c r="I23" s="63"/>
      <c r="J23" s="63"/>
      <c r="K23" s="63"/>
    </row>
    <row r="24" spans="4:11" ht="13.5" customHeight="1">
      <c r="D24" s="63"/>
      <c r="E24" s="63"/>
      <c r="F24" s="63"/>
      <c r="G24" s="63"/>
      <c r="H24" s="63"/>
      <c r="I24" s="63"/>
      <c r="J24" s="63"/>
      <c r="K24" s="63"/>
    </row>
    <row r="25" spans="4:11" ht="13.5" customHeight="1">
      <c r="D25" s="63"/>
      <c r="E25" s="63"/>
      <c r="F25" s="63"/>
      <c r="G25" s="63"/>
      <c r="H25" s="63"/>
      <c r="I25" s="63"/>
      <c r="J25" s="63"/>
      <c r="K25" s="63"/>
    </row>
    <row r="26" spans="4:11" ht="13.5" customHeight="1">
      <c r="D26" s="63"/>
      <c r="E26" s="63"/>
      <c r="F26" s="63"/>
      <c r="G26" s="63"/>
      <c r="H26" s="63"/>
      <c r="I26" s="63"/>
      <c r="J26" s="63"/>
      <c r="K26" s="63"/>
    </row>
    <row r="27" ht="13.5" customHeight="1"/>
    <row r="28" ht="13.5" customHeight="1"/>
    <row r="29" ht="13.5" customHeight="1"/>
  </sheetData>
  <sheetProtection/>
  <mergeCells count="14">
    <mergeCell ref="A1:A3"/>
    <mergeCell ref="B1:B3"/>
    <mergeCell ref="K2:K3"/>
    <mergeCell ref="L2:L3"/>
    <mergeCell ref="G1:H2"/>
    <mergeCell ref="D1:E2"/>
    <mergeCell ref="C1:C3"/>
    <mergeCell ref="F1:F3"/>
    <mergeCell ref="O1:O3"/>
    <mergeCell ref="I1:I3"/>
    <mergeCell ref="J2:J3"/>
    <mergeCell ref="M2:M3"/>
    <mergeCell ref="N1:N3"/>
    <mergeCell ref="J1:L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2013. ÉVI  BEVÉTELI ELŐIRÁNYZATAI CíMENKÉNTI BONTÁSBAN &amp;R&amp;"Times New Roman,Félkövér dőlt"5.sz.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="110" zoomScaleNormal="110" zoomScalePageLayoutView="0" workbookViewId="0" topLeftCell="C1">
      <pane ySplit="2" topLeftCell="A3" activePane="bottomLeft" state="frozen"/>
      <selection pane="topLeft" activeCell="B1" sqref="B1"/>
      <selection pane="bottomLeft" activeCell="G15" sqref="G15:H15"/>
    </sheetView>
  </sheetViews>
  <sheetFormatPr defaultColWidth="9.00390625" defaultRowHeight="12.75"/>
  <cols>
    <col min="1" max="1" width="6.875" style="58" customWidth="1"/>
    <col min="2" max="2" width="7.00390625" style="58" customWidth="1"/>
    <col min="3" max="3" width="28.00390625" style="58" customWidth="1"/>
    <col min="4" max="4" width="10.00390625" style="58" customWidth="1"/>
    <col min="5" max="5" width="11.875" style="58" customWidth="1"/>
    <col min="6" max="6" width="9.875" style="58" customWidth="1"/>
    <col min="7" max="7" width="9.625" style="58" customWidth="1"/>
    <col min="8" max="8" width="10.50390625" style="58" customWidth="1"/>
    <col min="9" max="9" width="10.00390625" style="58" bestFit="1" customWidth="1"/>
    <col min="10" max="10" width="9.50390625" style="58" bestFit="1" customWidth="1"/>
    <col min="11" max="11" width="9.50390625" style="58" customWidth="1"/>
    <col min="12" max="12" width="11.00390625" style="58" customWidth="1"/>
    <col min="13" max="13" width="11.625" style="127" customWidth="1"/>
    <col min="14" max="14" width="10.875" style="127" customWidth="1"/>
    <col min="15" max="16384" width="9.375" style="58" customWidth="1"/>
  </cols>
  <sheetData>
    <row r="1" spans="1:14" s="122" customFormat="1" ht="13.5" thickTop="1">
      <c r="A1" s="385"/>
      <c r="B1" s="386"/>
      <c r="C1" s="386"/>
      <c r="D1" s="846" t="s">
        <v>69</v>
      </c>
      <c r="E1" s="847"/>
      <c r="F1" s="847"/>
      <c r="G1" s="847"/>
      <c r="H1" s="848"/>
      <c r="I1" s="849" t="s">
        <v>75</v>
      </c>
      <c r="J1" s="850"/>
      <c r="K1" s="851"/>
      <c r="L1" s="386"/>
      <c r="M1" s="386"/>
      <c r="N1" s="387"/>
    </row>
    <row r="2" spans="1:14" s="123" customFormat="1" ht="60" customHeight="1" thickBot="1">
      <c r="A2" s="128" t="s">
        <v>907</v>
      </c>
      <c r="B2" s="129" t="s">
        <v>908</v>
      </c>
      <c r="C2" s="129" t="s">
        <v>890</v>
      </c>
      <c r="D2" s="355" t="s">
        <v>70</v>
      </c>
      <c r="E2" s="355" t="s">
        <v>114</v>
      </c>
      <c r="F2" s="355" t="s">
        <v>486</v>
      </c>
      <c r="G2" s="355" t="s">
        <v>73</v>
      </c>
      <c r="H2" s="355" t="s">
        <v>910</v>
      </c>
      <c r="I2" s="355" t="s">
        <v>76</v>
      </c>
      <c r="J2" s="355" t="s">
        <v>77</v>
      </c>
      <c r="K2" s="355" t="s">
        <v>78</v>
      </c>
      <c r="L2" s="355" t="s">
        <v>115</v>
      </c>
      <c r="M2" s="355" t="s">
        <v>912</v>
      </c>
      <c r="N2" s="356" t="s">
        <v>828</v>
      </c>
    </row>
    <row r="3" spans="1:14" s="123" customFormat="1" ht="15" customHeight="1">
      <c r="A3" s="25">
        <v>1</v>
      </c>
      <c r="B3" s="25"/>
      <c r="C3" s="357" t="s">
        <v>527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23" customFormat="1" ht="15" customHeight="1">
      <c r="A4" s="25">
        <v>1</v>
      </c>
      <c r="B4" s="25">
        <v>1</v>
      </c>
      <c r="C4" s="358" t="s">
        <v>106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124" customFormat="1" ht="13.5" customHeight="1">
      <c r="A5" s="29"/>
      <c r="B5" s="29">
        <v>12</v>
      </c>
      <c r="C5" s="357" t="s">
        <v>103</v>
      </c>
      <c r="D5" s="30">
        <f>0+'12'!F28</f>
        <v>0</v>
      </c>
      <c r="E5" s="30">
        <f>0+'12'!G28</f>
        <v>0</v>
      </c>
      <c r="F5" s="30">
        <f>31672+'12'!H28</f>
        <v>33456</v>
      </c>
      <c r="G5" s="30">
        <f>20605+'12'!I28</f>
        <v>25605</v>
      </c>
      <c r="H5" s="30">
        <f>287185+'12'!J28</f>
        <v>342480</v>
      </c>
      <c r="I5" s="30">
        <f>0+'12'!K28</f>
        <v>0</v>
      </c>
      <c r="J5" s="30">
        <f>0+'12'!L28</f>
        <v>0</v>
      </c>
      <c r="K5" s="30">
        <f>0+'12'!M28</f>
        <v>0</v>
      </c>
      <c r="L5" s="30">
        <f>42519+'12'!N28</f>
        <v>42519</v>
      </c>
      <c r="M5" s="30">
        <f>0+'12'!O28</f>
        <v>0</v>
      </c>
      <c r="N5" s="30">
        <f aca="true" t="shared" si="0" ref="N5:N14">SUM(D5:M5)</f>
        <v>444060</v>
      </c>
    </row>
    <row r="6" spans="1:14" s="124" customFormat="1" ht="13.5" customHeight="1">
      <c r="A6" s="29"/>
      <c r="B6" s="29">
        <v>13</v>
      </c>
      <c r="C6" s="357" t="s">
        <v>104</v>
      </c>
      <c r="D6" s="30">
        <f>4596+'12'!F61</f>
        <v>4596</v>
      </c>
      <c r="E6" s="30">
        <f>1163+'12'!G61</f>
        <v>1163</v>
      </c>
      <c r="F6" s="30">
        <f>115092+'12'!H61</f>
        <v>113992</v>
      </c>
      <c r="G6" s="30">
        <f>428606+'12'!I61</f>
        <v>441771</v>
      </c>
      <c r="H6" s="30">
        <f>16610+'12'!J61</f>
        <v>16610</v>
      </c>
      <c r="I6" s="30">
        <f>601354+'12'!K61</f>
        <v>602154</v>
      </c>
      <c r="J6" s="30">
        <f>83572+'12'!L61</f>
        <v>139422</v>
      </c>
      <c r="K6" s="30">
        <f>62163+'12'!M61</f>
        <v>75763</v>
      </c>
      <c r="L6" s="30">
        <f>14700+'12'!N61</f>
        <v>14700</v>
      </c>
      <c r="M6" s="30">
        <f>0+'12'!O61</f>
        <v>0</v>
      </c>
      <c r="N6" s="30">
        <f t="shared" si="0"/>
        <v>1410171</v>
      </c>
    </row>
    <row r="7" spans="1:14" s="124" customFormat="1" ht="13.5" customHeight="1">
      <c r="A7" s="29"/>
      <c r="B7" s="29">
        <v>15</v>
      </c>
      <c r="C7" s="131" t="s">
        <v>903</v>
      </c>
      <c r="D7" s="30">
        <f>3708+'12'!F83</f>
        <v>3708</v>
      </c>
      <c r="E7" s="30">
        <f>698+'12'!G83</f>
        <v>698</v>
      </c>
      <c r="F7" s="30">
        <f>1326856+'12'!H83</f>
        <v>1324698</v>
      </c>
      <c r="G7" s="30">
        <f>43030+'12'!I83</f>
        <v>45145</v>
      </c>
      <c r="H7" s="30">
        <f>0+'12'!J83</f>
        <v>0</v>
      </c>
      <c r="I7" s="30">
        <f>104179+'12'!K83</f>
        <v>169621</v>
      </c>
      <c r="J7" s="30">
        <f>298473+'12'!L83</f>
        <v>303354</v>
      </c>
      <c r="K7" s="30">
        <f>10100+'12'!M83</f>
        <v>21091</v>
      </c>
      <c r="L7" s="30">
        <f>0+'12'!N83</f>
        <v>0</v>
      </c>
      <c r="M7" s="30">
        <f>0+'12'!O83</f>
        <v>0</v>
      </c>
      <c r="N7" s="30">
        <f t="shared" si="0"/>
        <v>1868315</v>
      </c>
    </row>
    <row r="8" spans="1:15" s="124" customFormat="1" ht="13.5" customHeight="1">
      <c r="A8" s="29"/>
      <c r="B8" s="29">
        <v>16</v>
      </c>
      <c r="C8" s="131" t="s">
        <v>467</v>
      </c>
      <c r="D8" s="30">
        <f>0+'12'!F90</f>
        <v>0</v>
      </c>
      <c r="E8" s="30">
        <f>0+'12'!G90</f>
        <v>0</v>
      </c>
      <c r="F8" s="30">
        <f>4219+'12'!H90</f>
        <v>4247</v>
      </c>
      <c r="G8" s="30">
        <f>0+'12'!I90</f>
        <v>0</v>
      </c>
      <c r="H8" s="30">
        <f>0+'12'!J90</f>
        <v>0</v>
      </c>
      <c r="I8" s="30">
        <f>3198654+'12'!K90</f>
        <v>3994821</v>
      </c>
      <c r="J8" s="30">
        <f>48687+'12'!L90</f>
        <v>52555</v>
      </c>
      <c r="K8" s="30">
        <f>132510+'12'!M90</f>
        <v>131902</v>
      </c>
      <c r="L8" s="30">
        <f>0+'12'!N90</f>
        <v>0</v>
      </c>
      <c r="M8" s="30">
        <f>0+'12'!O90</f>
        <v>0</v>
      </c>
      <c r="N8" s="30">
        <f t="shared" si="0"/>
        <v>4183525</v>
      </c>
      <c r="O8" s="125"/>
    </row>
    <row r="9" spans="1:14" s="124" customFormat="1" ht="13.5" customHeight="1">
      <c r="A9" s="29"/>
      <c r="B9" s="29">
        <v>17</v>
      </c>
      <c r="C9" s="131" t="s">
        <v>904</v>
      </c>
      <c r="D9" s="30">
        <f>0+'12'!F99</f>
        <v>0</v>
      </c>
      <c r="E9" s="30">
        <f>0+'12'!G99</f>
        <v>0</v>
      </c>
      <c r="F9" s="30">
        <f>230250+'12'!H99</f>
        <v>229830</v>
      </c>
      <c r="G9" s="30">
        <f>30650+'12'!I99</f>
        <v>31190</v>
      </c>
      <c r="H9" s="30">
        <f>0+'12'!J99</f>
        <v>0</v>
      </c>
      <c r="I9" s="30">
        <f>226838+'12'!K99</f>
        <v>226838</v>
      </c>
      <c r="J9" s="30">
        <f>30635+'12'!L99</f>
        <v>30635</v>
      </c>
      <c r="K9" s="30">
        <f>68133+'12'!M99</f>
        <v>68333</v>
      </c>
      <c r="L9" s="30">
        <f>0+'12'!N99</f>
        <v>0</v>
      </c>
      <c r="M9" s="30">
        <f>0+'12'!O99</f>
        <v>0</v>
      </c>
      <c r="N9" s="30">
        <f t="shared" si="0"/>
        <v>586826</v>
      </c>
    </row>
    <row r="10" spans="1:14" s="124" customFormat="1" ht="13.5" customHeight="1">
      <c r="A10" s="29"/>
      <c r="B10" s="29">
        <v>18</v>
      </c>
      <c r="C10" s="131" t="s">
        <v>699</v>
      </c>
      <c r="D10" s="30">
        <f>0+'12'!F105</f>
        <v>0</v>
      </c>
      <c r="E10" s="30">
        <f>0+'12'!G105</f>
        <v>0</v>
      </c>
      <c r="F10" s="30">
        <f>11350+'12'!H105</f>
        <v>16779</v>
      </c>
      <c r="G10" s="30">
        <f>1914+'12'!I105</f>
        <v>1914</v>
      </c>
      <c r="H10" s="30">
        <f>0+'12'!J105</f>
        <v>0</v>
      </c>
      <c r="I10" s="30">
        <f>0+'12'!K105</f>
        <v>1383</v>
      </c>
      <c r="J10" s="30">
        <f>0+'12'!L105</f>
        <v>0</v>
      </c>
      <c r="K10" s="30">
        <f>0+'12'!M105</f>
        <v>0</v>
      </c>
      <c r="L10" s="30">
        <f>0+'12'!N105</f>
        <v>0</v>
      </c>
      <c r="M10" s="30">
        <f>0+'12'!O105</f>
        <v>0</v>
      </c>
      <c r="N10" s="30">
        <f t="shared" si="0"/>
        <v>20076</v>
      </c>
    </row>
    <row r="11" spans="1:14" s="124" customFormat="1" ht="13.5" customHeight="1">
      <c r="A11" s="29"/>
      <c r="B11" s="29">
        <v>19</v>
      </c>
      <c r="C11" s="130" t="s">
        <v>905</v>
      </c>
      <c r="D11" s="30">
        <f>1200+'12'!F123</f>
        <v>1200</v>
      </c>
      <c r="E11" s="30">
        <f>250+'12'!G123</f>
        <v>250</v>
      </c>
      <c r="F11" s="30">
        <f>331160+'12'!H123</f>
        <v>397553</v>
      </c>
      <c r="G11" s="30">
        <f>301770+'12'!I123</f>
        <v>795911</v>
      </c>
      <c r="H11" s="30">
        <f>0+'12'!J123</f>
        <v>0</v>
      </c>
      <c r="I11" s="30">
        <f>0+'12'!K123</f>
        <v>0</v>
      </c>
      <c r="J11" s="30">
        <f>0+'12'!L123</f>
        <v>0</v>
      </c>
      <c r="K11" s="30">
        <f>19200+'12'!M123</f>
        <v>19200</v>
      </c>
      <c r="L11" s="30">
        <f>260494+'12'!N123</f>
        <v>425975</v>
      </c>
      <c r="M11" s="30">
        <f>0+'12'!O123</f>
        <v>0</v>
      </c>
      <c r="N11" s="30">
        <f t="shared" si="0"/>
        <v>1640089</v>
      </c>
    </row>
    <row r="12" spans="1:14" s="124" customFormat="1" ht="12.75" customHeight="1">
      <c r="A12" s="29"/>
      <c r="B12" s="29">
        <v>20</v>
      </c>
      <c r="C12" s="130" t="s">
        <v>829</v>
      </c>
      <c r="D12" s="30">
        <f>0+'12'!F125</f>
        <v>0</v>
      </c>
      <c r="E12" s="30">
        <f>0+'12'!G125</f>
        <v>0</v>
      </c>
      <c r="F12" s="30">
        <f>1015+'12'!H125</f>
        <v>1015</v>
      </c>
      <c r="G12" s="30">
        <f>0+'12'!I125</f>
        <v>0</v>
      </c>
      <c r="H12" s="30">
        <f>0+'12'!J125</f>
        <v>0</v>
      </c>
      <c r="I12" s="30">
        <f>0+'12'!K125</f>
        <v>0</v>
      </c>
      <c r="J12" s="30">
        <f>0+'12'!L125</f>
        <v>0</v>
      </c>
      <c r="K12" s="30">
        <f>0+'12'!M125</f>
        <v>0</v>
      </c>
      <c r="L12" s="30">
        <f>0+'12'!N125</f>
        <v>0</v>
      </c>
      <c r="M12" s="30">
        <f>0+'12'!O125</f>
        <v>0</v>
      </c>
      <c r="N12" s="30">
        <f t="shared" si="0"/>
        <v>1015</v>
      </c>
    </row>
    <row r="13" spans="1:14" s="124" customFormat="1" ht="12.75" customHeight="1">
      <c r="A13" s="29"/>
      <c r="B13" s="29">
        <v>21</v>
      </c>
      <c r="C13" s="130" t="s">
        <v>830</v>
      </c>
      <c r="D13" s="30">
        <f>61288+'12'!F138</f>
        <v>60692</v>
      </c>
      <c r="E13" s="30">
        <f>18000+'12'!G138</f>
        <v>17831</v>
      </c>
      <c r="F13" s="30">
        <f>105047+'12'!H138</f>
        <v>97734</v>
      </c>
      <c r="G13" s="30">
        <f>41953+'12'!I138</f>
        <v>50626</v>
      </c>
      <c r="H13" s="30">
        <f>0+'12'!J138</f>
        <v>0</v>
      </c>
      <c r="I13" s="30">
        <f>0+'12'!K138</f>
        <v>0</v>
      </c>
      <c r="J13" s="30">
        <f>0+'12'!L138</f>
        <v>0</v>
      </c>
      <c r="K13" s="30">
        <f>780+'12'!M138</f>
        <v>780</v>
      </c>
      <c r="L13" s="30">
        <f>0+'12'!N138</f>
        <v>0</v>
      </c>
      <c r="M13" s="30">
        <f>0+'12'!O138</f>
        <v>0</v>
      </c>
      <c r="N13" s="30">
        <f t="shared" si="0"/>
        <v>227663</v>
      </c>
    </row>
    <row r="14" spans="1:14" s="124" customFormat="1" ht="12.75" customHeight="1">
      <c r="A14" s="29"/>
      <c r="B14" s="29">
        <v>30</v>
      </c>
      <c r="C14" s="31" t="s">
        <v>663</v>
      </c>
      <c r="D14" s="30">
        <f>0+'12'!F151</f>
        <v>0</v>
      </c>
      <c r="E14" s="30">
        <f>0+'12'!G151</f>
        <v>0</v>
      </c>
      <c r="F14" s="30">
        <f>0+'12'!H151</f>
        <v>0</v>
      </c>
      <c r="G14" s="30">
        <f>0+'12'!I151</f>
        <v>0</v>
      </c>
      <c r="H14" s="30">
        <f>0+'12'!J151</f>
        <v>0</v>
      </c>
      <c r="I14" s="30">
        <f>15000+'12'!K151</f>
        <v>0</v>
      </c>
      <c r="J14" s="30">
        <f>53893+'12'!L151</f>
        <v>17328</v>
      </c>
      <c r="K14" s="30">
        <f>0+'12'!M151</f>
        <v>0</v>
      </c>
      <c r="L14" s="30">
        <f>0+'12'!N151</f>
        <v>0</v>
      </c>
      <c r="M14" s="30">
        <f>320752+'12'!O151</f>
        <v>271438</v>
      </c>
      <c r="N14" s="30">
        <f t="shared" si="0"/>
        <v>288766</v>
      </c>
    </row>
    <row r="15" spans="1:14" s="126" customFormat="1" ht="24.75" customHeight="1">
      <c r="A15" s="132"/>
      <c r="B15" s="132"/>
      <c r="C15" s="359" t="s">
        <v>116</v>
      </c>
      <c r="D15" s="34">
        <f>SUM(D3:D14)</f>
        <v>70196</v>
      </c>
      <c r="E15" s="34">
        <f aca="true" t="shared" si="1" ref="E15:N15">SUM(E3:E14)</f>
        <v>19942</v>
      </c>
      <c r="F15" s="34">
        <f t="shared" si="1"/>
        <v>2219304</v>
      </c>
      <c r="G15" s="34">
        <f t="shared" si="1"/>
        <v>1392162</v>
      </c>
      <c r="H15" s="34">
        <f t="shared" si="1"/>
        <v>359090</v>
      </c>
      <c r="I15" s="34">
        <f t="shared" si="1"/>
        <v>4994817</v>
      </c>
      <c r="J15" s="34">
        <f t="shared" si="1"/>
        <v>543294</v>
      </c>
      <c r="K15" s="34">
        <f t="shared" si="1"/>
        <v>317069</v>
      </c>
      <c r="L15" s="34">
        <f t="shared" si="1"/>
        <v>483194</v>
      </c>
      <c r="M15" s="34">
        <f t="shared" si="1"/>
        <v>271438</v>
      </c>
      <c r="N15" s="34">
        <f t="shared" si="1"/>
        <v>10670506</v>
      </c>
    </row>
    <row r="16" spans="1:14" s="126" customFormat="1" ht="12.75" customHeight="1">
      <c r="A16" s="32">
        <v>2</v>
      </c>
      <c r="B16" s="35"/>
      <c r="C16" s="360" t="s">
        <v>528</v>
      </c>
      <c r="D16" s="33">
        <f>3049051+'12'!F153</f>
        <v>2753761</v>
      </c>
      <c r="E16" s="33">
        <f>796447+'12'!G153</f>
        <v>685551</v>
      </c>
      <c r="F16" s="33">
        <f>2826381+'12'!H153</f>
        <v>2728511</v>
      </c>
      <c r="G16" s="33">
        <f>3571+'12'!I153</f>
        <v>4140</v>
      </c>
      <c r="H16" s="33">
        <f>0+'12'!J153</f>
        <v>158</v>
      </c>
      <c r="I16" s="33">
        <f>54456+'12'!K153</f>
        <v>52158</v>
      </c>
      <c r="J16" s="33">
        <f>45368+'12'!L153</f>
        <v>87229</v>
      </c>
      <c r="K16" s="33">
        <f>0+'12'!M153</f>
        <v>443</v>
      </c>
      <c r="L16" s="33">
        <f>0+'12'!N153</f>
        <v>0</v>
      </c>
      <c r="M16" s="33">
        <f>0+'12'!O153</f>
        <v>0</v>
      </c>
      <c r="N16" s="33">
        <f>SUM(D16:M16)</f>
        <v>6311951</v>
      </c>
    </row>
    <row r="17" spans="1:14" s="126" customFormat="1" ht="12.75" customHeight="1">
      <c r="A17" s="132"/>
      <c r="B17" s="132"/>
      <c r="C17" s="224" t="s">
        <v>455</v>
      </c>
      <c r="D17" s="34">
        <f aca="true" t="shared" si="2" ref="D17:N17">SUM(D15:D16)</f>
        <v>2823957</v>
      </c>
      <c r="E17" s="34">
        <f t="shared" si="2"/>
        <v>705493</v>
      </c>
      <c r="F17" s="34">
        <f t="shared" si="2"/>
        <v>4947815</v>
      </c>
      <c r="G17" s="34">
        <f t="shared" si="2"/>
        <v>1396302</v>
      </c>
      <c r="H17" s="34">
        <f t="shared" si="2"/>
        <v>359248</v>
      </c>
      <c r="I17" s="34">
        <f t="shared" si="2"/>
        <v>5046975</v>
      </c>
      <c r="J17" s="34">
        <f t="shared" si="2"/>
        <v>630523</v>
      </c>
      <c r="K17" s="34">
        <f t="shared" si="2"/>
        <v>317512</v>
      </c>
      <c r="L17" s="34">
        <f t="shared" si="2"/>
        <v>483194</v>
      </c>
      <c r="M17" s="34">
        <f t="shared" si="2"/>
        <v>271438</v>
      </c>
      <c r="N17" s="34">
        <f t="shared" si="2"/>
        <v>16982457</v>
      </c>
    </row>
    <row r="18" spans="13:14" s="24" customFormat="1" ht="12">
      <c r="M18" s="59"/>
      <c r="N18" s="59"/>
    </row>
    <row r="19" spans="13:14" s="24" customFormat="1" ht="12">
      <c r="M19" s="59"/>
      <c r="N19" s="557"/>
    </row>
    <row r="20" spans="13:14" s="24" customFormat="1" ht="12">
      <c r="M20" s="59"/>
      <c r="N20" s="59"/>
    </row>
    <row r="21" spans="13:14" s="24" customFormat="1" ht="12">
      <c r="M21" s="59"/>
      <c r="N21" s="59"/>
    </row>
    <row r="22" spans="13:14" s="24" customFormat="1" ht="12">
      <c r="M22" s="59"/>
      <c r="N22" s="59"/>
    </row>
    <row r="23" spans="13:14" s="24" customFormat="1" ht="12">
      <c r="M23" s="59"/>
      <c r="N23" s="59"/>
    </row>
    <row r="24" spans="13:14" s="24" customFormat="1" ht="12">
      <c r="M24" s="59"/>
      <c r="N24" s="59"/>
    </row>
    <row r="25" spans="13:14" s="24" customFormat="1" ht="12">
      <c r="M25" s="59"/>
      <c r="N25" s="59"/>
    </row>
    <row r="26" spans="13:14" s="24" customFormat="1" ht="12">
      <c r="M26" s="59"/>
      <c r="N26" s="59"/>
    </row>
    <row r="27" spans="13:14" s="24" customFormat="1" ht="12">
      <c r="M27" s="59"/>
      <c r="N27" s="59"/>
    </row>
    <row r="28" spans="13:14" s="24" customFormat="1" ht="12">
      <c r="M28" s="59"/>
      <c r="N28" s="59"/>
    </row>
  </sheetData>
  <sheetProtection/>
  <mergeCells count="2">
    <mergeCell ref="D1:H1"/>
    <mergeCell ref="I1:K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2013.  ÉVI KIADÁSI ELŐIRÁNYZATAI
CÍMENKÉNTI BONTÁSBAN&amp;R&amp;"Times New Roman CE,Félkövér dőlt"6.sz.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0"/>
  <sheetViews>
    <sheetView zoomScalePageLayoutView="0" workbookViewId="0" topLeftCell="A1">
      <pane ySplit="2" topLeftCell="A84" activePane="bottomLeft" state="frozen"/>
      <selection pane="topLeft" activeCell="D1" sqref="D1"/>
      <selection pane="bottomLeft" activeCell="D106" sqref="D106"/>
    </sheetView>
  </sheetViews>
  <sheetFormatPr defaultColWidth="9.00390625" defaultRowHeight="12.75"/>
  <cols>
    <col min="1" max="1" width="5.375" style="64" customWidth="1"/>
    <col min="2" max="2" width="4.375" style="64" customWidth="1"/>
    <col min="3" max="3" width="8.125" style="64" customWidth="1"/>
    <col min="4" max="4" width="61.625" style="64" customWidth="1"/>
    <col min="5" max="5" width="4.50390625" style="64" customWidth="1"/>
    <col min="6" max="6" width="9.50390625" style="64" customWidth="1"/>
    <col min="7" max="7" width="11.875" style="64" customWidth="1"/>
    <col min="8" max="8" width="13.125" style="64" customWidth="1"/>
    <col min="9" max="9" width="11.375" style="64" customWidth="1"/>
    <col min="10" max="10" width="11.50390625" style="64" customWidth="1"/>
    <col min="11" max="11" width="13.375" style="64" customWidth="1"/>
    <col min="12" max="12" width="11.50390625" style="64" customWidth="1"/>
    <col min="13" max="13" width="11.875" style="64" customWidth="1"/>
    <col min="14" max="14" width="13.375" style="64" customWidth="1"/>
    <col min="15" max="15" width="12.00390625" style="64" customWidth="1"/>
    <col min="16" max="16384" width="9.375" style="64" customWidth="1"/>
  </cols>
  <sheetData>
    <row r="1" spans="1:15" ht="28.5" customHeight="1">
      <c r="A1" s="388"/>
      <c r="B1" s="389"/>
      <c r="C1" s="390"/>
      <c r="D1" s="391"/>
      <c r="E1" s="392"/>
      <c r="F1" s="393"/>
      <c r="G1" s="852" t="s">
        <v>1037</v>
      </c>
      <c r="H1" s="853"/>
      <c r="I1" s="854"/>
      <c r="J1" s="857" t="s">
        <v>1038</v>
      </c>
      <c r="K1" s="858"/>
      <c r="L1" s="859"/>
      <c r="M1" s="857" t="s">
        <v>1091</v>
      </c>
      <c r="N1" s="858"/>
      <c r="O1" s="859"/>
    </row>
    <row r="2" spans="1:15" ht="95.25" thickBot="1">
      <c r="A2" s="394" t="s">
        <v>468</v>
      </c>
      <c r="B2" s="395" t="s">
        <v>469</v>
      </c>
      <c r="C2" s="396" t="s">
        <v>470</v>
      </c>
      <c r="D2" s="397" t="s">
        <v>471</v>
      </c>
      <c r="E2" s="663"/>
      <c r="F2" s="79" t="s">
        <v>706</v>
      </c>
      <c r="G2" s="664" t="s">
        <v>472</v>
      </c>
      <c r="H2" s="664" t="s">
        <v>127</v>
      </c>
      <c r="I2" s="664" t="s">
        <v>128</v>
      </c>
      <c r="J2" s="664" t="s">
        <v>472</v>
      </c>
      <c r="K2" s="664" t="s">
        <v>127</v>
      </c>
      <c r="L2" s="664" t="s">
        <v>128</v>
      </c>
      <c r="M2" s="664" t="s">
        <v>472</v>
      </c>
      <c r="N2" s="664" t="s">
        <v>127</v>
      </c>
      <c r="O2" s="664" t="s">
        <v>128</v>
      </c>
    </row>
    <row r="3" spans="1:15" ht="13.5" customHeight="1">
      <c r="A3" s="288">
        <v>1</v>
      </c>
      <c r="B3" s="398"/>
      <c r="C3" s="658"/>
      <c r="D3" s="659" t="s">
        <v>527</v>
      </c>
      <c r="E3" s="660"/>
      <c r="F3" s="661"/>
      <c r="G3" s="662"/>
      <c r="H3" s="662"/>
      <c r="I3" s="662"/>
      <c r="J3" s="662"/>
      <c r="K3" s="662"/>
      <c r="L3" s="662"/>
      <c r="M3" s="662"/>
      <c r="N3" s="662"/>
      <c r="O3" s="662"/>
    </row>
    <row r="4" spans="1:15" ht="13.5" customHeight="1">
      <c r="A4" s="399">
        <v>1</v>
      </c>
      <c r="B4" s="399">
        <v>13</v>
      </c>
      <c r="C4" s="142"/>
      <c r="D4" s="400" t="s">
        <v>104</v>
      </c>
      <c r="E4" s="401"/>
      <c r="F4" s="641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5" customHeight="1">
      <c r="A5" s="402"/>
      <c r="B5" s="403"/>
      <c r="C5" s="142" t="s">
        <v>702</v>
      </c>
      <c r="D5" s="161" t="s">
        <v>501</v>
      </c>
      <c r="E5" s="404"/>
      <c r="F5" s="343"/>
      <c r="G5" s="286">
        <v>80348</v>
      </c>
      <c r="H5" s="286">
        <v>0</v>
      </c>
      <c r="I5" s="286">
        <v>80348</v>
      </c>
      <c r="J5" s="101"/>
      <c r="K5" s="408"/>
      <c r="L5" s="408">
        <f>SUM(J5:K5)</f>
        <v>0</v>
      </c>
      <c r="M5" s="101">
        <f>SUM(G5+J5)</f>
        <v>80348</v>
      </c>
      <c r="N5" s="101">
        <f>SUM(H5+K5)</f>
        <v>0</v>
      </c>
      <c r="O5" s="101">
        <f>SUM(M5:N5)</f>
        <v>80348</v>
      </c>
    </row>
    <row r="6" spans="1:15" ht="15" customHeight="1">
      <c r="A6" s="402"/>
      <c r="B6" s="403"/>
      <c r="C6" s="142" t="s">
        <v>846</v>
      </c>
      <c r="D6" s="405" t="s">
        <v>129</v>
      </c>
      <c r="E6" s="406"/>
      <c r="F6" s="642"/>
      <c r="G6" s="286">
        <v>0</v>
      </c>
      <c r="H6" s="286">
        <v>2000</v>
      </c>
      <c r="I6" s="286">
        <v>2000</v>
      </c>
      <c r="J6" s="101"/>
      <c r="K6" s="408"/>
      <c r="L6" s="408">
        <f aca="true" t="shared" si="0" ref="L6:L85">SUM(J6:K6)</f>
        <v>0</v>
      </c>
      <c r="M6" s="101">
        <f aca="true" t="shared" si="1" ref="M6:M36">SUM(G6+J6)</f>
        <v>0</v>
      </c>
      <c r="N6" s="101">
        <f aca="true" t="shared" si="2" ref="N6:N36">SUM(H6+K6)</f>
        <v>2000</v>
      </c>
      <c r="O6" s="101">
        <f aca="true" t="shared" si="3" ref="O6:O37">SUM(M6:N6)</f>
        <v>2000</v>
      </c>
    </row>
    <row r="7" spans="1:15" ht="15" customHeight="1">
      <c r="A7" s="402"/>
      <c r="B7" s="403"/>
      <c r="C7" s="142" t="s">
        <v>848</v>
      </c>
      <c r="D7" s="407" t="s">
        <v>130</v>
      </c>
      <c r="E7" s="406"/>
      <c r="F7" s="642"/>
      <c r="G7" s="286">
        <v>0</v>
      </c>
      <c r="H7" s="286">
        <v>0</v>
      </c>
      <c r="I7" s="286">
        <v>0</v>
      </c>
      <c r="J7" s="408"/>
      <c r="K7" s="408"/>
      <c r="L7" s="408">
        <f t="shared" si="0"/>
        <v>0</v>
      </c>
      <c r="M7" s="101">
        <f t="shared" si="1"/>
        <v>0</v>
      </c>
      <c r="N7" s="101">
        <f t="shared" si="2"/>
        <v>0</v>
      </c>
      <c r="O7" s="101">
        <f t="shared" si="3"/>
        <v>0</v>
      </c>
    </row>
    <row r="8" spans="1:15" ht="15" customHeight="1">
      <c r="A8" s="402"/>
      <c r="B8" s="403"/>
      <c r="C8" s="142" t="s">
        <v>850</v>
      </c>
      <c r="D8" s="409" t="s">
        <v>131</v>
      </c>
      <c r="E8" s="406" t="s">
        <v>456</v>
      </c>
      <c r="F8" s="642"/>
      <c r="G8" s="286">
        <v>80000</v>
      </c>
      <c r="H8" s="286">
        <v>0</v>
      </c>
      <c r="I8" s="286">
        <v>80000</v>
      </c>
      <c r="J8" s="408"/>
      <c r="K8" s="408"/>
      <c r="L8" s="408">
        <f t="shared" si="0"/>
        <v>0</v>
      </c>
      <c r="M8" s="101">
        <f t="shared" si="1"/>
        <v>80000</v>
      </c>
      <c r="N8" s="101">
        <f t="shared" si="2"/>
        <v>0</v>
      </c>
      <c r="O8" s="101">
        <f t="shared" si="3"/>
        <v>80000</v>
      </c>
    </row>
    <row r="9" spans="1:15" ht="24.75" customHeight="1">
      <c r="A9" s="402"/>
      <c r="B9" s="403"/>
      <c r="C9" s="142" t="s">
        <v>851</v>
      </c>
      <c r="D9" s="409" t="s">
        <v>132</v>
      </c>
      <c r="E9" s="410"/>
      <c r="F9" s="343"/>
      <c r="G9" s="286">
        <v>2500</v>
      </c>
      <c r="H9" s="286">
        <v>0</v>
      </c>
      <c r="I9" s="286">
        <v>2500</v>
      </c>
      <c r="J9" s="101"/>
      <c r="K9" s="408"/>
      <c r="L9" s="408">
        <f t="shared" si="0"/>
        <v>0</v>
      </c>
      <c r="M9" s="101">
        <f t="shared" si="1"/>
        <v>2500</v>
      </c>
      <c r="N9" s="101">
        <f t="shared" si="2"/>
        <v>0</v>
      </c>
      <c r="O9" s="101">
        <f t="shared" si="3"/>
        <v>2500</v>
      </c>
    </row>
    <row r="10" spans="1:15" ht="21" customHeight="1">
      <c r="A10" s="402"/>
      <c r="B10" s="403"/>
      <c r="C10" s="142" t="s">
        <v>852</v>
      </c>
      <c r="D10" s="409" t="s">
        <v>133</v>
      </c>
      <c r="E10" s="410"/>
      <c r="F10" s="343"/>
      <c r="G10" s="286">
        <v>2500</v>
      </c>
      <c r="H10" s="286">
        <v>0</v>
      </c>
      <c r="I10" s="286">
        <v>2500</v>
      </c>
      <c r="J10" s="101"/>
      <c r="K10" s="408"/>
      <c r="L10" s="408">
        <f t="shared" si="0"/>
        <v>0</v>
      </c>
      <c r="M10" s="101">
        <f t="shared" si="1"/>
        <v>2500</v>
      </c>
      <c r="N10" s="101">
        <f t="shared" si="2"/>
        <v>0</v>
      </c>
      <c r="O10" s="101">
        <f t="shared" si="3"/>
        <v>2500</v>
      </c>
    </row>
    <row r="11" spans="1:15" ht="15" customHeight="1">
      <c r="A11" s="402"/>
      <c r="B11" s="403"/>
      <c r="C11" s="142" t="s">
        <v>881</v>
      </c>
      <c r="D11" s="411" t="s">
        <v>134</v>
      </c>
      <c r="E11" s="406"/>
      <c r="F11" s="642" t="s">
        <v>547</v>
      </c>
      <c r="G11" s="286">
        <v>1000</v>
      </c>
      <c r="H11" s="286">
        <v>0</v>
      </c>
      <c r="I11" s="286">
        <v>1000</v>
      </c>
      <c r="J11" s="408">
        <v>1000</v>
      </c>
      <c r="K11" s="408"/>
      <c r="L11" s="408">
        <f t="shared" si="0"/>
        <v>1000</v>
      </c>
      <c r="M11" s="101">
        <f t="shared" si="1"/>
        <v>2000</v>
      </c>
      <c r="N11" s="101">
        <f t="shared" si="2"/>
        <v>0</v>
      </c>
      <c r="O11" s="101">
        <f t="shared" si="3"/>
        <v>2000</v>
      </c>
    </row>
    <row r="12" spans="1:15" ht="15" customHeight="1">
      <c r="A12" s="402"/>
      <c r="B12" s="403"/>
      <c r="C12" s="142" t="s">
        <v>882</v>
      </c>
      <c r="D12" s="161" t="s">
        <v>135</v>
      </c>
      <c r="E12" s="412"/>
      <c r="F12" s="343"/>
      <c r="G12" s="286">
        <v>0</v>
      </c>
      <c r="H12" s="286">
        <v>1000</v>
      </c>
      <c r="I12" s="286">
        <v>1000</v>
      </c>
      <c r="J12" s="101"/>
      <c r="K12" s="408"/>
      <c r="L12" s="408">
        <f t="shared" si="0"/>
        <v>0</v>
      </c>
      <c r="M12" s="101">
        <f t="shared" si="1"/>
        <v>0</v>
      </c>
      <c r="N12" s="101">
        <f t="shared" si="2"/>
        <v>1000</v>
      </c>
      <c r="O12" s="101">
        <f t="shared" si="3"/>
        <v>1000</v>
      </c>
    </row>
    <row r="13" spans="1:15" ht="40.5" customHeight="1">
      <c r="A13" s="402"/>
      <c r="B13" s="403"/>
      <c r="C13" s="142" t="s">
        <v>884</v>
      </c>
      <c r="D13" s="171" t="s">
        <v>136</v>
      </c>
      <c r="E13" s="412"/>
      <c r="F13" s="343"/>
      <c r="G13" s="286">
        <v>305063</v>
      </c>
      <c r="H13" s="286">
        <v>0</v>
      </c>
      <c r="I13" s="286">
        <v>305063</v>
      </c>
      <c r="J13" s="101"/>
      <c r="K13" s="408"/>
      <c r="L13" s="408">
        <f t="shared" si="0"/>
        <v>0</v>
      </c>
      <c r="M13" s="101">
        <f t="shared" si="1"/>
        <v>305063</v>
      </c>
      <c r="N13" s="101">
        <f t="shared" si="2"/>
        <v>0</v>
      </c>
      <c r="O13" s="101">
        <f t="shared" si="3"/>
        <v>305063</v>
      </c>
    </row>
    <row r="14" spans="1:15" ht="15" customHeight="1">
      <c r="A14" s="402"/>
      <c r="B14" s="403"/>
      <c r="C14" s="142" t="s">
        <v>549</v>
      </c>
      <c r="D14" s="405" t="s">
        <v>137</v>
      </c>
      <c r="E14" s="406"/>
      <c r="F14" s="642"/>
      <c r="G14" s="286">
        <v>300</v>
      </c>
      <c r="H14" s="286">
        <v>0</v>
      </c>
      <c r="I14" s="286">
        <v>300</v>
      </c>
      <c r="J14" s="408"/>
      <c r="K14" s="408"/>
      <c r="L14" s="408">
        <f t="shared" si="0"/>
        <v>0</v>
      </c>
      <c r="M14" s="101">
        <f t="shared" si="1"/>
        <v>300</v>
      </c>
      <c r="N14" s="101">
        <f t="shared" si="2"/>
        <v>0</v>
      </c>
      <c r="O14" s="101">
        <f t="shared" si="3"/>
        <v>300</v>
      </c>
    </row>
    <row r="15" spans="1:15" ht="15" customHeight="1">
      <c r="A15" s="402"/>
      <c r="B15" s="403"/>
      <c r="C15" s="142" t="s">
        <v>550</v>
      </c>
      <c r="D15" s="240" t="s">
        <v>138</v>
      </c>
      <c r="E15" s="241"/>
      <c r="F15" s="642"/>
      <c r="G15" s="286">
        <v>6020</v>
      </c>
      <c r="H15" s="286">
        <v>0</v>
      </c>
      <c r="I15" s="286">
        <v>6020</v>
      </c>
      <c r="J15" s="184"/>
      <c r="K15" s="184"/>
      <c r="L15" s="408">
        <f t="shared" si="0"/>
        <v>0</v>
      </c>
      <c r="M15" s="101">
        <f t="shared" si="1"/>
        <v>6020</v>
      </c>
      <c r="N15" s="101">
        <f t="shared" si="2"/>
        <v>0</v>
      </c>
      <c r="O15" s="101">
        <f t="shared" si="3"/>
        <v>6020</v>
      </c>
    </row>
    <row r="16" spans="1:15" ht="15" customHeight="1">
      <c r="A16" s="402"/>
      <c r="B16" s="403"/>
      <c r="C16" s="142" t="s">
        <v>696</v>
      </c>
      <c r="D16" s="413" t="s">
        <v>139</v>
      </c>
      <c r="E16" s="406"/>
      <c r="F16" s="642"/>
      <c r="G16" s="286">
        <v>2000</v>
      </c>
      <c r="H16" s="286">
        <v>0</v>
      </c>
      <c r="I16" s="286">
        <v>2000</v>
      </c>
      <c r="J16" s="408"/>
      <c r="K16" s="408"/>
      <c r="L16" s="408">
        <f t="shared" si="0"/>
        <v>0</v>
      </c>
      <c r="M16" s="101">
        <f t="shared" si="1"/>
        <v>2000</v>
      </c>
      <c r="N16" s="101">
        <f t="shared" si="2"/>
        <v>0</v>
      </c>
      <c r="O16" s="101">
        <f t="shared" si="3"/>
        <v>2000</v>
      </c>
    </row>
    <row r="17" spans="1:15" ht="24.75" customHeight="1">
      <c r="A17" s="402"/>
      <c r="B17" s="403"/>
      <c r="C17" s="142" t="s">
        <v>1041</v>
      </c>
      <c r="D17" s="409" t="s">
        <v>140</v>
      </c>
      <c r="E17" s="410"/>
      <c r="F17" s="343"/>
      <c r="G17" s="286">
        <v>80</v>
      </c>
      <c r="H17" s="286">
        <v>5620</v>
      </c>
      <c r="I17" s="286">
        <v>5700</v>
      </c>
      <c r="J17" s="101"/>
      <c r="K17" s="408"/>
      <c r="L17" s="408">
        <f t="shared" si="0"/>
        <v>0</v>
      </c>
      <c r="M17" s="101">
        <f t="shared" si="1"/>
        <v>80</v>
      </c>
      <c r="N17" s="101">
        <f t="shared" si="2"/>
        <v>5620</v>
      </c>
      <c r="O17" s="101">
        <f t="shared" si="3"/>
        <v>5700</v>
      </c>
    </row>
    <row r="18" spans="1:15" ht="24.75" customHeight="1">
      <c r="A18" s="402"/>
      <c r="B18" s="403"/>
      <c r="C18" s="142" t="s">
        <v>825</v>
      </c>
      <c r="D18" s="409" t="s">
        <v>141</v>
      </c>
      <c r="E18" s="410"/>
      <c r="F18" s="343"/>
      <c r="G18" s="286">
        <v>10000</v>
      </c>
      <c r="H18" s="286">
        <v>0</v>
      </c>
      <c r="I18" s="286">
        <v>10000</v>
      </c>
      <c r="J18" s="101"/>
      <c r="K18" s="408"/>
      <c r="L18" s="408">
        <f t="shared" si="0"/>
        <v>0</v>
      </c>
      <c r="M18" s="101">
        <f t="shared" si="1"/>
        <v>10000</v>
      </c>
      <c r="N18" s="101">
        <f t="shared" si="2"/>
        <v>0</v>
      </c>
      <c r="O18" s="101">
        <f t="shared" si="3"/>
        <v>10000</v>
      </c>
    </row>
    <row r="19" spans="1:15" ht="24.75" customHeight="1">
      <c r="A19" s="402"/>
      <c r="B19" s="403"/>
      <c r="C19" s="142" t="s">
        <v>473</v>
      </c>
      <c r="D19" s="409" t="s">
        <v>142</v>
      </c>
      <c r="E19" s="410"/>
      <c r="F19" s="343"/>
      <c r="G19" s="286">
        <v>3000</v>
      </c>
      <c r="H19" s="286">
        <v>0</v>
      </c>
      <c r="I19" s="286">
        <v>3000</v>
      </c>
      <c r="J19" s="101"/>
      <c r="K19" s="408"/>
      <c r="L19" s="408">
        <f t="shared" si="0"/>
        <v>0</v>
      </c>
      <c r="M19" s="101">
        <f t="shared" si="1"/>
        <v>3000</v>
      </c>
      <c r="N19" s="101">
        <f t="shared" si="2"/>
        <v>0</v>
      </c>
      <c r="O19" s="101">
        <f t="shared" si="3"/>
        <v>3000</v>
      </c>
    </row>
    <row r="20" spans="1:15" ht="24.75" customHeight="1">
      <c r="A20" s="402"/>
      <c r="B20" s="403"/>
      <c r="C20" s="142" t="s">
        <v>143</v>
      </c>
      <c r="D20" s="409" t="s">
        <v>144</v>
      </c>
      <c r="E20" s="410"/>
      <c r="F20" s="343"/>
      <c r="G20" s="286">
        <v>4000</v>
      </c>
      <c r="H20" s="286">
        <v>0</v>
      </c>
      <c r="I20" s="286">
        <v>4000</v>
      </c>
      <c r="J20" s="101"/>
      <c r="K20" s="408"/>
      <c r="L20" s="408">
        <f t="shared" si="0"/>
        <v>0</v>
      </c>
      <c r="M20" s="101">
        <f t="shared" si="1"/>
        <v>4000</v>
      </c>
      <c r="N20" s="101">
        <f t="shared" si="2"/>
        <v>0</v>
      </c>
      <c r="O20" s="101">
        <f t="shared" si="3"/>
        <v>4000</v>
      </c>
    </row>
    <row r="21" spans="1:15" ht="24.75" customHeight="1">
      <c r="A21" s="402"/>
      <c r="B21" s="403"/>
      <c r="C21" s="142" t="s">
        <v>145</v>
      </c>
      <c r="D21" s="409" t="s">
        <v>146</v>
      </c>
      <c r="E21" s="410"/>
      <c r="F21" s="343"/>
      <c r="G21" s="286">
        <v>1357</v>
      </c>
      <c r="H21" s="286">
        <v>0</v>
      </c>
      <c r="I21" s="286">
        <v>1357</v>
      </c>
      <c r="J21" s="101"/>
      <c r="K21" s="408"/>
      <c r="L21" s="408">
        <f t="shared" si="0"/>
        <v>0</v>
      </c>
      <c r="M21" s="101">
        <f t="shared" si="1"/>
        <v>1357</v>
      </c>
      <c r="N21" s="101">
        <f t="shared" si="2"/>
        <v>0</v>
      </c>
      <c r="O21" s="101">
        <f t="shared" si="3"/>
        <v>1357</v>
      </c>
    </row>
    <row r="22" spans="1:15" ht="15" customHeight="1">
      <c r="A22" s="402"/>
      <c r="B22" s="403"/>
      <c r="C22" s="142" t="s">
        <v>147</v>
      </c>
      <c r="D22" s="405" t="s">
        <v>148</v>
      </c>
      <c r="E22" s="414"/>
      <c r="F22" s="643"/>
      <c r="G22" s="286">
        <v>1000</v>
      </c>
      <c r="H22" s="286">
        <v>0</v>
      </c>
      <c r="I22" s="286">
        <v>1000</v>
      </c>
      <c r="J22" s="183"/>
      <c r="K22" s="183"/>
      <c r="L22" s="408">
        <f t="shared" si="0"/>
        <v>0</v>
      </c>
      <c r="M22" s="101">
        <f t="shared" si="1"/>
        <v>1000</v>
      </c>
      <c r="N22" s="101">
        <f t="shared" si="2"/>
        <v>0</v>
      </c>
      <c r="O22" s="101">
        <f t="shared" si="3"/>
        <v>1000</v>
      </c>
    </row>
    <row r="23" spans="1:15" ht="24.75" customHeight="1">
      <c r="A23" s="402"/>
      <c r="B23" s="403"/>
      <c r="C23" s="142" t="s">
        <v>149</v>
      </c>
      <c r="D23" s="171" t="s">
        <v>150</v>
      </c>
      <c r="E23" s="412"/>
      <c r="F23" s="343"/>
      <c r="G23" s="286">
        <v>0</v>
      </c>
      <c r="H23" s="286">
        <v>20000</v>
      </c>
      <c r="I23" s="286">
        <v>20000</v>
      </c>
      <c r="J23" s="101"/>
      <c r="K23" s="408"/>
      <c r="L23" s="408">
        <f t="shared" si="0"/>
        <v>0</v>
      </c>
      <c r="M23" s="101">
        <f t="shared" si="1"/>
        <v>0</v>
      </c>
      <c r="N23" s="101">
        <f t="shared" si="2"/>
        <v>20000</v>
      </c>
      <c r="O23" s="101">
        <f t="shared" si="3"/>
        <v>20000</v>
      </c>
    </row>
    <row r="24" spans="1:15" ht="24.75" customHeight="1">
      <c r="A24" s="402"/>
      <c r="B24" s="403"/>
      <c r="C24" s="141" t="s">
        <v>945</v>
      </c>
      <c r="D24" s="226" t="s">
        <v>946</v>
      </c>
      <c r="E24" s="412"/>
      <c r="F24" s="343"/>
      <c r="G24" s="286"/>
      <c r="H24" s="286">
        <v>10299</v>
      </c>
      <c r="I24" s="286">
        <v>10299</v>
      </c>
      <c r="J24" s="101"/>
      <c r="K24" s="408"/>
      <c r="L24" s="408">
        <f t="shared" si="0"/>
        <v>0</v>
      </c>
      <c r="M24" s="101"/>
      <c r="N24" s="101">
        <f t="shared" si="2"/>
        <v>10299</v>
      </c>
      <c r="O24" s="101">
        <f t="shared" si="3"/>
        <v>10299</v>
      </c>
    </row>
    <row r="25" spans="1:15" ht="15" customHeight="1">
      <c r="A25" s="402"/>
      <c r="B25" s="403"/>
      <c r="C25" s="141" t="s">
        <v>947</v>
      </c>
      <c r="D25" s="226" t="s">
        <v>948</v>
      </c>
      <c r="E25" s="412"/>
      <c r="F25" s="343"/>
      <c r="G25" s="286">
        <v>1269</v>
      </c>
      <c r="H25" s="286">
        <v>0</v>
      </c>
      <c r="I25" s="286">
        <v>1269</v>
      </c>
      <c r="J25" s="101"/>
      <c r="K25" s="408"/>
      <c r="L25" s="408">
        <f t="shared" si="0"/>
        <v>0</v>
      </c>
      <c r="M25" s="101">
        <f t="shared" si="1"/>
        <v>1269</v>
      </c>
      <c r="N25" s="101">
        <f t="shared" si="2"/>
        <v>0</v>
      </c>
      <c r="O25" s="101">
        <f t="shared" si="3"/>
        <v>1269</v>
      </c>
    </row>
    <row r="26" spans="1:15" ht="15" customHeight="1">
      <c r="A26" s="402"/>
      <c r="B26" s="403"/>
      <c r="C26" s="141" t="s">
        <v>509</v>
      </c>
      <c r="D26" s="226" t="s">
        <v>510</v>
      </c>
      <c r="E26" s="412"/>
      <c r="F26" s="343"/>
      <c r="G26" s="286">
        <v>450</v>
      </c>
      <c r="H26" s="286"/>
      <c r="I26" s="286">
        <v>450</v>
      </c>
      <c r="J26" s="101"/>
      <c r="K26" s="408"/>
      <c r="L26" s="408">
        <f t="shared" si="0"/>
        <v>0</v>
      </c>
      <c r="M26" s="101">
        <f t="shared" si="1"/>
        <v>450</v>
      </c>
      <c r="N26" s="101">
        <f t="shared" si="2"/>
        <v>0</v>
      </c>
      <c r="O26" s="101">
        <f t="shared" si="3"/>
        <v>450</v>
      </c>
    </row>
    <row r="27" spans="1:15" ht="15" customHeight="1">
      <c r="A27" s="402"/>
      <c r="B27" s="403"/>
      <c r="C27" s="141" t="s">
        <v>247</v>
      </c>
      <c r="D27" s="758" t="s">
        <v>315</v>
      </c>
      <c r="E27" s="412"/>
      <c r="F27" s="343" t="s">
        <v>933</v>
      </c>
      <c r="G27" s="286"/>
      <c r="H27" s="286"/>
      <c r="I27" s="286"/>
      <c r="J27" s="101">
        <v>300</v>
      </c>
      <c r="K27" s="408"/>
      <c r="L27" s="408">
        <f t="shared" si="0"/>
        <v>300</v>
      </c>
      <c r="M27" s="101">
        <f t="shared" si="1"/>
        <v>300</v>
      </c>
      <c r="N27" s="101">
        <f t="shared" si="2"/>
        <v>0</v>
      </c>
      <c r="O27" s="101">
        <f t="shared" si="3"/>
        <v>300</v>
      </c>
    </row>
    <row r="28" spans="1:15" ht="15" customHeight="1">
      <c r="A28" s="402"/>
      <c r="B28" s="403"/>
      <c r="C28" s="141" t="s">
        <v>1072</v>
      </c>
      <c r="D28" s="785" t="s">
        <v>52</v>
      </c>
      <c r="E28" s="487"/>
      <c r="F28" s="488" t="s">
        <v>547</v>
      </c>
      <c r="G28" s="286"/>
      <c r="H28" s="286"/>
      <c r="I28" s="286"/>
      <c r="J28" s="101"/>
      <c r="K28" s="408">
        <v>3000</v>
      </c>
      <c r="L28" s="408">
        <f t="shared" si="0"/>
        <v>3000</v>
      </c>
      <c r="M28" s="101">
        <f t="shared" si="1"/>
        <v>0</v>
      </c>
      <c r="N28" s="101">
        <f t="shared" si="2"/>
        <v>3000</v>
      </c>
      <c r="O28" s="101">
        <f t="shared" si="3"/>
        <v>3000</v>
      </c>
    </row>
    <row r="29" spans="1:15" ht="15" customHeight="1">
      <c r="A29" s="402"/>
      <c r="B29" s="403"/>
      <c r="C29" s="141" t="s">
        <v>1073</v>
      </c>
      <c r="D29" s="785" t="s">
        <v>1074</v>
      </c>
      <c r="E29" s="487"/>
      <c r="F29" s="488" t="s">
        <v>547</v>
      </c>
      <c r="G29" s="286"/>
      <c r="H29" s="286"/>
      <c r="I29" s="286"/>
      <c r="J29" s="101"/>
      <c r="K29" s="408">
        <v>6000</v>
      </c>
      <c r="L29" s="408">
        <f t="shared" si="0"/>
        <v>6000</v>
      </c>
      <c r="M29" s="101"/>
      <c r="N29" s="101">
        <f t="shared" si="2"/>
        <v>6000</v>
      </c>
      <c r="O29" s="101">
        <f t="shared" si="3"/>
        <v>6000</v>
      </c>
    </row>
    <row r="30" spans="1:15" ht="13.5" customHeight="1">
      <c r="A30" s="402"/>
      <c r="B30" s="403"/>
      <c r="C30" s="143"/>
      <c r="D30" s="243" t="s">
        <v>151</v>
      </c>
      <c r="E30" s="401"/>
      <c r="F30" s="641"/>
      <c r="G30" s="286">
        <v>0</v>
      </c>
      <c r="H30" s="286">
        <v>0</v>
      </c>
      <c r="I30" s="286">
        <v>0</v>
      </c>
      <c r="J30" s="184"/>
      <c r="K30" s="184"/>
      <c r="L30" s="408">
        <f t="shared" si="0"/>
        <v>0</v>
      </c>
      <c r="M30" s="101">
        <f t="shared" si="1"/>
        <v>0</v>
      </c>
      <c r="N30" s="101">
        <f t="shared" si="2"/>
        <v>0</v>
      </c>
      <c r="O30" s="101">
        <f t="shared" si="3"/>
        <v>0</v>
      </c>
    </row>
    <row r="31" spans="1:15" ht="24.75" customHeight="1">
      <c r="A31" s="402"/>
      <c r="B31" s="403"/>
      <c r="C31" s="143" t="s">
        <v>555</v>
      </c>
      <c r="D31" s="415" t="s">
        <v>160</v>
      </c>
      <c r="E31" s="416" t="s">
        <v>456</v>
      </c>
      <c r="F31" s="644"/>
      <c r="G31" s="286">
        <v>95696</v>
      </c>
      <c r="H31" s="286">
        <v>0</v>
      </c>
      <c r="I31" s="286">
        <v>95696</v>
      </c>
      <c r="J31" s="185"/>
      <c r="K31" s="185"/>
      <c r="L31" s="408">
        <f t="shared" si="0"/>
        <v>0</v>
      </c>
      <c r="M31" s="101">
        <f t="shared" si="1"/>
        <v>95696</v>
      </c>
      <c r="N31" s="101">
        <f t="shared" si="2"/>
        <v>0</v>
      </c>
      <c r="O31" s="101">
        <f t="shared" si="3"/>
        <v>95696</v>
      </c>
    </row>
    <row r="32" spans="1:15" ht="15" customHeight="1">
      <c r="A32" s="402"/>
      <c r="B32" s="403"/>
      <c r="C32" s="143" t="s">
        <v>664</v>
      </c>
      <c r="D32" s="254" t="s">
        <v>931</v>
      </c>
      <c r="E32" s="417"/>
      <c r="F32" s="645"/>
      <c r="G32" s="286">
        <v>2000</v>
      </c>
      <c r="H32" s="286">
        <v>0</v>
      </c>
      <c r="I32" s="286">
        <v>2000</v>
      </c>
      <c r="J32" s="418"/>
      <c r="K32" s="286"/>
      <c r="L32" s="408">
        <f t="shared" si="0"/>
        <v>0</v>
      </c>
      <c r="M32" s="101">
        <f t="shared" si="1"/>
        <v>2000</v>
      </c>
      <c r="N32" s="101">
        <f t="shared" si="2"/>
        <v>0</v>
      </c>
      <c r="O32" s="101">
        <f t="shared" si="3"/>
        <v>2000</v>
      </c>
    </row>
    <row r="33" spans="1:15" ht="15" customHeight="1">
      <c r="A33" s="402"/>
      <c r="B33" s="403"/>
      <c r="C33" s="143" t="s">
        <v>665</v>
      </c>
      <c r="D33" s="855" t="s">
        <v>914</v>
      </c>
      <c r="E33" s="856"/>
      <c r="F33" s="642"/>
      <c r="G33" s="286">
        <v>2271</v>
      </c>
      <c r="H33" s="286">
        <v>0</v>
      </c>
      <c r="I33" s="286">
        <v>2271</v>
      </c>
      <c r="J33" s="534"/>
      <c r="K33" s="184"/>
      <c r="L33" s="408">
        <f t="shared" si="0"/>
        <v>0</v>
      </c>
      <c r="M33" s="101">
        <f t="shared" si="1"/>
        <v>2271</v>
      </c>
      <c r="N33" s="101">
        <f t="shared" si="2"/>
        <v>0</v>
      </c>
      <c r="O33" s="101">
        <f t="shared" si="3"/>
        <v>2271</v>
      </c>
    </row>
    <row r="34" spans="1:15" ht="15" customHeight="1">
      <c r="A34" s="402"/>
      <c r="B34" s="403"/>
      <c r="C34" s="143" t="s">
        <v>666</v>
      </c>
      <c r="D34" s="419" t="s">
        <v>1040</v>
      </c>
      <c r="E34" s="417"/>
      <c r="F34" s="645" t="s">
        <v>933</v>
      </c>
      <c r="G34" s="286">
        <v>500</v>
      </c>
      <c r="H34" s="286">
        <v>0</v>
      </c>
      <c r="I34" s="286">
        <v>500</v>
      </c>
      <c r="J34" s="418">
        <v>-500</v>
      </c>
      <c r="K34" s="286"/>
      <c r="L34" s="408">
        <f t="shared" si="0"/>
        <v>-500</v>
      </c>
      <c r="M34" s="101">
        <f t="shared" si="1"/>
        <v>0</v>
      </c>
      <c r="N34" s="101">
        <f t="shared" si="2"/>
        <v>0</v>
      </c>
      <c r="O34" s="101">
        <f t="shared" si="3"/>
        <v>0</v>
      </c>
    </row>
    <row r="35" spans="1:15" ht="15" customHeight="1">
      <c r="A35" s="402"/>
      <c r="B35" s="403"/>
      <c r="C35" s="143" t="s">
        <v>161</v>
      </c>
      <c r="D35" s="289" t="s">
        <v>824</v>
      </c>
      <c r="E35" s="420"/>
      <c r="F35" s="645"/>
      <c r="G35" s="286">
        <v>0</v>
      </c>
      <c r="H35" s="286">
        <v>13950</v>
      </c>
      <c r="I35" s="286">
        <v>13950</v>
      </c>
      <c r="J35" s="418"/>
      <c r="K35" s="286"/>
      <c r="L35" s="408">
        <f t="shared" si="0"/>
        <v>0</v>
      </c>
      <c r="M35" s="101">
        <f t="shared" si="1"/>
        <v>0</v>
      </c>
      <c r="N35" s="101">
        <f t="shared" si="2"/>
        <v>13950</v>
      </c>
      <c r="O35" s="101">
        <f t="shared" si="3"/>
        <v>13950</v>
      </c>
    </row>
    <row r="36" spans="1:15" ht="15" customHeight="1">
      <c r="A36" s="402"/>
      <c r="B36" s="403"/>
      <c r="C36" s="143" t="s">
        <v>162</v>
      </c>
      <c r="D36" s="290" t="s">
        <v>164</v>
      </c>
      <c r="E36" s="406"/>
      <c r="F36" s="642"/>
      <c r="G36" s="286">
        <v>0</v>
      </c>
      <c r="H36" s="286">
        <v>4366</v>
      </c>
      <c r="I36" s="286">
        <v>4366</v>
      </c>
      <c r="J36" s="534"/>
      <c r="K36" s="184"/>
      <c r="L36" s="408">
        <f t="shared" si="0"/>
        <v>0</v>
      </c>
      <c r="M36" s="101">
        <f t="shared" si="1"/>
        <v>0</v>
      </c>
      <c r="N36" s="101">
        <f t="shared" si="2"/>
        <v>4366</v>
      </c>
      <c r="O36" s="101">
        <f t="shared" si="3"/>
        <v>4366</v>
      </c>
    </row>
    <row r="37" spans="1:15" ht="12.75" customHeight="1">
      <c r="A37" s="421"/>
      <c r="B37" s="422"/>
      <c r="C37" s="423"/>
      <c r="D37" s="424" t="s">
        <v>165</v>
      </c>
      <c r="E37" s="425"/>
      <c r="F37" s="646"/>
      <c r="G37" s="264">
        <f aca="true" t="shared" si="4" ref="G37:N37">SUM(G5:G36)</f>
        <v>601354</v>
      </c>
      <c r="H37" s="264">
        <f t="shared" si="4"/>
        <v>57235</v>
      </c>
      <c r="I37" s="264">
        <f t="shared" si="4"/>
        <v>658589</v>
      </c>
      <c r="J37" s="264">
        <f t="shared" si="4"/>
        <v>800</v>
      </c>
      <c r="K37" s="264">
        <f t="shared" si="4"/>
        <v>9000</v>
      </c>
      <c r="L37" s="264">
        <f t="shared" si="4"/>
        <v>9800</v>
      </c>
      <c r="M37" s="264">
        <f t="shared" si="4"/>
        <v>602154</v>
      </c>
      <c r="N37" s="264">
        <f t="shared" si="4"/>
        <v>66235</v>
      </c>
      <c r="O37" s="94">
        <f t="shared" si="3"/>
        <v>668389</v>
      </c>
    </row>
    <row r="38" spans="1:15" ht="12.75" customHeight="1">
      <c r="A38" s="426">
        <v>1</v>
      </c>
      <c r="B38" s="427">
        <v>15</v>
      </c>
      <c r="C38" s="141"/>
      <c r="D38" s="162" t="s">
        <v>903</v>
      </c>
      <c r="E38" s="428"/>
      <c r="F38" s="647"/>
      <c r="G38" s="286"/>
      <c r="H38" s="286"/>
      <c r="I38" s="286"/>
      <c r="J38" s="429"/>
      <c r="K38" s="429"/>
      <c r="L38" s="408">
        <f t="shared" si="0"/>
        <v>0</v>
      </c>
      <c r="M38" s="429"/>
      <c r="N38" s="429"/>
      <c r="O38" s="429"/>
    </row>
    <row r="39" spans="1:15" ht="12.75" customHeight="1">
      <c r="A39" s="426"/>
      <c r="B39" s="427"/>
      <c r="C39" s="140">
        <v>1</v>
      </c>
      <c r="D39" s="162" t="s">
        <v>929</v>
      </c>
      <c r="E39" s="428"/>
      <c r="F39" s="648"/>
      <c r="G39" s="286"/>
      <c r="H39" s="286"/>
      <c r="I39" s="286"/>
      <c r="J39" s="429"/>
      <c r="K39" s="429"/>
      <c r="L39" s="408">
        <f t="shared" si="0"/>
        <v>0</v>
      </c>
      <c r="M39" s="429"/>
      <c r="N39" s="429"/>
      <c r="O39" s="429"/>
    </row>
    <row r="40" spans="1:15" ht="12.75" customHeight="1">
      <c r="A40" s="426"/>
      <c r="B40" s="427"/>
      <c r="C40" s="141" t="s">
        <v>843</v>
      </c>
      <c r="D40" s="430" t="s">
        <v>166</v>
      </c>
      <c r="E40" s="428"/>
      <c r="F40" s="648"/>
      <c r="G40" s="286">
        <v>1000</v>
      </c>
      <c r="H40" s="286">
        <v>0</v>
      </c>
      <c r="I40" s="286">
        <v>1000</v>
      </c>
      <c r="J40" s="182"/>
      <c r="K40" s="182"/>
      <c r="L40" s="408">
        <f t="shared" si="0"/>
        <v>0</v>
      </c>
      <c r="M40" s="182">
        <f>SUM(G40+J40)</f>
        <v>1000</v>
      </c>
      <c r="N40" s="182">
        <f>SUM(H40+K40)</f>
        <v>0</v>
      </c>
      <c r="O40" s="182">
        <f>SUM(M40:N40)</f>
        <v>1000</v>
      </c>
    </row>
    <row r="41" spans="1:15" ht="12.75" customHeight="1">
      <c r="A41" s="426"/>
      <c r="B41" s="427"/>
      <c r="C41" s="141" t="s">
        <v>844</v>
      </c>
      <c r="D41" s="430" t="s">
        <v>1042</v>
      </c>
      <c r="E41" s="428"/>
      <c r="F41" s="648"/>
      <c r="G41" s="286">
        <v>1000</v>
      </c>
      <c r="H41" s="286">
        <v>0</v>
      </c>
      <c r="I41" s="286">
        <v>1000</v>
      </c>
      <c r="J41" s="182"/>
      <c r="K41" s="182"/>
      <c r="L41" s="408">
        <f t="shared" si="0"/>
        <v>0</v>
      </c>
      <c r="M41" s="182">
        <f aca="true" t="shared" si="5" ref="M41:M118">SUM(G41+J41)</f>
        <v>1000</v>
      </c>
      <c r="N41" s="182">
        <f aca="true" t="shared" si="6" ref="N41:N117">SUM(H41+K41)</f>
        <v>0</v>
      </c>
      <c r="O41" s="182">
        <f aca="true" t="shared" si="7" ref="O41:O115">SUM(M41:N41)</f>
        <v>1000</v>
      </c>
    </row>
    <row r="42" spans="1:15" ht="12.75" customHeight="1">
      <c r="A42" s="426"/>
      <c r="B42" s="427"/>
      <c r="C42" s="141" t="s">
        <v>845</v>
      </c>
      <c r="D42" s="430" t="s">
        <v>167</v>
      </c>
      <c r="E42" s="431"/>
      <c r="F42" s="649"/>
      <c r="G42" s="286">
        <v>3068</v>
      </c>
      <c r="H42" s="286">
        <v>0</v>
      </c>
      <c r="I42" s="286">
        <v>3068</v>
      </c>
      <c r="J42" s="101"/>
      <c r="K42" s="408"/>
      <c r="L42" s="408">
        <f t="shared" si="0"/>
        <v>0</v>
      </c>
      <c r="M42" s="182">
        <f t="shared" si="5"/>
        <v>3068</v>
      </c>
      <c r="N42" s="182">
        <f t="shared" si="6"/>
        <v>0</v>
      </c>
      <c r="O42" s="182">
        <f t="shared" si="7"/>
        <v>3068</v>
      </c>
    </row>
    <row r="43" spans="1:15" ht="12.75" customHeight="1">
      <c r="A43" s="426"/>
      <c r="B43" s="427"/>
      <c r="C43" s="141" t="s">
        <v>832</v>
      </c>
      <c r="D43" s="430" t="s">
        <v>654</v>
      </c>
      <c r="E43" s="431"/>
      <c r="F43" s="649"/>
      <c r="G43" s="286">
        <v>10000</v>
      </c>
      <c r="H43" s="286"/>
      <c r="I43" s="286">
        <v>10000</v>
      </c>
      <c r="J43" s="101"/>
      <c r="K43" s="408"/>
      <c r="L43" s="408">
        <f t="shared" si="0"/>
        <v>0</v>
      </c>
      <c r="M43" s="182">
        <f t="shared" si="5"/>
        <v>10000</v>
      </c>
      <c r="N43" s="182"/>
      <c r="O43" s="182">
        <f t="shared" si="7"/>
        <v>10000</v>
      </c>
    </row>
    <row r="44" spans="1:15" ht="12.75" customHeight="1">
      <c r="A44" s="426"/>
      <c r="B44" s="427"/>
      <c r="C44" s="141" t="s">
        <v>833</v>
      </c>
      <c r="D44" s="430" t="s">
        <v>89</v>
      </c>
      <c r="E44" s="431"/>
      <c r="F44" s="649" t="s">
        <v>547</v>
      </c>
      <c r="G44" s="286"/>
      <c r="H44" s="286"/>
      <c r="I44" s="286"/>
      <c r="J44" s="408">
        <v>18326</v>
      </c>
      <c r="K44" s="408"/>
      <c r="L44" s="408">
        <f t="shared" si="0"/>
        <v>18326</v>
      </c>
      <c r="M44" s="182">
        <f t="shared" si="5"/>
        <v>18326</v>
      </c>
      <c r="N44" s="182"/>
      <c r="O44" s="182">
        <f t="shared" si="7"/>
        <v>18326</v>
      </c>
    </row>
    <row r="45" spans="1:15" ht="12.75" customHeight="1">
      <c r="A45" s="426"/>
      <c r="B45" s="427"/>
      <c r="C45" s="141"/>
      <c r="D45" s="243" t="s">
        <v>151</v>
      </c>
      <c r="E45" s="428"/>
      <c r="F45" s="648"/>
      <c r="G45" s="286">
        <v>0</v>
      </c>
      <c r="H45" s="286">
        <v>0</v>
      </c>
      <c r="I45" s="286">
        <v>0</v>
      </c>
      <c r="J45" s="182"/>
      <c r="K45" s="182"/>
      <c r="L45" s="408">
        <f t="shared" si="0"/>
        <v>0</v>
      </c>
      <c r="M45" s="182">
        <f t="shared" si="5"/>
        <v>0</v>
      </c>
      <c r="N45" s="182">
        <f t="shared" si="6"/>
        <v>0</v>
      </c>
      <c r="O45" s="182">
        <f t="shared" si="7"/>
        <v>0</v>
      </c>
    </row>
    <row r="46" spans="1:15" ht="12.75" customHeight="1">
      <c r="A46" s="426"/>
      <c r="B46" s="427"/>
      <c r="C46" s="138" t="s">
        <v>846</v>
      </c>
      <c r="D46" s="165" t="s">
        <v>1043</v>
      </c>
      <c r="E46" s="428"/>
      <c r="F46" s="648"/>
      <c r="G46" s="286">
        <v>0</v>
      </c>
      <c r="H46" s="286">
        <v>0</v>
      </c>
      <c r="I46" s="286">
        <v>0</v>
      </c>
      <c r="J46" s="182"/>
      <c r="K46" s="182"/>
      <c r="L46" s="408">
        <f t="shared" si="0"/>
        <v>0</v>
      </c>
      <c r="M46" s="182">
        <f t="shared" si="5"/>
        <v>0</v>
      </c>
      <c r="N46" s="182">
        <f t="shared" si="6"/>
        <v>0</v>
      </c>
      <c r="O46" s="182">
        <f t="shared" si="7"/>
        <v>0</v>
      </c>
    </row>
    <row r="47" spans="1:15" ht="12.75" customHeight="1">
      <c r="A47" s="426"/>
      <c r="B47" s="427"/>
      <c r="C47" s="141" t="s">
        <v>847</v>
      </c>
      <c r="D47" s="430" t="s">
        <v>500</v>
      </c>
      <c r="E47" s="428"/>
      <c r="F47" s="648"/>
      <c r="G47" s="286">
        <v>1000</v>
      </c>
      <c r="H47" s="286">
        <v>0</v>
      </c>
      <c r="I47" s="286">
        <v>1000</v>
      </c>
      <c r="J47" s="182"/>
      <c r="K47" s="182"/>
      <c r="L47" s="408">
        <f t="shared" si="0"/>
        <v>0</v>
      </c>
      <c r="M47" s="182">
        <f t="shared" si="5"/>
        <v>1000</v>
      </c>
      <c r="N47" s="182">
        <f t="shared" si="6"/>
        <v>0</v>
      </c>
      <c r="O47" s="182">
        <f t="shared" si="7"/>
        <v>1000</v>
      </c>
    </row>
    <row r="48" spans="1:15" ht="24.75" customHeight="1">
      <c r="A48" s="426"/>
      <c r="B48" s="427"/>
      <c r="C48" s="141" t="s">
        <v>499</v>
      </c>
      <c r="D48" s="432" t="s">
        <v>548</v>
      </c>
      <c r="E48" s="428"/>
      <c r="F48" s="648"/>
      <c r="G48" s="286">
        <v>0</v>
      </c>
      <c r="H48" s="286">
        <v>10000</v>
      </c>
      <c r="I48" s="286">
        <v>10000</v>
      </c>
      <c r="J48" s="182"/>
      <c r="K48" s="182"/>
      <c r="L48" s="408">
        <f t="shared" si="0"/>
        <v>0</v>
      </c>
      <c r="M48" s="182">
        <f t="shared" si="5"/>
        <v>0</v>
      </c>
      <c r="N48" s="182">
        <f t="shared" si="6"/>
        <v>10000</v>
      </c>
      <c r="O48" s="182">
        <f t="shared" si="7"/>
        <v>10000</v>
      </c>
    </row>
    <row r="49" spans="1:15" ht="24.75" customHeight="1">
      <c r="A49" s="426"/>
      <c r="B49" s="427"/>
      <c r="C49" s="141" t="s">
        <v>1079</v>
      </c>
      <c r="D49" s="432" t="s">
        <v>183</v>
      </c>
      <c r="E49" s="428"/>
      <c r="F49" s="648" t="s">
        <v>547</v>
      </c>
      <c r="G49" s="181">
        <v>3000</v>
      </c>
      <c r="H49" s="181">
        <v>0</v>
      </c>
      <c r="I49" s="181">
        <v>3000</v>
      </c>
      <c r="J49" s="182">
        <v>-2500</v>
      </c>
      <c r="K49" s="182"/>
      <c r="L49" s="408">
        <f t="shared" si="0"/>
        <v>-2500</v>
      </c>
      <c r="M49" s="182">
        <f t="shared" si="5"/>
        <v>500</v>
      </c>
      <c r="N49" s="182">
        <f t="shared" si="6"/>
        <v>0</v>
      </c>
      <c r="O49" s="182">
        <f t="shared" si="7"/>
        <v>500</v>
      </c>
    </row>
    <row r="50" spans="1:15" ht="24.75" customHeight="1">
      <c r="A50" s="426"/>
      <c r="B50" s="427"/>
      <c r="C50" s="141" t="s">
        <v>248</v>
      </c>
      <c r="D50" s="432" t="s">
        <v>277</v>
      </c>
      <c r="E50" s="428"/>
      <c r="F50" s="648" t="s">
        <v>547</v>
      </c>
      <c r="G50" s="286"/>
      <c r="H50" s="286"/>
      <c r="I50" s="286"/>
      <c r="J50" s="182"/>
      <c r="K50" s="182">
        <v>10943</v>
      </c>
      <c r="L50" s="408">
        <f t="shared" si="0"/>
        <v>10943</v>
      </c>
      <c r="M50" s="182"/>
      <c r="N50" s="182">
        <f t="shared" si="6"/>
        <v>10943</v>
      </c>
      <c r="O50" s="182">
        <f t="shared" si="7"/>
        <v>10943</v>
      </c>
    </row>
    <row r="51" spans="1:15" ht="12.75" customHeight="1">
      <c r="A51" s="426"/>
      <c r="B51" s="427"/>
      <c r="C51" s="139" t="s">
        <v>848</v>
      </c>
      <c r="D51" s="168" t="s">
        <v>703</v>
      </c>
      <c r="E51" s="428"/>
      <c r="F51" s="648"/>
      <c r="G51" s="286">
        <v>0</v>
      </c>
      <c r="H51" s="286">
        <v>0</v>
      </c>
      <c r="I51" s="286">
        <v>0</v>
      </c>
      <c r="J51" s="182"/>
      <c r="K51" s="182"/>
      <c r="L51" s="408">
        <f t="shared" si="0"/>
        <v>0</v>
      </c>
      <c r="M51" s="182">
        <f t="shared" si="5"/>
        <v>0</v>
      </c>
      <c r="N51" s="182">
        <f t="shared" si="6"/>
        <v>0</v>
      </c>
      <c r="O51" s="182">
        <f t="shared" si="7"/>
        <v>0</v>
      </c>
    </row>
    <row r="52" spans="1:15" ht="12.75" customHeight="1">
      <c r="A52" s="426"/>
      <c r="B52" s="427"/>
      <c r="C52" s="141" t="s">
        <v>853</v>
      </c>
      <c r="D52" s="256" t="s">
        <v>1044</v>
      </c>
      <c r="E52" s="428"/>
      <c r="F52" s="648" t="s">
        <v>547</v>
      </c>
      <c r="G52" s="286">
        <v>1000</v>
      </c>
      <c r="H52" s="286">
        <v>0</v>
      </c>
      <c r="I52" s="286">
        <v>1000</v>
      </c>
      <c r="J52" s="182">
        <v>80</v>
      </c>
      <c r="K52" s="182"/>
      <c r="L52" s="408">
        <f t="shared" si="0"/>
        <v>80</v>
      </c>
      <c r="M52" s="182">
        <f t="shared" si="5"/>
        <v>1080</v>
      </c>
      <c r="N52" s="182">
        <f t="shared" si="6"/>
        <v>0</v>
      </c>
      <c r="O52" s="182">
        <f t="shared" si="7"/>
        <v>1080</v>
      </c>
    </row>
    <row r="53" spans="1:15" ht="12.75" customHeight="1">
      <c r="A53" s="426"/>
      <c r="B53" s="427"/>
      <c r="C53" s="141" t="s">
        <v>854</v>
      </c>
      <c r="D53" s="433" t="s">
        <v>184</v>
      </c>
      <c r="E53" s="225"/>
      <c r="F53" s="648"/>
      <c r="G53" s="286">
        <v>521</v>
      </c>
      <c r="H53" s="286">
        <v>0</v>
      </c>
      <c r="I53" s="286">
        <v>521</v>
      </c>
      <c r="J53" s="182"/>
      <c r="K53" s="182"/>
      <c r="L53" s="408">
        <f t="shared" si="0"/>
        <v>0</v>
      </c>
      <c r="M53" s="182">
        <f t="shared" si="5"/>
        <v>521</v>
      </c>
      <c r="N53" s="182">
        <f t="shared" si="6"/>
        <v>0</v>
      </c>
      <c r="O53" s="182">
        <f t="shared" si="7"/>
        <v>521</v>
      </c>
    </row>
    <row r="54" spans="1:15" ht="12.75" customHeight="1">
      <c r="A54" s="426"/>
      <c r="B54" s="427"/>
      <c r="C54" s="141" t="s">
        <v>876</v>
      </c>
      <c r="D54" s="545" t="s">
        <v>280</v>
      </c>
      <c r="E54" s="225"/>
      <c r="F54" s="648" t="s">
        <v>547</v>
      </c>
      <c r="G54" s="286"/>
      <c r="H54" s="286"/>
      <c r="I54" s="286"/>
      <c r="J54" s="182"/>
      <c r="K54" s="182">
        <v>48</v>
      </c>
      <c r="L54" s="408">
        <f t="shared" si="0"/>
        <v>48</v>
      </c>
      <c r="M54" s="182"/>
      <c r="N54" s="182">
        <f t="shared" si="6"/>
        <v>48</v>
      </c>
      <c r="O54" s="182">
        <f t="shared" si="7"/>
        <v>48</v>
      </c>
    </row>
    <row r="55" spans="1:15" ht="12.75" customHeight="1">
      <c r="A55" s="426"/>
      <c r="B55" s="427"/>
      <c r="C55" s="141"/>
      <c r="D55" s="243" t="s">
        <v>151</v>
      </c>
      <c r="E55" s="225"/>
      <c r="F55" s="648"/>
      <c r="G55" s="286">
        <v>0</v>
      </c>
      <c r="H55" s="286"/>
      <c r="I55" s="286">
        <v>0</v>
      </c>
      <c r="J55" s="182"/>
      <c r="K55" s="182"/>
      <c r="L55" s="408">
        <f t="shared" si="0"/>
        <v>0</v>
      </c>
      <c r="M55" s="182">
        <f t="shared" si="5"/>
        <v>0</v>
      </c>
      <c r="N55" s="182"/>
      <c r="O55" s="182">
        <f t="shared" si="7"/>
        <v>0</v>
      </c>
    </row>
    <row r="56" spans="1:15" ht="12.75" customHeight="1">
      <c r="A56" s="426"/>
      <c r="B56" s="427"/>
      <c r="C56" s="141" t="s">
        <v>949</v>
      </c>
      <c r="D56" s="545" t="s">
        <v>950</v>
      </c>
      <c r="E56" s="225"/>
      <c r="F56" s="648"/>
      <c r="G56" s="286">
        <v>314</v>
      </c>
      <c r="H56" s="286"/>
      <c r="I56" s="286">
        <v>314</v>
      </c>
      <c r="J56" s="182"/>
      <c r="K56" s="182"/>
      <c r="L56" s="408">
        <f t="shared" si="0"/>
        <v>0</v>
      </c>
      <c r="M56" s="182">
        <f t="shared" si="5"/>
        <v>314</v>
      </c>
      <c r="N56" s="182"/>
      <c r="O56" s="182">
        <f t="shared" si="7"/>
        <v>314</v>
      </c>
    </row>
    <row r="57" spans="1:15" ht="12.75" customHeight="1">
      <c r="A57" s="426"/>
      <c r="B57" s="427"/>
      <c r="C57" s="141" t="s">
        <v>655</v>
      </c>
      <c r="D57" s="457" t="s">
        <v>653</v>
      </c>
      <c r="E57" s="228"/>
      <c r="F57" s="650"/>
      <c r="G57" s="286">
        <v>1200</v>
      </c>
      <c r="H57" s="286"/>
      <c r="I57" s="286">
        <v>1200</v>
      </c>
      <c r="J57" s="181"/>
      <c r="K57" s="181"/>
      <c r="L57" s="408">
        <f t="shared" si="0"/>
        <v>0</v>
      </c>
      <c r="M57" s="182">
        <f>SUM(G57+J57)</f>
        <v>1200</v>
      </c>
      <c r="N57" s="182"/>
      <c r="O57" s="182">
        <f>SUM(M57:N57)</f>
        <v>1200</v>
      </c>
    </row>
    <row r="58" spans="1:15" ht="12.75" customHeight="1">
      <c r="A58" s="426"/>
      <c r="B58" s="427"/>
      <c r="C58" s="139" t="s">
        <v>850</v>
      </c>
      <c r="D58" s="434" t="s">
        <v>855</v>
      </c>
      <c r="E58" s="225"/>
      <c r="F58" s="648"/>
      <c r="G58" s="286">
        <v>0</v>
      </c>
      <c r="H58" s="286">
        <v>0</v>
      </c>
      <c r="I58" s="286">
        <v>0</v>
      </c>
      <c r="J58" s="429"/>
      <c r="K58" s="429"/>
      <c r="L58" s="408">
        <f t="shared" si="0"/>
        <v>0</v>
      </c>
      <c r="M58" s="182">
        <f t="shared" si="5"/>
        <v>0</v>
      </c>
      <c r="N58" s="182">
        <f t="shared" si="6"/>
        <v>0</v>
      </c>
      <c r="O58" s="182">
        <f t="shared" si="7"/>
        <v>0</v>
      </c>
    </row>
    <row r="59" spans="1:15" ht="12.75" customHeight="1">
      <c r="A59" s="426"/>
      <c r="B59" s="427"/>
      <c r="C59" s="141" t="s">
        <v>856</v>
      </c>
      <c r="D59" s="435" t="s">
        <v>185</v>
      </c>
      <c r="E59" s="225"/>
      <c r="F59" s="648"/>
      <c r="G59" s="286">
        <v>1700</v>
      </c>
      <c r="H59" s="286">
        <v>0</v>
      </c>
      <c r="I59" s="286">
        <v>1700</v>
      </c>
      <c r="J59" s="182"/>
      <c r="K59" s="182"/>
      <c r="L59" s="408">
        <f t="shared" si="0"/>
        <v>0</v>
      </c>
      <c r="M59" s="182">
        <f t="shared" si="5"/>
        <v>1700</v>
      </c>
      <c r="N59" s="182">
        <f t="shared" si="6"/>
        <v>0</v>
      </c>
      <c r="O59" s="182">
        <f t="shared" si="7"/>
        <v>1700</v>
      </c>
    </row>
    <row r="60" spans="1:15" ht="24.75" customHeight="1">
      <c r="A60" s="426"/>
      <c r="B60" s="427"/>
      <c r="C60" s="141" t="s">
        <v>857</v>
      </c>
      <c r="D60" s="435" t="s">
        <v>186</v>
      </c>
      <c r="E60" s="225"/>
      <c r="F60" s="648"/>
      <c r="G60" s="286">
        <v>2500</v>
      </c>
      <c r="H60" s="286">
        <v>0</v>
      </c>
      <c r="I60" s="286">
        <v>2500</v>
      </c>
      <c r="J60" s="182"/>
      <c r="K60" s="182"/>
      <c r="L60" s="408">
        <f t="shared" si="0"/>
        <v>0</v>
      </c>
      <c r="M60" s="182">
        <f t="shared" si="5"/>
        <v>2500</v>
      </c>
      <c r="N60" s="182">
        <f t="shared" si="6"/>
        <v>0</v>
      </c>
      <c r="O60" s="182">
        <f t="shared" si="7"/>
        <v>2500</v>
      </c>
    </row>
    <row r="61" spans="1:15" ht="12.75" customHeight="1">
      <c r="A61" s="426"/>
      <c r="B61" s="427"/>
      <c r="C61" s="141" t="s">
        <v>858</v>
      </c>
      <c r="D61" s="436" t="s">
        <v>187</v>
      </c>
      <c r="E61" s="225"/>
      <c r="F61" s="648"/>
      <c r="G61" s="286">
        <v>3000</v>
      </c>
      <c r="H61" s="286">
        <v>0</v>
      </c>
      <c r="I61" s="286">
        <v>3000</v>
      </c>
      <c r="J61" s="182"/>
      <c r="K61" s="182"/>
      <c r="L61" s="408">
        <f t="shared" si="0"/>
        <v>0</v>
      </c>
      <c r="M61" s="182">
        <f t="shared" si="5"/>
        <v>3000</v>
      </c>
      <c r="N61" s="182">
        <f t="shared" si="6"/>
        <v>0</v>
      </c>
      <c r="O61" s="182">
        <f t="shared" si="7"/>
        <v>3000</v>
      </c>
    </row>
    <row r="62" spans="1:15" ht="12.75" customHeight="1">
      <c r="A62" s="426"/>
      <c r="B62" s="427"/>
      <c r="C62" s="141" t="s">
        <v>859</v>
      </c>
      <c r="D62" s="436" t="s">
        <v>1047</v>
      </c>
      <c r="E62" s="225"/>
      <c r="F62" s="648" t="s">
        <v>933</v>
      </c>
      <c r="G62" s="286">
        <v>3000</v>
      </c>
      <c r="H62" s="286">
        <v>0</v>
      </c>
      <c r="I62" s="286">
        <v>3000</v>
      </c>
      <c r="J62" s="182">
        <v>-500</v>
      </c>
      <c r="K62" s="182"/>
      <c r="L62" s="408">
        <f t="shared" si="0"/>
        <v>-500</v>
      </c>
      <c r="M62" s="182">
        <f t="shared" si="5"/>
        <v>2500</v>
      </c>
      <c r="N62" s="182">
        <f t="shared" si="6"/>
        <v>0</v>
      </c>
      <c r="O62" s="182">
        <f t="shared" si="7"/>
        <v>2500</v>
      </c>
    </row>
    <row r="63" spans="1:15" ht="12.75" customHeight="1">
      <c r="A63" s="426"/>
      <c r="B63" s="427"/>
      <c r="C63" s="141" t="s">
        <v>860</v>
      </c>
      <c r="D63" s="436" t="s">
        <v>1048</v>
      </c>
      <c r="E63" s="225"/>
      <c r="F63" s="648"/>
      <c r="G63" s="286">
        <v>3000</v>
      </c>
      <c r="H63" s="286">
        <v>0</v>
      </c>
      <c r="I63" s="286">
        <v>3000</v>
      </c>
      <c r="J63" s="182"/>
      <c r="K63" s="182"/>
      <c r="L63" s="408">
        <f t="shared" si="0"/>
        <v>0</v>
      </c>
      <c r="M63" s="182">
        <f t="shared" si="5"/>
        <v>3000</v>
      </c>
      <c r="N63" s="182">
        <f t="shared" si="6"/>
        <v>0</v>
      </c>
      <c r="O63" s="182">
        <f t="shared" si="7"/>
        <v>3000</v>
      </c>
    </row>
    <row r="64" spans="1:15" ht="12.75" customHeight="1">
      <c r="A64" s="426"/>
      <c r="B64" s="427"/>
      <c r="C64" s="141" t="s">
        <v>861</v>
      </c>
      <c r="D64" s="436" t="s">
        <v>188</v>
      </c>
      <c r="E64" s="225"/>
      <c r="F64" s="648" t="s">
        <v>933</v>
      </c>
      <c r="G64" s="286">
        <v>3200</v>
      </c>
      <c r="H64" s="286">
        <v>0</v>
      </c>
      <c r="I64" s="286">
        <v>3200</v>
      </c>
      <c r="J64" s="182">
        <v>-3200</v>
      </c>
      <c r="K64" s="182"/>
      <c r="L64" s="408">
        <f t="shared" si="0"/>
        <v>-3200</v>
      </c>
      <c r="M64" s="182">
        <f t="shared" si="5"/>
        <v>0</v>
      </c>
      <c r="N64" s="182">
        <f t="shared" si="6"/>
        <v>0</v>
      </c>
      <c r="O64" s="182">
        <f t="shared" si="7"/>
        <v>0</v>
      </c>
    </row>
    <row r="65" spans="1:15" ht="12.75" customHeight="1">
      <c r="A65" s="426"/>
      <c r="B65" s="427"/>
      <c r="C65" s="141" t="s">
        <v>862</v>
      </c>
      <c r="D65" s="436" t="s">
        <v>189</v>
      </c>
      <c r="E65" s="225"/>
      <c r="F65" s="648"/>
      <c r="G65" s="286">
        <v>2000</v>
      </c>
      <c r="H65" s="286">
        <v>0</v>
      </c>
      <c r="I65" s="286">
        <v>2000</v>
      </c>
      <c r="J65" s="182"/>
      <c r="K65" s="182"/>
      <c r="L65" s="408">
        <f t="shared" si="0"/>
        <v>0</v>
      </c>
      <c r="M65" s="182">
        <f t="shared" si="5"/>
        <v>2000</v>
      </c>
      <c r="N65" s="182">
        <f t="shared" si="6"/>
        <v>0</v>
      </c>
      <c r="O65" s="182">
        <f t="shared" si="7"/>
        <v>2000</v>
      </c>
    </row>
    <row r="66" spans="1:15" ht="12.75" customHeight="1">
      <c r="A66" s="426"/>
      <c r="B66" s="427"/>
      <c r="C66" s="141" t="s">
        <v>863</v>
      </c>
      <c r="D66" s="436" t="s">
        <v>190</v>
      </c>
      <c r="E66" s="225"/>
      <c r="F66" s="648" t="s">
        <v>933</v>
      </c>
      <c r="G66" s="286">
        <v>3000</v>
      </c>
      <c r="H66" s="286">
        <v>0</v>
      </c>
      <c r="I66" s="286">
        <v>3000</v>
      </c>
      <c r="J66" s="182">
        <v>4327</v>
      </c>
      <c r="K66" s="182"/>
      <c r="L66" s="408">
        <f t="shared" si="0"/>
        <v>4327</v>
      </c>
      <c r="M66" s="182">
        <f t="shared" si="5"/>
        <v>7327</v>
      </c>
      <c r="N66" s="182">
        <f t="shared" si="6"/>
        <v>0</v>
      </c>
      <c r="O66" s="182">
        <f t="shared" si="7"/>
        <v>7327</v>
      </c>
    </row>
    <row r="67" spans="1:15" ht="12.75" customHeight="1">
      <c r="A67" s="426"/>
      <c r="B67" s="427"/>
      <c r="C67" s="141" t="s">
        <v>951</v>
      </c>
      <c r="D67" s="435" t="s">
        <v>952</v>
      </c>
      <c r="E67" s="225"/>
      <c r="F67" s="648" t="s">
        <v>933</v>
      </c>
      <c r="G67" s="286">
        <v>704</v>
      </c>
      <c r="H67" s="286"/>
      <c r="I67" s="286">
        <v>704</v>
      </c>
      <c r="J67" s="182">
        <v>-704</v>
      </c>
      <c r="K67" s="182"/>
      <c r="L67" s="408">
        <f t="shared" si="0"/>
        <v>-704</v>
      </c>
      <c r="M67" s="182">
        <f t="shared" si="5"/>
        <v>0</v>
      </c>
      <c r="N67" s="182"/>
      <c r="O67" s="182">
        <f t="shared" si="7"/>
        <v>0</v>
      </c>
    </row>
    <row r="68" spans="1:15" ht="12.75" customHeight="1">
      <c r="A68" s="426"/>
      <c r="B68" s="427"/>
      <c r="C68" s="141" t="s">
        <v>332</v>
      </c>
      <c r="D68" s="435" t="s">
        <v>154</v>
      </c>
      <c r="E68" s="225"/>
      <c r="F68" s="648" t="s">
        <v>547</v>
      </c>
      <c r="G68" s="286"/>
      <c r="H68" s="286"/>
      <c r="I68" s="286"/>
      <c r="J68" s="182">
        <v>500</v>
      </c>
      <c r="K68" s="182"/>
      <c r="L68" s="408">
        <f t="shared" si="0"/>
        <v>500</v>
      </c>
      <c r="M68" s="182">
        <f t="shared" si="5"/>
        <v>500</v>
      </c>
      <c r="N68" s="182"/>
      <c r="O68" s="182">
        <f t="shared" si="7"/>
        <v>500</v>
      </c>
    </row>
    <row r="69" spans="1:15" ht="12.75" customHeight="1">
      <c r="A69" s="426"/>
      <c r="B69" s="427"/>
      <c r="C69" s="141"/>
      <c r="D69" s="243" t="s">
        <v>151</v>
      </c>
      <c r="E69" s="225"/>
      <c r="F69" s="648"/>
      <c r="G69" s="286">
        <v>0</v>
      </c>
      <c r="H69" s="286">
        <v>0</v>
      </c>
      <c r="I69" s="286">
        <v>0</v>
      </c>
      <c r="J69" s="182"/>
      <c r="K69" s="182"/>
      <c r="L69" s="408">
        <f t="shared" si="0"/>
        <v>0</v>
      </c>
      <c r="M69" s="182">
        <f t="shared" si="5"/>
        <v>0</v>
      </c>
      <c r="N69" s="182">
        <f t="shared" si="6"/>
        <v>0</v>
      </c>
      <c r="O69" s="182">
        <f t="shared" si="7"/>
        <v>0</v>
      </c>
    </row>
    <row r="70" spans="1:15" ht="12.75" customHeight="1">
      <c r="A70" s="426"/>
      <c r="B70" s="427"/>
      <c r="C70" s="141" t="s">
        <v>668</v>
      </c>
      <c r="D70" s="257" t="s">
        <v>700</v>
      </c>
      <c r="E70" s="225"/>
      <c r="F70" s="648" t="s">
        <v>933</v>
      </c>
      <c r="G70" s="286">
        <v>1000</v>
      </c>
      <c r="H70" s="286">
        <v>0</v>
      </c>
      <c r="I70" s="286">
        <v>1000</v>
      </c>
      <c r="J70" s="182">
        <v>-1000</v>
      </c>
      <c r="K70" s="182"/>
      <c r="L70" s="408">
        <f t="shared" si="0"/>
        <v>-1000</v>
      </c>
      <c r="M70" s="182">
        <f t="shared" si="5"/>
        <v>0</v>
      </c>
      <c r="N70" s="182">
        <f t="shared" si="6"/>
        <v>0</v>
      </c>
      <c r="O70" s="182">
        <f t="shared" si="7"/>
        <v>0</v>
      </c>
    </row>
    <row r="71" spans="1:15" ht="12.75" customHeight="1">
      <c r="A71" s="426"/>
      <c r="B71" s="427"/>
      <c r="C71" s="141" t="s">
        <v>669</v>
      </c>
      <c r="D71" s="257" t="s">
        <v>525</v>
      </c>
      <c r="E71" s="225"/>
      <c r="F71" s="648"/>
      <c r="G71" s="286">
        <v>3000</v>
      </c>
      <c r="H71" s="286">
        <v>0</v>
      </c>
      <c r="I71" s="286">
        <v>3000</v>
      </c>
      <c r="J71" s="182"/>
      <c r="K71" s="182"/>
      <c r="L71" s="408">
        <f t="shared" si="0"/>
        <v>0</v>
      </c>
      <c r="M71" s="182">
        <f t="shared" si="5"/>
        <v>3000</v>
      </c>
      <c r="N71" s="182">
        <f t="shared" si="6"/>
        <v>0</v>
      </c>
      <c r="O71" s="182">
        <f t="shared" si="7"/>
        <v>3000</v>
      </c>
    </row>
    <row r="72" spans="1:15" ht="12.75" customHeight="1">
      <c r="A72" s="426"/>
      <c r="B72" s="427"/>
      <c r="C72" s="141" t="s">
        <v>670</v>
      </c>
      <c r="D72" s="257" t="s">
        <v>1045</v>
      </c>
      <c r="E72" s="225"/>
      <c r="F72" s="648" t="s">
        <v>547</v>
      </c>
      <c r="G72" s="286">
        <v>3000</v>
      </c>
      <c r="H72" s="286">
        <v>0</v>
      </c>
      <c r="I72" s="286">
        <v>3000</v>
      </c>
      <c r="J72" s="182">
        <v>-3000</v>
      </c>
      <c r="K72" s="182"/>
      <c r="L72" s="408">
        <f t="shared" si="0"/>
        <v>-3000</v>
      </c>
      <c r="M72" s="182">
        <f t="shared" si="5"/>
        <v>0</v>
      </c>
      <c r="N72" s="182">
        <f t="shared" si="6"/>
        <v>0</v>
      </c>
      <c r="O72" s="182">
        <f t="shared" si="7"/>
        <v>0</v>
      </c>
    </row>
    <row r="73" spans="1:15" ht="12.75" customHeight="1">
      <c r="A73" s="426"/>
      <c r="B73" s="427"/>
      <c r="C73" s="141" t="s">
        <v>676</v>
      </c>
      <c r="D73" s="257" t="s">
        <v>1046</v>
      </c>
      <c r="E73" s="225"/>
      <c r="F73" s="648"/>
      <c r="G73" s="286">
        <v>1264</v>
      </c>
      <c r="H73" s="286">
        <v>0</v>
      </c>
      <c r="I73" s="286">
        <v>1264</v>
      </c>
      <c r="J73" s="182"/>
      <c r="K73" s="182"/>
      <c r="L73" s="408">
        <f t="shared" si="0"/>
        <v>0</v>
      </c>
      <c r="M73" s="182">
        <f t="shared" si="5"/>
        <v>1264</v>
      </c>
      <c r="N73" s="182">
        <f t="shared" si="6"/>
        <v>0</v>
      </c>
      <c r="O73" s="182">
        <f t="shared" si="7"/>
        <v>1264</v>
      </c>
    </row>
    <row r="74" spans="1:15" ht="12.75" customHeight="1">
      <c r="A74" s="426"/>
      <c r="B74" s="427"/>
      <c r="C74" s="141" t="s">
        <v>677</v>
      </c>
      <c r="D74" s="257" t="s">
        <v>1049</v>
      </c>
      <c r="E74" s="225"/>
      <c r="F74" s="648"/>
      <c r="G74" s="286">
        <v>1000</v>
      </c>
      <c r="H74" s="286">
        <v>0</v>
      </c>
      <c r="I74" s="286">
        <v>1000</v>
      </c>
      <c r="J74" s="182"/>
      <c r="K74" s="182"/>
      <c r="L74" s="408">
        <f t="shared" si="0"/>
        <v>0</v>
      </c>
      <c r="M74" s="182">
        <f t="shared" si="5"/>
        <v>1000</v>
      </c>
      <c r="N74" s="182">
        <f t="shared" si="6"/>
        <v>0</v>
      </c>
      <c r="O74" s="182">
        <f t="shared" si="7"/>
        <v>1000</v>
      </c>
    </row>
    <row r="75" spans="1:15" ht="12.75" customHeight="1">
      <c r="A75" s="426"/>
      <c r="B75" s="427"/>
      <c r="C75" s="141" t="s">
        <v>678</v>
      </c>
      <c r="D75" s="257" t="s">
        <v>1051</v>
      </c>
      <c r="E75" s="225"/>
      <c r="F75" s="648"/>
      <c r="G75" s="286">
        <v>500</v>
      </c>
      <c r="H75" s="286">
        <v>0</v>
      </c>
      <c r="I75" s="286">
        <v>500</v>
      </c>
      <c r="J75" s="182"/>
      <c r="K75" s="182"/>
      <c r="L75" s="408">
        <f t="shared" si="0"/>
        <v>0</v>
      </c>
      <c r="M75" s="182">
        <f t="shared" si="5"/>
        <v>500</v>
      </c>
      <c r="N75" s="182">
        <f t="shared" si="6"/>
        <v>0</v>
      </c>
      <c r="O75" s="182">
        <f t="shared" si="7"/>
        <v>500</v>
      </c>
    </row>
    <row r="76" spans="1:15" ht="12.75" customHeight="1">
      <c r="A76" s="426"/>
      <c r="B76" s="427"/>
      <c r="C76" s="141" t="s">
        <v>679</v>
      </c>
      <c r="D76" s="258" t="s">
        <v>614</v>
      </c>
      <c r="E76" s="225"/>
      <c r="F76" s="648" t="s">
        <v>933</v>
      </c>
      <c r="G76" s="286">
        <v>251</v>
      </c>
      <c r="H76" s="286">
        <v>0</v>
      </c>
      <c r="I76" s="286">
        <v>251</v>
      </c>
      <c r="J76" s="182">
        <v>-251</v>
      </c>
      <c r="K76" s="182"/>
      <c r="L76" s="408">
        <f t="shared" si="0"/>
        <v>-251</v>
      </c>
      <c r="M76" s="182">
        <f t="shared" si="5"/>
        <v>0</v>
      </c>
      <c r="N76" s="182">
        <f t="shared" si="6"/>
        <v>0</v>
      </c>
      <c r="O76" s="182">
        <f t="shared" si="7"/>
        <v>0</v>
      </c>
    </row>
    <row r="77" spans="1:15" ht="12.75" customHeight="1">
      <c r="A77" s="426"/>
      <c r="B77" s="427"/>
      <c r="C77" s="141" t="s">
        <v>680</v>
      </c>
      <c r="D77" s="437" t="s">
        <v>97</v>
      </c>
      <c r="E77" s="225"/>
      <c r="F77" s="648"/>
      <c r="G77" s="286">
        <v>3244</v>
      </c>
      <c r="H77" s="286">
        <v>0</v>
      </c>
      <c r="I77" s="286">
        <v>3244</v>
      </c>
      <c r="J77" s="182"/>
      <c r="K77" s="182"/>
      <c r="L77" s="408">
        <f t="shared" si="0"/>
        <v>0</v>
      </c>
      <c r="M77" s="182">
        <f t="shared" si="5"/>
        <v>3244</v>
      </c>
      <c r="N77" s="182">
        <f t="shared" si="6"/>
        <v>0</v>
      </c>
      <c r="O77" s="182">
        <f t="shared" si="7"/>
        <v>3244</v>
      </c>
    </row>
    <row r="78" spans="1:15" ht="12.75" customHeight="1">
      <c r="A78" s="426"/>
      <c r="B78" s="427"/>
      <c r="C78" s="141" t="s">
        <v>681</v>
      </c>
      <c r="D78" s="438" t="s">
        <v>536</v>
      </c>
      <c r="E78" s="225"/>
      <c r="F78" s="648"/>
      <c r="G78" s="286">
        <v>0</v>
      </c>
      <c r="H78" s="286">
        <v>0</v>
      </c>
      <c r="I78" s="286">
        <v>0</v>
      </c>
      <c r="J78" s="182"/>
      <c r="K78" s="182"/>
      <c r="L78" s="408">
        <f t="shared" si="0"/>
        <v>0</v>
      </c>
      <c r="M78" s="182">
        <f t="shared" si="5"/>
        <v>0</v>
      </c>
      <c r="N78" s="182">
        <f t="shared" si="6"/>
        <v>0</v>
      </c>
      <c r="O78" s="182">
        <f t="shared" si="7"/>
        <v>0</v>
      </c>
    </row>
    <row r="79" spans="1:15" ht="12.75" customHeight="1">
      <c r="A79" s="426"/>
      <c r="B79" s="427"/>
      <c r="C79" s="139" t="s">
        <v>851</v>
      </c>
      <c r="D79" s="168" t="s">
        <v>704</v>
      </c>
      <c r="E79" s="225"/>
      <c r="F79" s="648"/>
      <c r="G79" s="286">
        <v>0</v>
      </c>
      <c r="H79" s="286">
        <v>0</v>
      </c>
      <c r="I79" s="286">
        <v>0</v>
      </c>
      <c r="J79" s="182"/>
      <c r="K79" s="182"/>
      <c r="L79" s="408">
        <f t="shared" si="0"/>
        <v>0</v>
      </c>
      <c r="M79" s="182">
        <f t="shared" si="5"/>
        <v>0</v>
      </c>
      <c r="N79" s="182">
        <f t="shared" si="6"/>
        <v>0</v>
      </c>
      <c r="O79" s="182">
        <f t="shared" si="7"/>
        <v>0</v>
      </c>
    </row>
    <row r="80" spans="1:15" ht="12.75" customHeight="1">
      <c r="A80" s="426"/>
      <c r="B80" s="427"/>
      <c r="C80" s="144" t="s">
        <v>871</v>
      </c>
      <c r="D80" s="439" t="s">
        <v>191</v>
      </c>
      <c r="E80" s="225"/>
      <c r="F80" s="648" t="s">
        <v>933</v>
      </c>
      <c r="G80" s="286">
        <v>1000</v>
      </c>
      <c r="H80" s="286">
        <v>0</v>
      </c>
      <c r="I80" s="286">
        <v>1000</v>
      </c>
      <c r="J80" s="182">
        <v>1170</v>
      </c>
      <c r="K80" s="182"/>
      <c r="L80" s="408">
        <f t="shared" si="0"/>
        <v>1170</v>
      </c>
      <c r="M80" s="182">
        <f t="shared" si="5"/>
        <v>2170</v>
      </c>
      <c r="N80" s="182">
        <f t="shared" si="6"/>
        <v>0</v>
      </c>
      <c r="O80" s="182">
        <f t="shared" si="7"/>
        <v>2170</v>
      </c>
    </row>
    <row r="81" spans="1:15" ht="12.75" customHeight="1">
      <c r="A81" s="426"/>
      <c r="B81" s="427"/>
      <c r="C81" s="144" t="s">
        <v>872</v>
      </c>
      <c r="D81" s="439" t="s">
        <v>192</v>
      </c>
      <c r="E81" s="225"/>
      <c r="F81" s="648"/>
      <c r="G81" s="286">
        <v>800</v>
      </c>
      <c r="H81" s="286">
        <v>0</v>
      </c>
      <c r="I81" s="286">
        <v>800</v>
      </c>
      <c r="J81" s="182"/>
      <c r="K81" s="182"/>
      <c r="L81" s="408">
        <f t="shared" si="0"/>
        <v>0</v>
      </c>
      <c r="M81" s="182">
        <f t="shared" si="5"/>
        <v>800</v>
      </c>
      <c r="N81" s="182">
        <f t="shared" si="6"/>
        <v>0</v>
      </c>
      <c r="O81" s="182">
        <f t="shared" si="7"/>
        <v>800</v>
      </c>
    </row>
    <row r="82" spans="1:15" ht="12.75" customHeight="1">
      <c r="A82" s="426"/>
      <c r="B82" s="427"/>
      <c r="C82" s="144" t="s">
        <v>873</v>
      </c>
      <c r="D82" s="405" t="s">
        <v>193</v>
      </c>
      <c r="E82" s="225"/>
      <c r="F82" s="648"/>
      <c r="G82" s="286">
        <v>300</v>
      </c>
      <c r="H82" s="286">
        <v>0</v>
      </c>
      <c r="I82" s="286">
        <v>300</v>
      </c>
      <c r="J82" s="182"/>
      <c r="K82" s="182"/>
      <c r="L82" s="408">
        <f t="shared" si="0"/>
        <v>0</v>
      </c>
      <c r="M82" s="182">
        <f t="shared" si="5"/>
        <v>300</v>
      </c>
      <c r="N82" s="182">
        <f t="shared" si="6"/>
        <v>0</v>
      </c>
      <c r="O82" s="182">
        <f t="shared" si="7"/>
        <v>300</v>
      </c>
    </row>
    <row r="83" spans="1:15" ht="12.75" customHeight="1">
      <c r="A83" s="426"/>
      <c r="B83" s="427"/>
      <c r="C83" s="144" t="s">
        <v>874</v>
      </c>
      <c r="D83" s="405" t="s">
        <v>194</v>
      </c>
      <c r="E83" s="225"/>
      <c r="F83" s="648"/>
      <c r="G83" s="286">
        <v>1500</v>
      </c>
      <c r="H83" s="286">
        <v>0</v>
      </c>
      <c r="I83" s="286">
        <v>1500</v>
      </c>
      <c r="J83" s="182"/>
      <c r="K83" s="182"/>
      <c r="L83" s="408">
        <f t="shared" si="0"/>
        <v>0</v>
      </c>
      <c r="M83" s="182">
        <f t="shared" si="5"/>
        <v>1500</v>
      </c>
      <c r="N83" s="182">
        <f t="shared" si="6"/>
        <v>0</v>
      </c>
      <c r="O83" s="182">
        <f t="shared" si="7"/>
        <v>1500</v>
      </c>
    </row>
    <row r="84" spans="1:15" ht="12.75" customHeight="1">
      <c r="A84" s="426"/>
      <c r="B84" s="427"/>
      <c r="C84" s="288" t="s">
        <v>953</v>
      </c>
      <c r="D84" s="405" t="s">
        <v>954</v>
      </c>
      <c r="E84" s="225"/>
      <c r="F84" s="648"/>
      <c r="G84" s="286">
        <v>227</v>
      </c>
      <c r="H84" s="286"/>
      <c r="I84" s="286">
        <v>227</v>
      </c>
      <c r="J84" s="182"/>
      <c r="K84" s="182"/>
      <c r="L84" s="408">
        <f t="shared" si="0"/>
        <v>0</v>
      </c>
      <c r="M84" s="182">
        <f t="shared" si="5"/>
        <v>227</v>
      </c>
      <c r="N84" s="182"/>
      <c r="O84" s="182">
        <f t="shared" si="7"/>
        <v>227</v>
      </c>
    </row>
    <row r="85" spans="1:15" ht="12.75" customHeight="1">
      <c r="A85" s="426"/>
      <c r="B85" s="427"/>
      <c r="C85" s="139"/>
      <c r="D85" s="248" t="s">
        <v>151</v>
      </c>
      <c r="E85" s="225"/>
      <c r="F85" s="648"/>
      <c r="G85" s="286">
        <v>0</v>
      </c>
      <c r="H85" s="286">
        <v>0</v>
      </c>
      <c r="I85" s="286">
        <v>0</v>
      </c>
      <c r="J85" s="182"/>
      <c r="K85" s="182"/>
      <c r="L85" s="408">
        <f t="shared" si="0"/>
        <v>0</v>
      </c>
      <c r="M85" s="182">
        <f t="shared" si="5"/>
        <v>0</v>
      </c>
      <c r="N85" s="182">
        <f t="shared" si="6"/>
        <v>0</v>
      </c>
      <c r="O85" s="182">
        <f t="shared" si="7"/>
        <v>0</v>
      </c>
    </row>
    <row r="86" spans="1:15" ht="12.75" customHeight="1">
      <c r="A86" s="426"/>
      <c r="B86" s="427"/>
      <c r="C86" s="144" t="s">
        <v>1056</v>
      </c>
      <c r="D86" s="170" t="s">
        <v>1052</v>
      </c>
      <c r="E86" s="225"/>
      <c r="F86" s="648" t="s">
        <v>547</v>
      </c>
      <c r="G86" s="286">
        <v>500</v>
      </c>
      <c r="H86" s="286">
        <v>0</v>
      </c>
      <c r="I86" s="286">
        <v>500</v>
      </c>
      <c r="J86" s="182">
        <v>-500</v>
      </c>
      <c r="K86" s="182"/>
      <c r="L86" s="408">
        <f aca="true" t="shared" si="8" ref="L86:L157">SUM(J86:K86)</f>
        <v>-500</v>
      </c>
      <c r="M86" s="182">
        <f t="shared" si="5"/>
        <v>0</v>
      </c>
      <c r="N86" s="182">
        <f t="shared" si="6"/>
        <v>0</v>
      </c>
      <c r="O86" s="182">
        <f t="shared" si="7"/>
        <v>0</v>
      </c>
    </row>
    <row r="87" spans="1:15" ht="24.75" customHeight="1">
      <c r="A87" s="426"/>
      <c r="B87" s="427"/>
      <c r="C87" s="144" t="s">
        <v>1057</v>
      </c>
      <c r="D87" s="257" t="s">
        <v>1054</v>
      </c>
      <c r="E87" s="225"/>
      <c r="F87" s="648"/>
      <c r="G87" s="286">
        <v>18</v>
      </c>
      <c r="H87" s="286">
        <v>0</v>
      </c>
      <c r="I87" s="286">
        <v>18</v>
      </c>
      <c r="J87" s="182"/>
      <c r="K87" s="182"/>
      <c r="L87" s="408">
        <f t="shared" si="8"/>
        <v>0</v>
      </c>
      <c r="M87" s="182">
        <f t="shared" si="5"/>
        <v>18</v>
      </c>
      <c r="N87" s="182">
        <f t="shared" si="6"/>
        <v>0</v>
      </c>
      <c r="O87" s="182">
        <f t="shared" si="7"/>
        <v>18</v>
      </c>
    </row>
    <row r="88" spans="1:15" ht="12.75" customHeight="1">
      <c r="A88" s="426"/>
      <c r="B88" s="427"/>
      <c r="C88" s="144" t="s">
        <v>1058</v>
      </c>
      <c r="D88" s="230" t="s">
        <v>1055</v>
      </c>
      <c r="E88" s="225"/>
      <c r="F88" s="648" t="s">
        <v>933</v>
      </c>
      <c r="G88" s="286">
        <v>1170</v>
      </c>
      <c r="H88" s="286">
        <v>0</v>
      </c>
      <c r="I88" s="286">
        <v>1170</v>
      </c>
      <c r="J88" s="182">
        <v>-1170</v>
      </c>
      <c r="K88" s="182"/>
      <c r="L88" s="408">
        <f t="shared" si="8"/>
        <v>-1170</v>
      </c>
      <c r="M88" s="182">
        <f t="shared" si="5"/>
        <v>0</v>
      </c>
      <c r="N88" s="182">
        <f t="shared" si="6"/>
        <v>0</v>
      </c>
      <c r="O88" s="182">
        <f t="shared" si="7"/>
        <v>0</v>
      </c>
    </row>
    <row r="89" spans="1:15" ht="12.75" customHeight="1">
      <c r="A89" s="426"/>
      <c r="B89" s="427"/>
      <c r="C89" s="144" t="s">
        <v>195</v>
      </c>
      <c r="D89" s="255" t="s">
        <v>98</v>
      </c>
      <c r="E89" s="225"/>
      <c r="F89" s="648"/>
      <c r="G89" s="286">
        <v>400</v>
      </c>
      <c r="H89" s="286">
        <v>0</v>
      </c>
      <c r="I89" s="286">
        <v>400</v>
      </c>
      <c r="J89" s="182"/>
      <c r="K89" s="182"/>
      <c r="L89" s="408">
        <f t="shared" si="8"/>
        <v>0</v>
      </c>
      <c r="M89" s="182">
        <f t="shared" si="5"/>
        <v>400</v>
      </c>
      <c r="N89" s="182">
        <f t="shared" si="6"/>
        <v>0</v>
      </c>
      <c r="O89" s="182">
        <f t="shared" si="7"/>
        <v>400</v>
      </c>
    </row>
    <row r="90" spans="1:15" ht="12.75" customHeight="1">
      <c r="A90" s="426"/>
      <c r="B90" s="427"/>
      <c r="C90" s="144" t="s">
        <v>196</v>
      </c>
      <c r="D90" s="255" t="s">
        <v>197</v>
      </c>
      <c r="E90" s="225"/>
      <c r="F90" s="648"/>
      <c r="G90" s="286">
        <v>597</v>
      </c>
      <c r="H90" s="286">
        <v>0</v>
      </c>
      <c r="I90" s="286">
        <v>597</v>
      </c>
      <c r="J90" s="182"/>
      <c r="K90" s="182"/>
      <c r="L90" s="408">
        <f t="shared" si="8"/>
        <v>0</v>
      </c>
      <c r="M90" s="182">
        <f t="shared" si="5"/>
        <v>597</v>
      </c>
      <c r="N90" s="182">
        <f t="shared" si="6"/>
        <v>0</v>
      </c>
      <c r="O90" s="182">
        <f t="shared" si="7"/>
        <v>597</v>
      </c>
    </row>
    <row r="91" spans="1:15" ht="12.75" customHeight="1">
      <c r="A91" s="426"/>
      <c r="B91" s="427"/>
      <c r="C91" s="139" t="s">
        <v>882</v>
      </c>
      <c r="D91" s="434" t="s">
        <v>883</v>
      </c>
      <c r="E91" s="225"/>
      <c r="F91" s="648"/>
      <c r="G91" s="286">
        <v>0</v>
      </c>
      <c r="H91" s="286">
        <v>0</v>
      </c>
      <c r="I91" s="286">
        <v>0</v>
      </c>
      <c r="J91" s="182"/>
      <c r="K91" s="182"/>
      <c r="L91" s="408">
        <f t="shared" si="8"/>
        <v>0</v>
      </c>
      <c r="M91" s="182">
        <f t="shared" si="5"/>
        <v>0</v>
      </c>
      <c r="N91" s="182">
        <f t="shared" si="6"/>
        <v>0</v>
      </c>
      <c r="O91" s="182">
        <f t="shared" si="7"/>
        <v>0</v>
      </c>
    </row>
    <row r="92" spans="1:15" ht="12.75" customHeight="1">
      <c r="A92" s="426"/>
      <c r="B92" s="427"/>
      <c r="C92" s="141" t="s">
        <v>1059</v>
      </c>
      <c r="D92" s="439" t="s">
        <v>198</v>
      </c>
      <c r="E92" s="225"/>
      <c r="F92" s="648"/>
      <c r="G92" s="286">
        <v>300</v>
      </c>
      <c r="H92" s="286">
        <v>0</v>
      </c>
      <c r="I92" s="286">
        <v>300</v>
      </c>
      <c r="J92" s="182"/>
      <c r="K92" s="182"/>
      <c r="L92" s="408">
        <f t="shared" si="8"/>
        <v>0</v>
      </c>
      <c r="M92" s="182">
        <f t="shared" si="5"/>
        <v>300</v>
      </c>
      <c r="N92" s="182">
        <f t="shared" si="6"/>
        <v>0</v>
      </c>
      <c r="O92" s="182">
        <f t="shared" si="7"/>
        <v>300</v>
      </c>
    </row>
    <row r="93" spans="1:15" ht="12.75" customHeight="1">
      <c r="A93" s="426"/>
      <c r="B93" s="427"/>
      <c r="C93" s="141" t="s">
        <v>1060</v>
      </c>
      <c r="D93" s="433" t="s">
        <v>199</v>
      </c>
      <c r="E93" s="225"/>
      <c r="F93" s="648"/>
      <c r="G93" s="286">
        <v>1000</v>
      </c>
      <c r="H93" s="286">
        <v>0</v>
      </c>
      <c r="I93" s="286">
        <v>1000</v>
      </c>
      <c r="J93" s="182"/>
      <c r="K93" s="182"/>
      <c r="L93" s="408">
        <f t="shared" si="8"/>
        <v>0</v>
      </c>
      <c r="M93" s="182">
        <f t="shared" si="5"/>
        <v>1000</v>
      </c>
      <c r="N93" s="182">
        <f t="shared" si="6"/>
        <v>0</v>
      </c>
      <c r="O93" s="182">
        <f t="shared" si="7"/>
        <v>1000</v>
      </c>
    </row>
    <row r="94" spans="1:15" ht="12.75" customHeight="1">
      <c r="A94" s="426"/>
      <c r="B94" s="427"/>
      <c r="C94" s="141" t="s">
        <v>200</v>
      </c>
      <c r="D94" s="433" t="s">
        <v>201</v>
      </c>
      <c r="E94" s="225"/>
      <c r="F94" s="648"/>
      <c r="G94" s="286">
        <v>1000</v>
      </c>
      <c r="H94" s="286">
        <v>0</v>
      </c>
      <c r="I94" s="286">
        <v>1000</v>
      </c>
      <c r="J94" s="182"/>
      <c r="K94" s="182"/>
      <c r="L94" s="408">
        <f t="shared" si="8"/>
        <v>0</v>
      </c>
      <c r="M94" s="182">
        <f t="shared" si="5"/>
        <v>1000</v>
      </c>
      <c r="N94" s="182">
        <f t="shared" si="6"/>
        <v>0</v>
      </c>
      <c r="O94" s="182">
        <f t="shared" si="7"/>
        <v>1000</v>
      </c>
    </row>
    <row r="95" spans="1:15" ht="12.75" customHeight="1">
      <c r="A95" s="426"/>
      <c r="B95" s="427"/>
      <c r="C95" s="141" t="s">
        <v>202</v>
      </c>
      <c r="D95" s="433" t="s">
        <v>203</v>
      </c>
      <c r="E95" s="225"/>
      <c r="F95" s="648"/>
      <c r="G95" s="286">
        <v>1000</v>
      </c>
      <c r="H95" s="286">
        <v>0</v>
      </c>
      <c r="I95" s="286">
        <v>1000</v>
      </c>
      <c r="J95" s="182"/>
      <c r="K95" s="182"/>
      <c r="L95" s="408">
        <f t="shared" si="8"/>
        <v>0</v>
      </c>
      <c r="M95" s="182">
        <f t="shared" si="5"/>
        <v>1000</v>
      </c>
      <c r="N95" s="182">
        <f t="shared" si="6"/>
        <v>0</v>
      </c>
      <c r="O95" s="182">
        <f t="shared" si="7"/>
        <v>1000</v>
      </c>
    </row>
    <row r="96" spans="1:15" ht="12.75" customHeight="1">
      <c r="A96" s="426"/>
      <c r="B96" s="427"/>
      <c r="C96" s="139" t="s">
        <v>884</v>
      </c>
      <c r="D96" s="168" t="s">
        <v>885</v>
      </c>
      <c r="E96" s="225"/>
      <c r="F96" s="648"/>
      <c r="G96" s="286">
        <v>0</v>
      </c>
      <c r="H96" s="286">
        <v>0</v>
      </c>
      <c r="I96" s="286">
        <v>0</v>
      </c>
      <c r="J96" s="182"/>
      <c r="K96" s="182"/>
      <c r="L96" s="408">
        <f t="shared" si="8"/>
        <v>0</v>
      </c>
      <c r="M96" s="182">
        <f t="shared" si="5"/>
        <v>0</v>
      </c>
      <c r="N96" s="182">
        <f t="shared" si="6"/>
        <v>0</v>
      </c>
      <c r="O96" s="182">
        <f t="shared" si="7"/>
        <v>0</v>
      </c>
    </row>
    <row r="97" spans="1:15" ht="24.75" customHeight="1">
      <c r="A97" s="426"/>
      <c r="B97" s="427"/>
      <c r="C97" s="144" t="s">
        <v>886</v>
      </c>
      <c r="D97" s="440" t="s">
        <v>519</v>
      </c>
      <c r="E97" s="242"/>
      <c r="F97" s="642"/>
      <c r="G97" s="286">
        <v>2236</v>
      </c>
      <c r="H97" s="286">
        <v>0</v>
      </c>
      <c r="I97" s="286">
        <v>2236</v>
      </c>
      <c r="J97" s="408"/>
      <c r="K97" s="408"/>
      <c r="L97" s="408">
        <f t="shared" si="8"/>
        <v>0</v>
      </c>
      <c r="M97" s="182">
        <f t="shared" si="5"/>
        <v>2236</v>
      </c>
      <c r="N97" s="182">
        <f t="shared" si="6"/>
        <v>0</v>
      </c>
      <c r="O97" s="182">
        <f t="shared" si="7"/>
        <v>2236</v>
      </c>
    </row>
    <row r="98" spans="1:15" ht="24.75" customHeight="1">
      <c r="A98" s="426"/>
      <c r="B98" s="427"/>
      <c r="C98" s="144" t="s">
        <v>887</v>
      </c>
      <c r="D98" s="433" t="s">
        <v>204</v>
      </c>
      <c r="E98" s="225"/>
      <c r="F98" s="648"/>
      <c r="G98" s="286">
        <v>2000</v>
      </c>
      <c r="H98" s="286">
        <v>0</v>
      </c>
      <c r="I98" s="286">
        <v>2000</v>
      </c>
      <c r="J98" s="182"/>
      <c r="K98" s="182"/>
      <c r="L98" s="408">
        <f t="shared" si="8"/>
        <v>0</v>
      </c>
      <c r="M98" s="182">
        <f t="shared" si="5"/>
        <v>2000</v>
      </c>
      <c r="N98" s="182">
        <f t="shared" si="6"/>
        <v>0</v>
      </c>
      <c r="O98" s="182">
        <f t="shared" si="7"/>
        <v>2000</v>
      </c>
    </row>
    <row r="99" spans="1:15" ht="15" customHeight="1">
      <c r="A99" s="426"/>
      <c r="B99" s="427"/>
      <c r="C99" s="144" t="s">
        <v>888</v>
      </c>
      <c r="D99" s="433" t="s">
        <v>545</v>
      </c>
      <c r="E99" s="225"/>
      <c r="F99" s="648"/>
      <c r="G99" s="286">
        <v>6200</v>
      </c>
      <c r="H99" s="286">
        <v>0</v>
      </c>
      <c r="I99" s="286">
        <v>6200</v>
      </c>
      <c r="J99" s="182"/>
      <c r="K99" s="182"/>
      <c r="L99" s="408">
        <f t="shared" si="8"/>
        <v>0</v>
      </c>
      <c r="M99" s="182">
        <f t="shared" si="5"/>
        <v>6200</v>
      </c>
      <c r="N99" s="182">
        <f t="shared" si="6"/>
        <v>0</v>
      </c>
      <c r="O99" s="182">
        <f t="shared" si="7"/>
        <v>6200</v>
      </c>
    </row>
    <row r="100" spans="1:15" ht="24.75" customHeight="1">
      <c r="A100" s="426"/>
      <c r="B100" s="427"/>
      <c r="C100" s="144" t="s">
        <v>889</v>
      </c>
      <c r="D100" s="436" t="s">
        <v>1061</v>
      </c>
      <c r="E100" s="178"/>
      <c r="F100" s="649"/>
      <c r="G100" s="286">
        <v>6000</v>
      </c>
      <c r="H100" s="286">
        <v>0</v>
      </c>
      <c r="I100" s="286">
        <v>6000</v>
      </c>
      <c r="J100" s="101"/>
      <c r="K100" s="408"/>
      <c r="L100" s="408">
        <f t="shared" si="8"/>
        <v>0</v>
      </c>
      <c r="M100" s="182">
        <f t="shared" si="5"/>
        <v>6000</v>
      </c>
      <c r="N100" s="182">
        <f t="shared" si="6"/>
        <v>0</v>
      </c>
      <c r="O100" s="182">
        <f t="shared" si="7"/>
        <v>6000</v>
      </c>
    </row>
    <row r="101" spans="1:15" ht="15" customHeight="1">
      <c r="A101" s="426"/>
      <c r="B101" s="427"/>
      <c r="C101" s="144" t="s">
        <v>1062</v>
      </c>
      <c r="D101" s="436" t="s">
        <v>1045</v>
      </c>
      <c r="E101" s="225"/>
      <c r="F101" s="648" t="s">
        <v>249</v>
      </c>
      <c r="G101" s="286">
        <v>3000</v>
      </c>
      <c r="H101" s="286">
        <v>0</v>
      </c>
      <c r="I101" s="286">
        <v>3000</v>
      </c>
      <c r="J101" s="182">
        <v>4500</v>
      </c>
      <c r="K101" s="182"/>
      <c r="L101" s="408">
        <f t="shared" si="8"/>
        <v>4500</v>
      </c>
      <c r="M101" s="182">
        <f t="shared" si="5"/>
        <v>7500</v>
      </c>
      <c r="N101" s="182">
        <f t="shared" si="6"/>
        <v>0</v>
      </c>
      <c r="O101" s="182">
        <f t="shared" si="7"/>
        <v>7500</v>
      </c>
    </row>
    <row r="102" spans="1:15" ht="24.75" customHeight="1">
      <c r="A102" s="426"/>
      <c r="B102" s="427"/>
      <c r="C102" s="144" t="s">
        <v>1063</v>
      </c>
      <c r="D102" s="441" t="s">
        <v>205</v>
      </c>
      <c r="E102" s="225"/>
      <c r="F102" s="648"/>
      <c r="G102" s="286">
        <v>10979</v>
      </c>
      <c r="H102" s="286">
        <v>0</v>
      </c>
      <c r="I102" s="286">
        <v>10979</v>
      </c>
      <c r="J102" s="182"/>
      <c r="K102" s="182"/>
      <c r="L102" s="408">
        <f t="shared" si="8"/>
        <v>0</v>
      </c>
      <c r="M102" s="182">
        <f t="shared" si="5"/>
        <v>10979</v>
      </c>
      <c r="N102" s="182">
        <f t="shared" si="6"/>
        <v>0</v>
      </c>
      <c r="O102" s="182">
        <f t="shared" si="7"/>
        <v>10979</v>
      </c>
    </row>
    <row r="103" spans="1:15" ht="15" customHeight="1">
      <c r="A103" s="426"/>
      <c r="B103" s="427"/>
      <c r="C103" s="144" t="s">
        <v>1064</v>
      </c>
      <c r="D103" s="441" t="s">
        <v>206</v>
      </c>
      <c r="E103" s="225"/>
      <c r="F103" s="648" t="s">
        <v>547</v>
      </c>
      <c r="G103" s="286">
        <v>1000</v>
      </c>
      <c r="H103" s="286">
        <v>0</v>
      </c>
      <c r="I103" s="286">
        <v>1000</v>
      </c>
      <c r="J103" s="182">
        <v>200</v>
      </c>
      <c r="K103" s="182"/>
      <c r="L103" s="408">
        <f t="shared" si="8"/>
        <v>200</v>
      </c>
      <c r="M103" s="182">
        <f t="shared" si="5"/>
        <v>1200</v>
      </c>
      <c r="N103" s="182">
        <f t="shared" si="6"/>
        <v>0</v>
      </c>
      <c r="O103" s="182">
        <f t="shared" si="7"/>
        <v>1200</v>
      </c>
    </row>
    <row r="104" spans="1:15" ht="15" customHeight="1">
      <c r="A104" s="426"/>
      <c r="B104" s="427"/>
      <c r="C104" s="288" t="s">
        <v>955</v>
      </c>
      <c r="D104" s="415" t="s">
        <v>956</v>
      </c>
      <c r="E104" s="225"/>
      <c r="F104" s="648" t="s">
        <v>547</v>
      </c>
      <c r="G104" s="286">
        <v>5352</v>
      </c>
      <c r="H104" s="286"/>
      <c r="I104" s="286">
        <v>5352</v>
      </c>
      <c r="J104" s="182">
        <v>100</v>
      </c>
      <c r="K104" s="182"/>
      <c r="L104" s="408">
        <f t="shared" si="8"/>
        <v>100</v>
      </c>
      <c r="M104" s="182">
        <f t="shared" si="5"/>
        <v>5452</v>
      </c>
      <c r="N104" s="182"/>
      <c r="O104" s="182">
        <f t="shared" si="7"/>
        <v>5452</v>
      </c>
    </row>
    <row r="105" spans="1:15" ht="15" customHeight="1">
      <c r="A105" s="426"/>
      <c r="B105" s="427"/>
      <c r="C105" s="288" t="s">
        <v>314</v>
      </c>
      <c r="D105" s="405" t="s">
        <v>423</v>
      </c>
      <c r="E105" s="225"/>
      <c r="F105" s="648" t="s">
        <v>547</v>
      </c>
      <c r="G105" s="286"/>
      <c r="H105" s="286"/>
      <c r="I105" s="286"/>
      <c r="J105" s="182">
        <v>3400</v>
      </c>
      <c r="K105" s="182"/>
      <c r="L105" s="408">
        <f t="shared" si="8"/>
        <v>3400</v>
      </c>
      <c r="M105" s="182">
        <f t="shared" si="5"/>
        <v>3400</v>
      </c>
      <c r="N105" s="182"/>
      <c r="O105" s="182">
        <f t="shared" si="7"/>
        <v>3400</v>
      </c>
    </row>
    <row r="106" spans="1:15" ht="15" customHeight="1">
      <c r="A106" s="426"/>
      <c r="B106" s="427"/>
      <c r="C106" s="288" t="s">
        <v>273</v>
      </c>
      <c r="D106" s="405" t="s">
        <v>57</v>
      </c>
      <c r="E106" s="225"/>
      <c r="F106" s="648" t="s">
        <v>547</v>
      </c>
      <c r="G106" s="286"/>
      <c r="H106" s="286"/>
      <c r="I106" s="286"/>
      <c r="J106" s="182">
        <v>45664</v>
      </c>
      <c r="K106" s="182"/>
      <c r="L106" s="408">
        <f t="shared" si="8"/>
        <v>45664</v>
      </c>
      <c r="M106" s="182">
        <f t="shared" si="5"/>
        <v>45664</v>
      </c>
      <c r="N106" s="182"/>
      <c r="O106" s="182">
        <f t="shared" si="7"/>
        <v>45664</v>
      </c>
    </row>
    <row r="107" spans="1:15" ht="15" customHeight="1">
      <c r="A107" s="426"/>
      <c r="B107" s="427"/>
      <c r="C107" s="144"/>
      <c r="D107" s="243" t="s">
        <v>151</v>
      </c>
      <c r="E107" s="225"/>
      <c r="F107" s="648"/>
      <c r="G107" s="286">
        <v>0</v>
      </c>
      <c r="H107" s="286">
        <v>0</v>
      </c>
      <c r="I107" s="286">
        <v>0</v>
      </c>
      <c r="J107" s="182"/>
      <c r="K107" s="182"/>
      <c r="L107" s="408">
        <f t="shared" si="8"/>
        <v>0</v>
      </c>
      <c r="M107" s="182">
        <f t="shared" si="5"/>
        <v>0</v>
      </c>
      <c r="N107" s="182">
        <f t="shared" si="6"/>
        <v>0</v>
      </c>
      <c r="O107" s="182">
        <f t="shared" si="7"/>
        <v>0</v>
      </c>
    </row>
    <row r="108" spans="1:15" ht="15" customHeight="1">
      <c r="A108" s="426"/>
      <c r="B108" s="427"/>
      <c r="C108" s="144" t="s">
        <v>694</v>
      </c>
      <c r="D108" s="255" t="s">
        <v>99</v>
      </c>
      <c r="E108" s="225"/>
      <c r="F108" s="648"/>
      <c r="G108" s="286">
        <v>134</v>
      </c>
      <c r="H108" s="286">
        <v>0</v>
      </c>
      <c r="I108" s="286">
        <v>134</v>
      </c>
      <c r="J108" s="182"/>
      <c r="K108" s="182"/>
      <c r="L108" s="408">
        <f t="shared" si="8"/>
        <v>0</v>
      </c>
      <c r="M108" s="182">
        <f t="shared" si="5"/>
        <v>134</v>
      </c>
      <c r="N108" s="182">
        <f t="shared" si="6"/>
        <v>0</v>
      </c>
      <c r="O108" s="182">
        <f t="shared" si="7"/>
        <v>134</v>
      </c>
    </row>
    <row r="109" spans="1:15" ht="15" customHeight="1">
      <c r="A109" s="426"/>
      <c r="B109" s="427"/>
      <c r="C109" s="144" t="s">
        <v>542</v>
      </c>
      <c r="D109" s="250" t="s">
        <v>576</v>
      </c>
      <c r="E109" s="225"/>
      <c r="F109" s="648"/>
      <c r="G109" s="286">
        <v>0</v>
      </c>
      <c r="H109" s="286">
        <v>100</v>
      </c>
      <c r="I109" s="286">
        <v>100</v>
      </c>
      <c r="J109" s="182"/>
      <c r="K109" s="182"/>
      <c r="L109" s="408">
        <f t="shared" si="8"/>
        <v>0</v>
      </c>
      <c r="M109" s="182">
        <f t="shared" si="5"/>
        <v>0</v>
      </c>
      <c r="N109" s="182">
        <f t="shared" si="6"/>
        <v>100</v>
      </c>
      <c r="O109" s="182">
        <f t="shared" si="7"/>
        <v>100</v>
      </c>
    </row>
    <row r="110" spans="1:15" ht="12.75" customHeight="1">
      <c r="A110" s="421"/>
      <c r="B110" s="422"/>
      <c r="C110" s="423"/>
      <c r="D110" s="442" t="s">
        <v>827</v>
      </c>
      <c r="E110" s="443"/>
      <c r="F110" s="651"/>
      <c r="G110" s="264">
        <f aca="true" t="shared" si="9" ref="G110:N110">SUM(G40:G109)</f>
        <v>104179</v>
      </c>
      <c r="H110" s="264">
        <f t="shared" si="9"/>
        <v>10100</v>
      </c>
      <c r="I110" s="264">
        <f t="shared" si="9"/>
        <v>114279</v>
      </c>
      <c r="J110" s="264">
        <f t="shared" si="9"/>
        <v>65442</v>
      </c>
      <c r="K110" s="264">
        <f t="shared" si="9"/>
        <v>10991</v>
      </c>
      <c r="L110" s="264">
        <f t="shared" si="9"/>
        <v>76433</v>
      </c>
      <c r="M110" s="264">
        <f t="shared" si="9"/>
        <v>169621</v>
      </c>
      <c r="N110" s="264">
        <f t="shared" si="9"/>
        <v>21091</v>
      </c>
      <c r="O110" s="264">
        <f t="shared" si="7"/>
        <v>190712</v>
      </c>
    </row>
    <row r="111" spans="1:15" ht="13.5" customHeight="1">
      <c r="A111" s="402">
        <v>1</v>
      </c>
      <c r="B111" s="403">
        <v>16</v>
      </c>
      <c r="C111" s="142"/>
      <c r="D111" s="444" t="s">
        <v>467</v>
      </c>
      <c r="E111" s="445"/>
      <c r="F111" s="652"/>
      <c r="G111" s="286">
        <v>0</v>
      </c>
      <c r="H111" s="286">
        <v>0</v>
      </c>
      <c r="I111" s="286">
        <v>0</v>
      </c>
      <c r="J111" s="184"/>
      <c r="K111" s="184"/>
      <c r="L111" s="408">
        <f t="shared" si="8"/>
        <v>0</v>
      </c>
      <c r="M111" s="182">
        <f t="shared" si="5"/>
        <v>0</v>
      </c>
      <c r="N111" s="182">
        <f t="shared" si="6"/>
        <v>0</v>
      </c>
      <c r="O111" s="182">
        <f t="shared" si="7"/>
        <v>0</v>
      </c>
    </row>
    <row r="112" spans="1:15" ht="13.5" customHeight="1">
      <c r="A112" s="426"/>
      <c r="B112" s="427"/>
      <c r="C112" s="140">
        <v>1</v>
      </c>
      <c r="D112" s="162" t="s">
        <v>929</v>
      </c>
      <c r="E112" s="225"/>
      <c r="F112" s="648"/>
      <c r="G112" s="286">
        <v>0</v>
      </c>
      <c r="H112" s="286">
        <v>0</v>
      </c>
      <c r="I112" s="286">
        <v>0</v>
      </c>
      <c r="J112" s="182"/>
      <c r="K112" s="182"/>
      <c r="L112" s="408">
        <f t="shared" si="8"/>
        <v>0</v>
      </c>
      <c r="M112" s="182">
        <f t="shared" si="5"/>
        <v>0</v>
      </c>
      <c r="N112" s="182">
        <f t="shared" si="6"/>
        <v>0</v>
      </c>
      <c r="O112" s="182">
        <f t="shared" si="7"/>
        <v>0</v>
      </c>
    </row>
    <row r="113" spans="1:15" ht="15" customHeight="1">
      <c r="A113" s="447"/>
      <c r="B113" s="447"/>
      <c r="C113" s="141" t="s">
        <v>843</v>
      </c>
      <c r="D113" s="448" t="s">
        <v>207</v>
      </c>
      <c r="E113" s="225"/>
      <c r="F113" s="648" t="s">
        <v>933</v>
      </c>
      <c r="G113" s="286">
        <v>1130</v>
      </c>
      <c r="H113" s="286">
        <v>0</v>
      </c>
      <c r="I113" s="286">
        <v>1130</v>
      </c>
      <c r="J113" s="182">
        <v>678</v>
      </c>
      <c r="K113" s="182"/>
      <c r="L113" s="408">
        <f t="shared" si="8"/>
        <v>678</v>
      </c>
      <c r="M113" s="182">
        <f t="shared" si="5"/>
        <v>1808</v>
      </c>
      <c r="N113" s="182">
        <f t="shared" si="6"/>
        <v>0</v>
      </c>
      <c r="O113" s="182">
        <f t="shared" si="7"/>
        <v>1808</v>
      </c>
    </row>
    <row r="114" spans="1:15" ht="15" customHeight="1">
      <c r="A114" s="447"/>
      <c r="B114" s="447"/>
      <c r="C114" s="141" t="s">
        <v>844</v>
      </c>
      <c r="D114" s="449" t="s">
        <v>208</v>
      </c>
      <c r="E114" s="227"/>
      <c r="F114" s="643"/>
      <c r="G114" s="286">
        <v>1500</v>
      </c>
      <c r="H114" s="286">
        <v>0</v>
      </c>
      <c r="I114" s="286">
        <v>1500</v>
      </c>
      <c r="J114" s="183"/>
      <c r="K114" s="183"/>
      <c r="L114" s="408">
        <f t="shared" si="8"/>
        <v>0</v>
      </c>
      <c r="M114" s="182">
        <f t="shared" si="5"/>
        <v>1500</v>
      </c>
      <c r="N114" s="182">
        <f t="shared" si="6"/>
        <v>0</v>
      </c>
      <c r="O114" s="182">
        <f t="shared" si="7"/>
        <v>1500</v>
      </c>
    </row>
    <row r="115" spans="1:15" ht="15" customHeight="1">
      <c r="A115" s="447"/>
      <c r="B115" s="447"/>
      <c r="C115" s="141" t="s">
        <v>845</v>
      </c>
      <c r="D115" s="449" t="s">
        <v>209</v>
      </c>
      <c r="E115" s="450"/>
      <c r="F115" s="645"/>
      <c r="G115" s="286">
        <v>2500</v>
      </c>
      <c r="H115" s="286">
        <v>0</v>
      </c>
      <c r="I115" s="286">
        <v>2500</v>
      </c>
      <c r="J115" s="286"/>
      <c r="K115" s="286"/>
      <c r="L115" s="408">
        <f t="shared" si="8"/>
        <v>0</v>
      </c>
      <c r="M115" s="182">
        <f t="shared" si="5"/>
        <v>2500</v>
      </c>
      <c r="N115" s="182">
        <f t="shared" si="6"/>
        <v>0</v>
      </c>
      <c r="O115" s="182">
        <f t="shared" si="7"/>
        <v>2500</v>
      </c>
    </row>
    <row r="116" spans="1:15" ht="15" customHeight="1">
      <c r="A116" s="447"/>
      <c r="B116" s="447"/>
      <c r="C116" s="141" t="s">
        <v>832</v>
      </c>
      <c r="D116" s="451" t="s">
        <v>210</v>
      </c>
      <c r="E116" s="227"/>
      <c r="F116" s="643" t="s">
        <v>933</v>
      </c>
      <c r="G116" s="286">
        <v>20000</v>
      </c>
      <c r="H116" s="286">
        <v>0</v>
      </c>
      <c r="I116" s="286">
        <v>20000</v>
      </c>
      <c r="J116" s="183">
        <v>682</v>
      </c>
      <c r="K116" s="183"/>
      <c r="L116" s="408">
        <f t="shared" si="8"/>
        <v>682</v>
      </c>
      <c r="M116" s="182">
        <f t="shared" si="5"/>
        <v>20682</v>
      </c>
      <c r="N116" s="182">
        <f t="shared" si="6"/>
        <v>0</v>
      </c>
      <c r="O116" s="182">
        <f aca="true" t="shared" si="10" ref="O116:O190">SUM(M116:N116)</f>
        <v>20682</v>
      </c>
    </row>
    <row r="117" spans="1:15" ht="24.75" customHeight="1">
      <c r="A117" s="447"/>
      <c r="B117" s="447"/>
      <c r="C117" s="141" t="s">
        <v>833</v>
      </c>
      <c r="D117" s="452" t="s">
        <v>1077</v>
      </c>
      <c r="E117" s="227"/>
      <c r="F117" s="643"/>
      <c r="G117" s="286">
        <v>18000</v>
      </c>
      <c r="H117" s="286">
        <v>0</v>
      </c>
      <c r="I117" s="286">
        <v>18000</v>
      </c>
      <c r="J117" s="183"/>
      <c r="K117" s="183"/>
      <c r="L117" s="408">
        <f t="shared" si="8"/>
        <v>0</v>
      </c>
      <c r="M117" s="182">
        <f t="shared" si="5"/>
        <v>18000</v>
      </c>
      <c r="N117" s="182">
        <f t="shared" si="6"/>
        <v>0</v>
      </c>
      <c r="O117" s="182">
        <f t="shared" si="10"/>
        <v>18000</v>
      </c>
    </row>
    <row r="118" spans="1:15" ht="15" customHeight="1">
      <c r="A118" s="447"/>
      <c r="B118" s="447"/>
      <c r="C118" s="141" t="s">
        <v>11</v>
      </c>
      <c r="D118" s="452" t="s">
        <v>13</v>
      </c>
      <c r="E118" s="227"/>
      <c r="F118" s="643" t="s">
        <v>933</v>
      </c>
      <c r="G118" s="286">
        <v>170</v>
      </c>
      <c r="H118" s="286"/>
      <c r="I118" s="286">
        <v>170</v>
      </c>
      <c r="J118" s="183">
        <v>12</v>
      </c>
      <c r="K118" s="183"/>
      <c r="L118" s="408">
        <f t="shared" si="8"/>
        <v>12</v>
      </c>
      <c r="M118" s="182">
        <f t="shared" si="5"/>
        <v>182</v>
      </c>
      <c r="N118" s="182"/>
      <c r="O118" s="182">
        <f t="shared" si="10"/>
        <v>182</v>
      </c>
    </row>
    <row r="119" spans="1:15" ht="15" customHeight="1">
      <c r="A119" s="447"/>
      <c r="B119" s="447"/>
      <c r="C119" s="141" t="s">
        <v>12</v>
      </c>
      <c r="D119" s="452" t="s">
        <v>14</v>
      </c>
      <c r="E119" s="227"/>
      <c r="F119" s="643" t="s">
        <v>933</v>
      </c>
      <c r="G119" s="286">
        <v>1700</v>
      </c>
      <c r="H119" s="286"/>
      <c r="I119" s="286">
        <v>1700</v>
      </c>
      <c r="J119" s="183">
        <v>-483</v>
      </c>
      <c r="K119" s="183"/>
      <c r="L119" s="408">
        <f t="shared" si="8"/>
        <v>-483</v>
      </c>
      <c r="M119" s="182">
        <f>SUM(G119+J119)</f>
        <v>1217</v>
      </c>
      <c r="N119" s="182"/>
      <c r="O119" s="182">
        <f t="shared" si="10"/>
        <v>1217</v>
      </c>
    </row>
    <row r="120" spans="1:15" ht="15" customHeight="1">
      <c r="A120" s="447"/>
      <c r="B120" s="447"/>
      <c r="C120" s="141" t="s">
        <v>7</v>
      </c>
      <c r="D120" s="452" t="s">
        <v>8</v>
      </c>
      <c r="E120" s="227"/>
      <c r="F120" s="643"/>
      <c r="G120" s="286">
        <v>2920</v>
      </c>
      <c r="H120" s="286"/>
      <c r="I120" s="286">
        <v>2920</v>
      </c>
      <c r="J120" s="183"/>
      <c r="K120" s="183"/>
      <c r="L120" s="408">
        <f t="shared" si="8"/>
        <v>0</v>
      </c>
      <c r="M120" s="182">
        <f>SUM(G120+J120)</f>
        <v>2920</v>
      </c>
      <c r="N120" s="182"/>
      <c r="O120" s="182">
        <f t="shared" si="10"/>
        <v>2920</v>
      </c>
    </row>
    <row r="121" spans="1:15" ht="15" customHeight="1">
      <c r="A121" s="447"/>
      <c r="B121" s="447"/>
      <c r="C121" s="141" t="s">
        <v>250</v>
      </c>
      <c r="D121" s="452" t="s">
        <v>290</v>
      </c>
      <c r="E121" s="227"/>
      <c r="F121" s="643" t="s">
        <v>547</v>
      </c>
      <c r="G121" s="286"/>
      <c r="H121" s="286"/>
      <c r="I121" s="286"/>
      <c r="J121" s="183">
        <v>20000</v>
      </c>
      <c r="K121" s="183"/>
      <c r="L121" s="408">
        <f t="shared" si="8"/>
        <v>20000</v>
      </c>
      <c r="M121" s="182">
        <f>SUM(G121+J121)</f>
        <v>20000</v>
      </c>
      <c r="N121" s="182"/>
      <c r="O121" s="182">
        <f t="shared" si="10"/>
        <v>20000</v>
      </c>
    </row>
    <row r="122" spans="1:15" ht="15" customHeight="1">
      <c r="A122" s="447"/>
      <c r="B122" s="447"/>
      <c r="C122" s="141"/>
      <c r="D122" s="243" t="s">
        <v>151</v>
      </c>
      <c r="E122" s="227"/>
      <c r="F122" s="643"/>
      <c r="G122" s="286">
        <v>0</v>
      </c>
      <c r="H122" s="286">
        <v>0</v>
      </c>
      <c r="I122" s="286">
        <v>0</v>
      </c>
      <c r="J122" s="183"/>
      <c r="K122" s="183"/>
      <c r="L122" s="408">
        <f t="shared" si="8"/>
        <v>0</v>
      </c>
      <c r="M122" s="182">
        <f aca="true" t="shared" si="11" ref="M122:M193">SUM(G122+J122)</f>
        <v>0</v>
      </c>
      <c r="N122" s="182">
        <f aca="true" t="shared" si="12" ref="N122:N192">SUM(H122+K122)</f>
        <v>0</v>
      </c>
      <c r="O122" s="182">
        <f t="shared" si="10"/>
        <v>0</v>
      </c>
    </row>
    <row r="123" spans="1:15" ht="15" customHeight="1">
      <c r="A123" s="447"/>
      <c r="B123" s="447"/>
      <c r="C123" s="141" t="s">
        <v>555</v>
      </c>
      <c r="D123" s="258" t="s">
        <v>1065</v>
      </c>
      <c r="E123" s="164"/>
      <c r="F123" s="653" t="s">
        <v>933</v>
      </c>
      <c r="G123" s="286">
        <v>2380</v>
      </c>
      <c r="H123" s="286">
        <v>0</v>
      </c>
      <c r="I123" s="286">
        <v>2380</v>
      </c>
      <c r="J123" s="183">
        <v>-321</v>
      </c>
      <c r="K123" s="183"/>
      <c r="L123" s="408">
        <f t="shared" si="8"/>
        <v>-321</v>
      </c>
      <c r="M123" s="182">
        <f t="shared" si="11"/>
        <v>2059</v>
      </c>
      <c r="N123" s="182">
        <f t="shared" si="12"/>
        <v>0</v>
      </c>
      <c r="O123" s="182">
        <f t="shared" si="10"/>
        <v>2059</v>
      </c>
    </row>
    <row r="124" spans="1:15" ht="24.75" customHeight="1">
      <c r="A124" s="447"/>
      <c r="B124" s="447"/>
      <c r="C124" s="141" t="s">
        <v>664</v>
      </c>
      <c r="D124" s="453" t="s">
        <v>520</v>
      </c>
      <c r="E124" s="164"/>
      <c r="F124" s="653"/>
      <c r="G124" s="286">
        <v>0</v>
      </c>
      <c r="H124" s="286">
        <v>0</v>
      </c>
      <c r="I124" s="286">
        <v>0</v>
      </c>
      <c r="J124" s="183"/>
      <c r="K124" s="183"/>
      <c r="L124" s="408">
        <f t="shared" si="8"/>
        <v>0</v>
      </c>
      <c r="M124" s="182">
        <f t="shared" si="11"/>
        <v>0</v>
      </c>
      <c r="N124" s="182">
        <f t="shared" si="12"/>
        <v>0</v>
      </c>
      <c r="O124" s="182">
        <f t="shared" si="10"/>
        <v>0</v>
      </c>
    </row>
    <row r="125" spans="1:15" ht="15" customHeight="1">
      <c r="A125" s="447"/>
      <c r="B125" s="447"/>
      <c r="C125" s="141" t="s">
        <v>665</v>
      </c>
      <c r="D125" s="258" t="s">
        <v>1066</v>
      </c>
      <c r="E125" s="164"/>
      <c r="F125" s="653"/>
      <c r="G125" s="286">
        <v>4813</v>
      </c>
      <c r="H125" s="286">
        <v>0</v>
      </c>
      <c r="I125" s="286">
        <v>4813</v>
      </c>
      <c r="J125" s="183"/>
      <c r="K125" s="183"/>
      <c r="L125" s="408">
        <f t="shared" si="8"/>
        <v>0</v>
      </c>
      <c r="M125" s="182">
        <f t="shared" si="11"/>
        <v>4813</v>
      </c>
      <c r="N125" s="182">
        <f t="shared" si="12"/>
        <v>0</v>
      </c>
      <c r="O125" s="182">
        <f t="shared" si="10"/>
        <v>4813</v>
      </c>
    </row>
    <row r="126" spans="1:15" ht="15" customHeight="1">
      <c r="A126" s="447"/>
      <c r="B126" s="447"/>
      <c r="C126" s="141" t="s">
        <v>666</v>
      </c>
      <c r="D126" s="258" t="s">
        <v>1076</v>
      </c>
      <c r="E126" s="164"/>
      <c r="F126" s="653"/>
      <c r="G126" s="286">
        <v>6549</v>
      </c>
      <c r="H126" s="286">
        <v>0</v>
      </c>
      <c r="I126" s="286">
        <v>6549</v>
      </c>
      <c r="J126" s="183"/>
      <c r="K126" s="183"/>
      <c r="L126" s="408">
        <f t="shared" si="8"/>
        <v>0</v>
      </c>
      <c r="M126" s="182">
        <f t="shared" si="11"/>
        <v>6549</v>
      </c>
      <c r="N126" s="182">
        <f t="shared" si="12"/>
        <v>0</v>
      </c>
      <c r="O126" s="182">
        <f t="shared" si="10"/>
        <v>6549</v>
      </c>
    </row>
    <row r="127" spans="1:15" ht="15" customHeight="1">
      <c r="A127" s="447"/>
      <c r="B127" s="447"/>
      <c r="C127" s="141" t="s">
        <v>161</v>
      </c>
      <c r="D127" s="258" t="s">
        <v>1078</v>
      </c>
      <c r="E127" s="164"/>
      <c r="F127" s="653" t="s">
        <v>547</v>
      </c>
      <c r="G127" s="286">
        <v>32972</v>
      </c>
      <c r="H127" s="286">
        <v>0</v>
      </c>
      <c r="I127" s="286">
        <v>32972</v>
      </c>
      <c r="J127" s="183">
        <v>-3000</v>
      </c>
      <c r="K127" s="183"/>
      <c r="L127" s="408">
        <f t="shared" si="8"/>
        <v>-3000</v>
      </c>
      <c r="M127" s="182">
        <f t="shared" si="11"/>
        <v>29972</v>
      </c>
      <c r="N127" s="182">
        <f t="shared" si="12"/>
        <v>0</v>
      </c>
      <c r="O127" s="182">
        <f t="shared" si="10"/>
        <v>29972</v>
      </c>
    </row>
    <row r="128" spans="1:15" ht="15" customHeight="1">
      <c r="A128" s="447"/>
      <c r="B128" s="447"/>
      <c r="C128" s="141" t="s">
        <v>162</v>
      </c>
      <c r="D128" s="454" t="s">
        <v>522</v>
      </c>
      <c r="E128" s="164"/>
      <c r="F128" s="653" t="s">
        <v>933</v>
      </c>
      <c r="G128" s="286">
        <v>1381</v>
      </c>
      <c r="H128" s="286">
        <v>0</v>
      </c>
      <c r="I128" s="286">
        <v>1381</v>
      </c>
      <c r="J128" s="183">
        <v>1832</v>
      </c>
      <c r="K128" s="183"/>
      <c r="L128" s="408">
        <f t="shared" si="8"/>
        <v>1832</v>
      </c>
      <c r="M128" s="182">
        <f t="shared" si="11"/>
        <v>3213</v>
      </c>
      <c r="N128" s="182">
        <f t="shared" si="12"/>
        <v>0</v>
      </c>
      <c r="O128" s="182">
        <f t="shared" si="10"/>
        <v>3213</v>
      </c>
    </row>
    <row r="129" spans="1:15" ht="15" customHeight="1">
      <c r="A129" s="447"/>
      <c r="B129" s="447"/>
      <c r="C129" s="141" t="s">
        <v>211</v>
      </c>
      <c r="D129" s="255" t="s">
        <v>544</v>
      </c>
      <c r="E129" s="164"/>
      <c r="F129" s="653"/>
      <c r="G129" s="286">
        <v>2470</v>
      </c>
      <c r="H129" s="286">
        <v>0</v>
      </c>
      <c r="I129" s="286">
        <v>2470</v>
      </c>
      <c r="J129" s="183"/>
      <c r="K129" s="183"/>
      <c r="L129" s="408">
        <f t="shared" si="8"/>
        <v>0</v>
      </c>
      <c r="M129" s="182">
        <f t="shared" si="11"/>
        <v>2470</v>
      </c>
      <c r="N129" s="182">
        <f t="shared" si="12"/>
        <v>0</v>
      </c>
      <c r="O129" s="182">
        <f t="shared" si="10"/>
        <v>2470</v>
      </c>
    </row>
    <row r="130" spans="1:15" ht="15" customHeight="1">
      <c r="A130" s="447"/>
      <c r="B130" s="447"/>
      <c r="C130" s="141" t="s">
        <v>212</v>
      </c>
      <c r="D130" s="453" t="s">
        <v>521</v>
      </c>
      <c r="E130" s="164"/>
      <c r="F130" s="653"/>
      <c r="G130" s="286">
        <v>0</v>
      </c>
      <c r="H130" s="286">
        <v>0</v>
      </c>
      <c r="I130" s="286">
        <v>0</v>
      </c>
      <c r="J130" s="183"/>
      <c r="K130" s="183"/>
      <c r="L130" s="408">
        <f t="shared" si="8"/>
        <v>0</v>
      </c>
      <c r="M130" s="182">
        <f t="shared" si="11"/>
        <v>0</v>
      </c>
      <c r="N130" s="182">
        <f t="shared" si="12"/>
        <v>0</v>
      </c>
      <c r="O130" s="182">
        <f t="shared" si="10"/>
        <v>0</v>
      </c>
    </row>
    <row r="131" spans="1:15" ht="24.75" customHeight="1">
      <c r="A131" s="447"/>
      <c r="B131" s="447"/>
      <c r="C131" s="141" t="s">
        <v>656</v>
      </c>
      <c r="D131" s="575" t="s">
        <v>433</v>
      </c>
      <c r="E131" s="164"/>
      <c r="F131" s="653"/>
      <c r="G131" s="286">
        <v>649</v>
      </c>
      <c r="H131" s="286"/>
      <c r="I131" s="286">
        <v>649</v>
      </c>
      <c r="J131" s="183"/>
      <c r="K131" s="183"/>
      <c r="L131" s="408">
        <f t="shared" si="8"/>
        <v>0</v>
      </c>
      <c r="M131" s="182">
        <f t="shared" si="11"/>
        <v>649</v>
      </c>
      <c r="N131" s="182"/>
      <c r="O131" s="182">
        <f t="shared" si="10"/>
        <v>649</v>
      </c>
    </row>
    <row r="132" spans="1:15" ht="13.5" customHeight="1">
      <c r="A132" s="455"/>
      <c r="B132" s="455"/>
      <c r="C132" s="138" t="s">
        <v>846</v>
      </c>
      <c r="D132" s="165" t="s">
        <v>1043</v>
      </c>
      <c r="E132" s="228"/>
      <c r="F132" s="650"/>
      <c r="G132" s="286">
        <v>0</v>
      </c>
      <c r="H132" s="286">
        <v>0</v>
      </c>
      <c r="I132" s="286">
        <v>0</v>
      </c>
      <c r="J132" s="181"/>
      <c r="K132" s="181"/>
      <c r="L132" s="408">
        <f t="shared" si="8"/>
        <v>0</v>
      </c>
      <c r="M132" s="182">
        <f t="shared" si="11"/>
        <v>0</v>
      </c>
      <c r="N132" s="182">
        <f t="shared" si="12"/>
        <v>0</v>
      </c>
      <c r="O132" s="182">
        <f t="shared" si="10"/>
        <v>0</v>
      </c>
    </row>
    <row r="133" spans="1:15" ht="13.5" customHeight="1">
      <c r="A133" s="455"/>
      <c r="B133" s="455"/>
      <c r="C133" s="143" t="s">
        <v>847</v>
      </c>
      <c r="D133" s="456" t="s">
        <v>214</v>
      </c>
      <c r="E133" s="225"/>
      <c r="F133" s="648" t="s">
        <v>933</v>
      </c>
      <c r="G133" s="286">
        <v>17000</v>
      </c>
      <c r="H133" s="286">
        <v>0</v>
      </c>
      <c r="I133" s="286">
        <v>17000</v>
      </c>
      <c r="J133" s="182">
        <v>-1400</v>
      </c>
      <c r="K133" s="182"/>
      <c r="L133" s="408">
        <f t="shared" si="8"/>
        <v>-1400</v>
      </c>
      <c r="M133" s="182">
        <f t="shared" si="11"/>
        <v>15600</v>
      </c>
      <c r="N133" s="182">
        <f t="shared" si="12"/>
        <v>0</v>
      </c>
      <c r="O133" s="182">
        <f t="shared" si="10"/>
        <v>15600</v>
      </c>
    </row>
    <row r="134" spans="1:15" ht="13.5" customHeight="1">
      <c r="A134" s="455"/>
      <c r="B134" s="455"/>
      <c r="C134" s="143"/>
      <c r="D134" s="243" t="s">
        <v>151</v>
      </c>
      <c r="E134" s="225"/>
      <c r="F134" s="648"/>
      <c r="G134" s="286">
        <v>0</v>
      </c>
      <c r="H134" s="286">
        <v>0</v>
      </c>
      <c r="I134" s="286">
        <v>0</v>
      </c>
      <c r="J134" s="182"/>
      <c r="K134" s="182"/>
      <c r="L134" s="408">
        <f t="shared" si="8"/>
        <v>0</v>
      </c>
      <c r="M134" s="182">
        <f t="shared" si="11"/>
        <v>0</v>
      </c>
      <c r="N134" s="182">
        <f t="shared" si="12"/>
        <v>0</v>
      </c>
      <c r="O134" s="182">
        <f t="shared" si="10"/>
        <v>0</v>
      </c>
    </row>
    <row r="135" spans="1:15" ht="13.5" customHeight="1">
      <c r="A135" s="455"/>
      <c r="B135" s="455"/>
      <c r="C135" s="143" t="s">
        <v>667</v>
      </c>
      <c r="D135" s="258" t="s">
        <v>1080</v>
      </c>
      <c r="E135" s="225"/>
      <c r="F135" s="648" t="s">
        <v>933</v>
      </c>
      <c r="G135" s="286">
        <v>1500</v>
      </c>
      <c r="H135" s="286">
        <v>0</v>
      </c>
      <c r="I135" s="286">
        <v>1500</v>
      </c>
      <c r="J135" s="182">
        <v>1400</v>
      </c>
      <c r="K135" s="182"/>
      <c r="L135" s="408">
        <f t="shared" si="8"/>
        <v>1400</v>
      </c>
      <c r="M135" s="182">
        <f t="shared" si="11"/>
        <v>2900</v>
      </c>
      <c r="N135" s="182">
        <f t="shared" si="12"/>
        <v>0</v>
      </c>
      <c r="O135" s="182">
        <f t="shared" si="10"/>
        <v>2900</v>
      </c>
    </row>
    <row r="136" spans="1:15" ht="13.5" customHeight="1">
      <c r="A136" s="455"/>
      <c r="B136" s="455"/>
      <c r="C136" s="139" t="s">
        <v>848</v>
      </c>
      <c r="D136" s="168" t="s">
        <v>703</v>
      </c>
      <c r="E136" s="228"/>
      <c r="F136" s="650"/>
      <c r="G136" s="286">
        <v>0</v>
      </c>
      <c r="H136" s="286">
        <v>0</v>
      </c>
      <c r="I136" s="286">
        <v>0</v>
      </c>
      <c r="J136" s="181"/>
      <c r="K136" s="181"/>
      <c r="L136" s="408">
        <f t="shared" si="8"/>
        <v>0</v>
      </c>
      <c r="M136" s="182">
        <f t="shared" si="11"/>
        <v>0</v>
      </c>
      <c r="N136" s="182">
        <f t="shared" si="12"/>
        <v>0</v>
      </c>
      <c r="O136" s="182">
        <f t="shared" si="10"/>
        <v>0</v>
      </c>
    </row>
    <row r="137" spans="1:15" ht="24.75" customHeight="1">
      <c r="A137" s="455"/>
      <c r="B137" s="455"/>
      <c r="C137" s="143" t="s">
        <v>853</v>
      </c>
      <c r="D137" s="457" t="s">
        <v>215</v>
      </c>
      <c r="E137" s="228" t="s">
        <v>456</v>
      </c>
      <c r="F137" s="650"/>
      <c r="G137" s="286">
        <v>90000</v>
      </c>
      <c r="H137" s="286">
        <v>0</v>
      </c>
      <c r="I137" s="286">
        <v>90000</v>
      </c>
      <c r="J137" s="181"/>
      <c r="K137" s="181"/>
      <c r="L137" s="408">
        <f t="shared" si="8"/>
        <v>0</v>
      </c>
      <c r="M137" s="182">
        <f t="shared" si="11"/>
        <v>90000</v>
      </c>
      <c r="N137" s="182">
        <f t="shared" si="12"/>
        <v>0</v>
      </c>
      <c r="O137" s="182">
        <f t="shared" si="10"/>
        <v>90000</v>
      </c>
    </row>
    <row r="138" spans="1:15" ht="24.75" customHeight="1">
      <c r="A138" s="455"/>
      <c r="B138" s="455"/>
      <c r="C138" s="143" t="s">
        <v>854</v>
      </c>
      <c r="D138" s="457" t="s">
        <v>216</v>
      </c>
      <c r="E138" s="228" t="s">
        <v>456</v>
      </c>
      <c r="F138" s="650"/>
      <c r="G138" s="286">
        <v>90000</v>
      </c>
      <c r="H138" s="286">
        <v>0</v>
      </c>
      <c r="I138" s="286">
        <v>90000</v>
      </c>
      <c r="J138" s="181"/>
      <c r="K138" s="181"/>
      <c r="L138" s="408">
        <f t="shared" si="8"/>
        <v>0</v>
      </c>
      <c r="M138" s="182">
        <f t="shared" si="11"/>
        <v>90000</v>
      </c>
      <c r="N138" s="182">
        <f t="shared" si="12"/>
        <v>0</v>
      </c>
      <c r="O138" s="182">
        <f t="shared" si="10"/>
        <v>90000</v>
      </c>
    </row>
    <row r="139" spans="1:15" ht="12" customHeight="1">
      <c r="A139" s="139"/>
      <c r="B139" s="139"/>
      <c r="C139" s="139" t="s">
        <v>850</v>
      </c>
      <c r="D139" s="168" t="s">
        <v>855</v>
      </c>
      <c r="E139" s="169"/>
      <c r="F139" s="644"/>
      <c r="G139" s="286">
        <v>0</v>
      </c>
      <c r="H139" s="286">
        <v>0</v>
      </c>
      <c r="I139" s="286">
        <v>0</v>
      </c>
      <c r="J139" s="185"/>
      <c r="K139" s="185"/>
      <c r="L139" s="408">
        <f t="shared" si="8"/>
        <v>0</v>
      </c>
      <c r="M139" s="182">
        <f t="shared" si="11"/>
        <v>0</v>
      </c>
      <c r="N139" s="182">
        <f t="shared" si="12"/>
        <v>0</v>
      </c>
      <c r="O139" s="182">
        <f t="shared" si="10"/>
        <v>0</v>
      </c>
    </row>
    <row r="140" spans="1:15" ht="24.75" customHeight="1">
      <c r="A140" s="139"/>
      <c r="B140" s="139"/>
      <c r="C140" s="144" t="s">
        <v>856</v>
      </c>
      <c r="D140" s="435" t="s">
        <v>217</v>
      </c>
      <c r="E140" s="458"/>
      <c r="F140" s="654" t="s">
        <v>547</v>
      </c>
      <c r="G140" s="181">
        <v>5000</v>
      </c>
      <c r="H140" s="181">
        <v>0</v>
      </c>
      <c r="I140" s="181">
        <v>5000</v>
      </c>
      <c r="J140" s="245">
        <v>8100</v>
      </c>
      <c r="K140" s="245"/>
      <c r="L140" s="408">
        <f t="shared" si="8"/>
        <v>8100</v>
      </c>
      <c r="M140" s="182">
        <f t="shared" si="11"/>
        <v>13100</v>
      </c>
      <c r="N140" s="182">
        <f t="shared" si="12"/>
        <v>0</v>
      </c>
      <c r="O140" s="182">
        <f t="shared" si="10"/>
        <v>13100</v>
      </c>
    </row>
    <row r="141" spans="1:15" ht="15" customHeight="1">
      <c r="A141" s="139"/>
      <c r="B141" s="139"/>
      <c r="C141" s="144" t="s">
        <v>857</v>
      </c>
      <c r="D141" s="435" t="s">
        <v>218</v>
      </c>
      <c r="E141" s="458"/>
      <c r="F141" s="654"/>
      <c r="G141" s="286">
        <v>2000</v>
      </c>
      <c r="H141" s="286">
        <v>0</v>
      </c>
      <c r="I141" s="286">
        <v>2000</v>
      </c>
      <c r="J141" s="245"/>
      <c r="K141" s="245"/>
      <c r="L141" s="408">
        <f t="shared" si="8"/>
        <v>0</v>
      </c>
      <c r="M141" s="182">
        <f t="shared" si="11"/>
        <v>2000</v>
      </c>
      <c r="N141" s="182">
        <f t="shared" si="12"/>
        <v>0</v>
      </c>
      <c r="O141" s="182">
        <f t="shared" si="10"/>
        <v>2000</v>
      </c>
    </row>
    <row r="142" spans="1:15" ht="15" customHeight="1">
      <c r="A142" s="139"/>
      <c r="B142" s="139"/>
      <c r="C142" s="144" t="s">
        <v>858</v>
      </c>
      <c r="D142" s="435" t="s">
        <v>219</v>
      </c>
      <c r="E142" s="178"/>
      <c r="F142" s="649"/>
      <c r="G142" s="286">
        <v>800</v>
      </c>
      <c r="H142" s="286">
        <v>0</v>
      </c>
      <c r="I142" s="286">
        <v>800</v>
      </c>
      <c r="J142" s="39"/>
      <c r="K142" s="578"/>
      <c r="L142" s="408">
        <f t="shared" si="8"/>
        <v>0</v>
      </c>
      <c r="M142" s="182">
        <f t="shared" si="11"/>
        <v>800</v>
      </c>
      <c r="N142" s="182">
        <f t="shared" si="12"/>
        <v>0</v>
      </c>
      <c r="O142" s="182">
        <f t="shared" si="10"/>
        <v>800</v>
      </c>
    </row>
    <row r="143" spans="1:15" ht="15" customHeight="1">
      <c r="A143" s="139"/>
      <c r="B143" s="139"/>
      <c r="C143" s="144" t="s">
        <v>859</v>
      </c>
      <c r="D143" s="436" t="s">
        <v>220</v>
      </c>
      <c r="E143" s="169"/>
      <c r="F143" s="644" t="s">
        <v>547</v>
      </c>
      <c r="G143" s="286">
        <v>5000</v>
      </c>
      <c r="H143" s="286">
        <v>0</v>
      </c>
      <c r="I143" s="286">
        <v>5000</v>
      </c>
      <c r="J143" s="185">
        <v>-4500</v>
      </c>
      <c r="K143" s="185"/>
      <c r="L143" s="408">
        <f t="shared" si="8"/>
        <v>-4500</v>
      </c>
      <c r="M143" s="182">
        <f t="shared" si="11"/>
        <v>500</v>
      </c>
      <c r="N143" s="182">
        <f t="shared" si="12"/>
        <v>0</v>
      </c>
      <c r="O143" s="182">
        <f t="shared" si="10"/>
        <v>500</v>
      </c>
    </row>
    <row r="144" spans="1:15" ht="15" customHeight="1">
      <c r="A144" s="139"/>
      <c r="B144" s="139"/>
      <c r="C144" s="144" t="s">
        <v>860</v>
      </c>
      <c r="D144" s="258" t="s">
        <v>221</v>
      </c>
      <c r="E144" s="169"/>
      <c r="F144" s="644"/>
      <c r="G144" s="286">
        <v>10000</v>
      </c>
      <c r="H144" s="286">
        <v>0</v>
      </c>
      <c r="I144" s="286">
        <v>10000</v>
      </c>
      <c r="J144" s="185"/>
      <c r="K144" s="185"/>
      <c r="L144" s="408">
        <f t="shared" si="8"/>
        <v>0</v>
      </c>
      <c r="M144" s="182">
        <f t="shared" si="11"/>
        <v>10000</v>
      </c>
      <c r="N144" s="182">
        <f t="shared" si="12"/>
        <v>0</v>
      </c>
      <c r="O144" s="182">
        <f t="shared" si="10"/>
        <v>10000</v>
      </c>
    </row>
    <row r="145" spans="1:15" ht="15" customHeight="1">
      <c r="A145" s="139"/>
      <c r="B145" s="139"/>
      <c r="C145" s="144" t="s">
        <v>861</v>
      </c>
      <c r="D145" s="258" t="s">
        <v>222</v>
      </c>
      <c r="E145" s="169"/>
      <c r="F145" s="644"/>
      <c r="G145" s="286">
        <v>1500</v>
      </c>
      <c r="H145" s="286">
        <v>0</v>
      </c>
      <c r="I145" s="286">
        <v>1500</v>
      </c>
      <c r="J145" s="185"/>
      <c r="K145" s="185"/>
      <c r="L145" s="408">
        <f t="shared" si="8"/>
        <v>0</v>
      </c>
      <c r="M145" s="182">
        <f t="shared" si="11"/>
        <v>1500</v>
      </c>
      <c r="N145" s="182">
        <f t="shared" si="12"/>
        <v>0</v>
      </c>
      <c r="O145" s="182">
        <f t="shared" si="10"/>
        <v>1500</v>
      </c>
    </row>
    <row r="146" spans="1:15" ht="15" customHeight="1">
      <c r="A146" s="139"/>
      <c r="B146" s="139"/>
      <c r="C146" s="144" t="s">
        <v>862</v>
      </c>
      <c r="D146" s="432" t="s">
        <v>223</v>
      </c>
      <c r="E146" s="169"/>
      <c r="F146" s="644"/>
      <c r="G146" s="286">
        <v>19606</v>
      </c>
      <c r="H146" s="286">
        <v>0</v>
      </c>
      <c r="I146" s="286">
        <v>19606</v>
      </c>
      <c r="J146" s="185"/>
      <c r="K146" s="185"/>
      <c r="L146" s="408">
        <f t="shared" si="8"/>
        <v>0</v>
      </c>
      <c r="M146" s="182">
        <f t="shared" si="11"/>
        <v>19606</v>
      </c>
      <c r="N146" s="182">
        <f t="shared" si="12"/>
        <v>0</v>
      </c>
      <c r="O146" s="182">
        <f t="shared" si="10"/>
        <v>19606</v>
      </c>
    </row>
    <row r="147" spans="1:15" ht="15" customHeight="1">
      <c r="A147" s="139"/>
      <c r="B147" s="139"/>
      <c r="C147" s="144" t="s">
        <v>863</v>
      </c>
      <c r="D147" s="459" t="s">
        <v>224</v>
      </c>
      <c r="E147" s="169"/>
      <c r="F147" s="644" t="s">
        <v>933</v>
      </c>
      <c r="G147" s="286">
        <v>23149</v>
      </c>
      <c r="H147" s="286">
        <v>0</v>
      </c>
      <c r="I147" s="286">
        <v>23149</v>
      </c>
      <c r="J147" s="185">
        <v>-875</v>
      </c>
      <c r="K147" s="185"/>
      <c r="L147" s="408">
        <f t="shared" si="8"/>
        <v>-875</v>
      </c>
      <c r="M147" s="182">
        <f t="shared" si="11"/>
        <v>22274</v>
      </c>
      <c r="N147" s="182">
        <f t="shared" si="12"/>
        <v>0</v>
      </c>
      <c r="O147" s="182">
        <f t="shared" si="10"/>
        <v>22274</v>
      </c>
    </row>
    <row r="148" spans="1:15" ht="15" customHeight="1">
      <c r="A148" s="139"/>
      <c r="B148" s="139"/>
      <c r="C148" s="144" t="s">
        <v>864</v>
      </c>
      <c r="D148" s="460" t="s">
        <v>1083</v>
      </c>
      <c r="E148" s="169"/>
      <c r="F148" s="644" t="s">
        <v>1023</v>
      </c>
      <c r="G148" s="286">
        <v>15000</v>
      </c>
      <c r="H148" s="286">
        <v>0</v>
      </c>
      <c r="I148" s="286">
        <v>15000</v>
      </c>
      <c r="J148" s="185">
        <v>-13600</v>
      </c>
      <c r="K148" s="185"/>
      <c r="L148" s="408">
        <f t="shared" si="8"/>
        <v>-13600</v>
      </c>
      <c r="M148" s="182">
        <f t="shared" si="11"/>
        <v>1400</v>
      </c>
      <c r="N148" s="182">
        <f t="shared" si="12"/>
        <v>0</v>
      </c>
      <c r="O148" s="182">
        <f t="shared" si="10"/>
        <v>1400</v>
      </c>
    </row>
    <row r="149" spans="1:15" ht="24.75" customHeight="1">
      <c r="A149" s="139"/>
      <c r="B149" s="139"/>
      <c r="C149" s="144" t="s">
        <v>865</v>
      </c>
      <c r="D149" s="460" t="s">
        <v>225</v>
      </c>
      <c r="E149" s="169"/>
      <c r="F149" s="644"/>
      <c r="G149" s="286">
        <v>0</v>
      </c>
      <c r="H149" s="286">
        <v>0</v>
      </c>
      <c r="I149" s="286">
        <v>0</v>
      </c>
      <c r="J149" s="185"/>
      <c r="K149" s="185"/>
      <c r="L149" s="408">
        <f t="shared" si="8"/>
        <v>0</v>
      </c>
      <c r="M149" s="182">
        <f t="shared" si="11"/>
        <v>0</v>
      </c>
      <c r="N149" s="182">
        <f t="shared" si="12"/>
        <v>0</v>
      </c>
      <c r="O149" s="182">
        <f t="shared" si="10"/>
        <v>0</v>
      </c>
    </row>
    <row r="150" spans="1:15" ht="15" customHeight="1">
      <c r="A150" s="139"/>
      <c r="B150" s="139"/>
      <c r="C150" s="144" t="s">
        <v>866</v>
      </c>
      <c r="D150" s="457" t="s">
        <v>226</v>
      </c>
      <c r="E150" s="169"/>
      <c r="F150" s="644" t="s">
        <v>547</v>
      </c>
      <c r="G150" s="286">
        <v>20000</v>
      </c>
      <c r="H150" s="286">
        <v>0</v>
      </c>
      <c r="I150" s="286">
        <v>20000</v>
      </c>
      <c r="J150" s="185">
        <v>10000</v>
      </c>
      <c r="K150" s="185"/>
      <c r="L150" s="408">
        <f t="shared" si="8"/>
        <v>10000</v>
      </c>
      <c r="M150" s="182">
        <f t="shared" si="11"/>
        <v>30000</v>
      </c>
      <c r="N150" s="182">
        <f t="shared" si="12"/>
        <v>0</v>
      </c>
      <c r="O150" s="182">
        <f t="shared" si="10"/>
        <v>30000</v>
      </c>
    </row>
    <row r="151" spans="1:15" ht="15" customHeight="1">
      <c r="A151" s="139"/>
      <c r="B151" s="139"/>
      <c r="C151" s="144" t="s">
        <v>867</v>
      </c>
      <c r="D151" s="457" t="s">
        <v>227</v>
      </c>
      <c r="E151" s="169"/>
      <c r="F151" s="644"/>
      <c r="G151" s="286">
        <v>500</v>
      </c>
      <c r="H151" s="286">
        <v>0</v>
      </c>
      <c r="I151" s="286">
        <v>500</v>
      </c>
      <c r="J151" s="185"/>
      <c r="K151" s="185"/>
      <c r="L151" s="408">
        <f t="shared" si="8"/>
        <v>0</v>
      </c>
      <c r="M151" s="182">
        <f t="shared" si="11"/>
        <v>500</v>
      </c>
      <c r="N151" s="182">
        <f t="shared" si="12"/>
        <v>0</v>
      </c>
      <c r="O151" s="182">
        <f t="shared" si="10"/>
        <v>500</v>
      </c>
    </row>
    <row r="152" spans="1:15" ht="15" customHeight="1">
      <c r="A152" s="139"/>
      <c r="B152" s="139"/>
      <c r="C152" s="144" t="s">
        <v>868</v>
      </c>
      <c r="D152" s="461" t="s">
        <v>228</v>
      </c>
      <c r="E152" s="169" t="s">
        <v>456</v>
      </c>
      <c r="F152" s="644" t="s">
        <v>547</v>
      </c>
      <c r="G152" s="286">
        <v>315000</v>
      </c>
      <c r="H152" s="286">
        <v>0</v>
      </c>
      <c r="I152" s="286">
        <v>315000</v>
      </c>
      <c r="J152" s="185">
        <v>790</v>
      </c>
      <c r="K152" s="185"/>
      <c r="L152" s="408">
        <f t="shared" si="8"/>
        <v>790</v>
      </c>
      <c r="M152" s="182">
        <f t="shared" si="11"/>
        <v>315790</v>
      </c>
      <c r="N152" s="182">
        <f t="shared" si="12"/>
        <v>0</v>
      </c>
      <c r="O152" s="182">
        <f t="shared" si="10"/>
        <v>315790</v>
      </c>
    </row>
    <row r="153" spans="1:15" ht="15" customHeight="1">
      <c r="A153" s="139"/>
      <c r="B153" s="139"/>
      <c r="C153" s="145"/>
      <c r="D153" s="243" t="s">
        <v>151</v>
      </c>
      <c r="E153" s="167"/>
      <c r="F153" s="644"/>
      <c r="G153" s="286">
        <v>0</v>
      </c>
      <c r="H153" s="286">
        <v>0</v>
      </c>
      <c r="I153" s="286">
        <v>0</v>
      </c>
      <c r="J153" s="185"/>
      <c r="K153" s="185"/>
      <c r="L153" s="408">
        <f t="shared" si="8"/>
        <v>0</v>
      </c>
      <c r="M153" s="182">
        <f t="shared" si="11"/>
        <v>0</v>
      </c>
      <c r="N153" s="182">
        <f t="shared" si="12"/>
        <v>0</v>
      </c>
      <c r="O153" s="182">
        <f t="shared" si="10"/>
        <v>0</v>
      </c>
    </row>
    <row r="154" spans="1:15" ht="24.75" customHeight="1">
      <c r="A154" s="139"/>
      <c r="B154" s="139"/>
      <c r="C154" s="145" t="s">
        <v>668</v>
      </c>
      <c r="D154" s="460" t="s">
        <v>318</v>
      </c>
      <c r="E154" s="187" t="s">
        <v>456</v>
      </c>
      <c r="F154" s="655"/>
      <c r="G154" s="286">
        <v>168644</v>
      </c>
      <c r="H154" s="286">
        <v>0</v>
      </c>
      <c r="I154" s="286">
        <v>168644</v>
      </c>
      <c r="J154" s="185"/>
      <c r="K154" s="185"/>
      <c r="L154" s="408">
        <f t="shared" si="8"/>
        <v>0</v>
      </c>
      <c r="M154" s="182">
        <f t="shared" si="11"/>
        <v>168644</v>
      </c>
      <c r="N154" s="182">
        <f t="shared" si="12"/>
        <v>0</v>
      </c>
      <c r="O154" s="182">
        <f t="shared" si="10"/>
        <v>168644</v>
      </c>
    </row>
    <row r="155" spans="1:15" ht="15" customHeight="1">
      <c r="A155" s="139"/>
      <c r="B155" s="139"/>
      <c r="C155" s="260" t="s">
        <v>670</v>
      </c>
      <c r="D155" s="259" t="s">
        <v>1082</v>
      </c>
      <c r="E155" s="187"/>
      <c r="F155" s="655"/>
      <c r="G155" s="286">
        <v>7000</v>
      </c>
      <c r="H155" s="286">
        <v>0</v>
      </c>
      <c r="I155" s="286">
        <v>7000</v>
      </c>
      <c r="J155" s="185"/>
      <c r="K155" s="185"/>
      <c r="L155" s="408">
        <f t="shared" si="8"/>
        <v>0</v>
      </c>
      <c r="M155" s="182">
        <f t="shared" si="11"/>
        <v>7000</v>
      </c>
      <c r="N155" s="182">
        <f t="shared" si="12"/>
        <v>0</v>
      </c>
      <c r="O155" s="182">
        <f t="shared" si="10"/>
        <v>7000</v>
      </c>
    </row>
    <row r="156" spans="1:15" ht="15" customHeight="1">
      <c r="A156" s="139"/>
      <c r="B156" s="139"/>
      <c r="C156" s="260" t="s">
        <v>676</v>
      </c>
      <c r="D156" s="258" t="s">
        <v>319</v>
      </c>
      <c r="E156" s="187"/>
      <c r="F156" s="655"/>
      <c r="G156" s="286">
        <v>441</v>
      </c>
      <c r="H156" s="286">
        <v>0</v>
      </c>
      <c r="I156" s="286">
        <v>441</v>
      </c>
      <c r="J156" s="185"/>
      <c r="K156" s="185"/>
      <c r="L156" s="408">
        <f t="shared" si="8"/>
        <v>0</v>
      </c>
      <c r="M156" s="182">
        <f t="shared" si="11"/>
        <v>441</v>
      </c>
      <c r="N156" s="182">
        <f t="shared" si="12"/>
        <v>0</v>
      </c>
      <c r="O156" s="182">
        <f t="shared" si="10"/>
        <v>441</v>
      </c>
    </row>
    <row r="157" spans="1:15" ht="15" customHeight="1">
      <c r="A157" s="139"/>
      <c r="B157" s="139"/>
      <c r="C157" s="260" t="s">
        <v>677</v>
      </c>
      <c r="D157" s="462" t="s">
        <v>88</v>
      </c>
      <c r="E157" s="187"/>
      <c r="F157" s="655"/>
      <c r="G157" s="286">
        <v>21000</v>
      </c>
      <c r="H157" s="286">
        <v>0</v>
      </c>
      <c r="I157" s="286">
        <v>21000</v>
      </c>
      <c r="J157" s="185"/>
      <c r="K157" s="185"/>
      <c r="L157" s="408">
        <f t="shared" si="8"/>
        <v>0</v>
      </c>
      <c r="M157" s="182">
        <f t="shared" si="11"/>
        <v>21000</v>
      </c>
      <c r="N157" s="182">
        <f t="shared" si="12"/>
        <v>0</v>
      </c>
      <c r="O157" s="182">
        <f t="shared" si="10"/>
        <v>21000</v>
      </c>
    </row>
    <row r="158" spans="1:15" ht="15" customHeight="1">
      <c r="A158" s="139"/>
      <c r="B158" s="139"/>
      <c r="C158" s="260" t="s">
        <v>678</v>
      </c>
      <c r="D158" s="257" t="s">
        <v>1050</v>
      </c>
      <c r="E158" s="187"/>
      <c r="F158" s="656"/>
      <c r="G158" s="286">
        <v>6850</v>
      </c>
      <c r="H158" s="286">
        <v>0</v>
      </c>
      <c r="I158" s="286">
        <v>6850</v>
      </c>
      <c r="J158" s="185"/>
      <c r="K158" s="185"/>
      <c r="L158" s="408">
        <f aca="true" t="shared" si="13" ref="L158:L237">SUM(J158:K158)</f>
        <v>0</v>
      </c>
      <c r="M158" s="182">
        <f t="shared" si="11"/>
        <v>6850</v>
      </c>
      <c r="N158" s="182">
        <f t="shared" si="12"/>
        <v>0</v>
      </c>
      <c r="O158" s="182">
        <f t="shared" si="10"/>
        <v>6850</v>
      </c>
    </row>
    <row r="159" spans="1:15" ht="24.75" customHeight="1">
      <c r="A159" s="139"/>
      <c r="B159" s="139"/>
      <c r="C159" s="260" t="s">
        <v>679</v>
      </c>
      <c r="D159" s="463" t="s">
        <v>524</v>
      </c>
      <c r="E159" s="187"/>
      <c r="F159" s="655"/>
      <c r="G159" s="286">
        <v>7775</v>
      </c>
      <c r="H159" s="286">
        <v>0</v>
      </c>
      <c r="I159" s="286">
        <v>7775</v>
      </c>
      <c r="J159" s="185"/>
      <c r="K159" s="185"/>
      <c r="L159" s="408">
        <f t="shared" si="13"/>
        <v>0</v>
      </c>
      <c r="M159" s="182">
        <f t="shared" si="11"/>
        <v>7775</v>
      </c>
      <c r="N159" s="182">
        <f t="shared" si="12"/>
        <v>0</v>
      </c>
      <c r="O159" s="182">
        <f t="shared" si="10"/>
        <v>7775</v>
      </c>
    </row>
    <row r="160" spans="1:15" ht="15" customHeight="1">
      <c r="A160" s="139"/>
      <c r="B160" s="139"/>
      <c r="C160" s="260" t="s">
        <v>680</v>
      </c>
      <c r="D160" s="463" t="s">
        <v>90</v>
      </c>
      <c r="E160" s="187"/>
      <c r="F160" s="655"/>
      <c r="G160" s="286">
        <v>2480</v>
      </c>
      <c r="H160" s="286">
        <v>0</v>
      </c>
      <c r="I160" s="286">
        <v>2480</v>
      </c>
      <c r="J160" s="185"/>
      <c r="K160" s="185"/>
      <c r="L160" s="408">
        <f t="shared" si="13"/>
        <v>0</v>
      </c>
      <c r="M160" s="182">
        <f t="shared" si="11"/>
        <v>2480</v>
      </c>
      <c r="N160" s="182">
        <f t="shared" si="12"/>
        <v>0</v>
      </c>
      <c r="O160" s="182">
        <f t="shared" si="10"/>
        <v>2480</v>
      </c>
    </row>
    <row r="161" spans="1:15" ht="15" customHeight="1">
      <c r="A161" s="139"/>
      <c r="B161" s="139"/>
      <c r="C161" s="260" t="s">
        <v>681</v>
      </c>
      <c r="D161" s="463" t="s">
        <v>535</v>
      </c>
      <c r="E161" s="187"/>
      <c r="F161" s="655"/>
      <c r="G161" s="286">
        <v>1824</v>
      </c>
      <c r="H161" s="286">
        <v>0</v>
      </c>
      <c r="I161" s="286">
        <v>1824</v>
      </c>
      <c r="J161" s="185"/>
      <c r="K161" s="185"/>
      <c r="L161" s="408">
        <f t="shared" si="13"/>
        <v>0</v>
      </c>
      <c r="M161" s="182">
        <f t="shared" si="11"/>
        <v>1824</v>
      </c>
      <c r="N161" s="182">
        <f t="shared" si="12"/>
        <v>0</v>
      </c>
      <c r="O161" s="182">
        <f t="shared" si="10"/>
        <v>1824</v>
      </c>
    </row>
    <row r="162" spans="1:15" ht="15" customHeight="1">
      <c r="A162" s="139"/>
      <c r="B162" s="139"/>
      <c r="C162" s="260" t="s">
        <v>875</v>
      </c>
      <c r="D162" s="230" t="s">
        <v>537</v>
      </c>
      <c r="E162" s="187"/>
      <c r="F162" s="655"/>
      <c r="G162" s="286">
        <v>13681</v>
      </c>
      <c r="H162" s="286">
        <v>0</v>
      </c>
      <c r="I162" s="286">
        <v>13681</v>
      </c>
      <c r="J162" s="185"/>
      <c r="K162" s="185"/>
      <c r="L162" s="408">
        <f t="shared" si="13"/>
        <v>0</v>
      </c>
      <c r="M162" s="182">
        <f t="shared" si="11"/>
        <v>13681</v>
      </c>
      <c r="N162" s="182">
        <f t="shared" si="12"/>
        <v>0</v>
      </c>
      <c r="O162" s="182">
        <f t="shared" si="10"/>
        <v>13681</v>
      </c>
    </row>
    <row r="163" spans="1:15" ht="13.5" customHeight="1">
      <c r="A163" s="139"/>
      <c r="B163" s="139"/>
      <c r="C163" s="139" t="s">
        <v>851</v>
      </c>
      <c r="D163" s="168" t="s">
        <v>704</v>
      </c>
      <c r="E163" s="187"/>
      <c r="F163" s="655"/>
      <c r="G163" s="286">
        <v>0</v>
      </c>
      <c r="H163" s="286">
        <v>0</v>
      </c>
      <c r="I163" s="286">
        <v>0</v>
      </c>
      <c r="J163" s="185"/>
      <c r="K163" s="185"/>
      <c r="L163" s="408">
        <f t="shared" si="13"/>
        <v>0</v>
      </c>
      <c r="M163" s="182">
        <f t="shared" si="11"/>
        <v>0</v>
      </c>
      <c r="N163" s="182">
        <f t="shared" si="12"/>
        <v>0</v>
      </c>
      <c r="O163" s="182">
        <f t="shared" si="10"/>
        <v>0</v>
      </c>
    </row>
    <row r="164" spans="1:15" ht="13.5" customHeight="1">
      <c r="A164" s="139"/>
      <c r="B164" s="139"/>
      <c r="C164" s="144" t="s">
        <v>871</v>
      </c>
      <c r="D164" s="464" t="s">
        <v>320</v>
      </c>
      <c r="E164" s="225"/>
      <c r="F164" s="648"/>
      <c r="G164" s="286">
        <v>900</v>
      </c>
      <c r="H164" s="286">
        <v>0</v>
      </c>
      <c r="I164" s="286">
        <v>900</v>
      </c>
      <c r="J164" s="182"/>
      <c r="K164" s="182"/>
      <c r="L164" s="408">
        <f t="shared" si="13"/>
        <v>0</v>
      </c>
      <c r="M164" s="182">
        <f t="shared" si="11"/>
        <v>900</v>
      </c>
      <c r="N164" s="182">
        <f t="shared" si="12"/>
        <v>0</v>
      </c>
      <c r="O164" s="182">
        <f t="shared" si="10"/>
        <v>900</v>
      </c>
    </row>
    <row r="165" spans="1:15" ht="13.5" customHeight="1">
      <c r="A165" s="139"/>
      <c r="B165" s="139"/>
      <c r="C165" s="144" t="s">
        <v>872</v>
      </c>
      <c r="D165" s="166" t="s">
        <v>538</v>
      </c>
      <c r="E165" s="225"/>
      <c r="F165" s="648"/>
      <c r="G165" s="286">
        <v>2720</v>
      </c>
      <c r="H165" s="286">
        <v>0</v>
      </c>
      <c r="I165" s="286">
        <v>2720</v>
      </c>
      <c r="J165" s="182"/>
      <c r="K165" s="182"/>
      <c r="L165" s="408">
        <f t="shared" si="13"/>
        <v>0</v>
      </c>
      <c r="M165" s="182">
        <f t="shared" si="11"/>
        <v>2720</v>
      </c>
      <c r="N165" s="182">
        <f t="shared" si="12"/>
        <v>0</v>
      </c>
      <c r="O165" s="182">
        <f t="shared" si="10"/>
        <v>2720</v>
      </c>
    </row>
    <row r="166" spans="1:15" ht="13.5" customHeight="1">
      <c r="A166" s="139"/>
      <c r="B166" s="139"/>
      <c r="C166" s="144" t="s">
        <v>873</v>
      </c>
      <c r="D166" s="759" t="s">
        <v>587</v>
      </c>
      <c r="E166" s="225"/>
      <c r="F166" s="648" t="s">
        <v>933</v>
      </c>
      <c r="G166" s="286"/>
      <c r="H166" s="286"/>
      <c r="I166" s="286"/>
      <c r="J166" s="182">
        <v>1000</v>
      </c>
      <c r="K166" s="182"/>
      <c r="L166" s="408">
        <f t="shared" si="13"/>
        <v>1000</v>
      </c>
      <c r="M166" s="182">
        <f t="shared" si="11"/>
        <v>1000</v>
      </c>
      <c r="N166" s="182"/>
      <c r="O166" s="182">
        <f t="shared" si="10"/>
        <v>1000</v>
      </c>
    </row>
    <row r="167" spans="1:15" ht="13.5" customHeight="1">
      <c r="A167" s="139"/>
      <c r="B167" s="139"/>
      <c r="C167" s="144" t="s">
        <v>874</v>
      </c>
      <c r="D167" s="759" t="s">
        <v>296</v>
      </c>
      <c r="E167" s="225"/>
      <c r="F167" s="648" t="s">
        <v>547</v>
      </c>
      <c r="G167" s="286"/>
      <c r="H167" s="286"/>
      <c r="I167" s="286"/>
      <c r="J167" s="182">
        <v>2500</v>
      </c>
      <c r="K167" s="182"/>
      <c r="L167" s="408">
        <f t="shared" si="13"/>
        <v>2500</v>
      </c>
      <c r="M167" s="182">
        <f t="shared" si="11"/>
        <v>2500</v>
      </c>
      <c r="N167" s="182"/>
      <c r="O167" s="182">
        <f t="shared" si="10"/>
        <v>2500</v>
      </c>
    </row>
    <row r="168" spans="1:15" ht="12.75" customHeight="1">
      <c r="A168" s="139"/>
      <c r="B168" s="139"/>
      <c r="C168" s="139" t="s">
        <v>852</v>
      </c>
      <c r="D168" s="168" t="s">
        <v>705</v>
      </c>
      <c r="E168" s="169"/>
      <c r="F168" s="644"/>
      <c r="G168" s="286">
        <v>0</v>
      </c>
      <c r="H168" s="286">
        <v>0</v>
      </c>
      <c r="I168" s="286">
        <v>0</v>
      </c>
      <c r="J168" s="185"/>
      <c r="K168" s="185"/>
      <c r="L168" s="408">
        <f t="shared" si="13"/>
        <v>0</v>
      </c>
      <c r="M168" s="182">
        <f t="shared" si="11"/>
        <v>0</v>
      </c>
      <c r="N168" s="182">
        <f t="shared" si="12"/>
        <v>0</v>
      </c>
      <c r="O168" s="182">
        <f t="shared" si="10"/>
        <v>0</v>
      </c>
    </row>
    <row r="169" spans="1:15" ht="12.75" customHeight="1">
      <c r="A169" s="139"/>
      <c r="B169" s="139"/>
      <c r="C169" s="144" t="s">
        <v>878</v>
      </c>
      <c r="D169" s="166" t="s">
        <v>682</v>
      </c>
      <c r="E169" s="187"/>
      <c r="F169" s="656" t="s">
        <v>547</v>
      </c>
      <c r="G169" s="286">
        <v>15535</v>
      </c>
      <c r="H169" s="286">
        <v>0</v>
      </c>
      <c r="I169" s="286">
        <v>15535</v>
      </c>
      <c r="J169" s="185">
        <v>-7000</v>
      </c>
      <c r="K169" s="185"/>
      <c r="L169" s="408">
        <f t="shared" si="13"/>
        <v>-7000</v>
      </c>
      <c r="M169" s="182">
        <f t="shared" si="11"/>
        <v>8535</v>
      </c>
      <c r="N169" s="182">
        <f t="shared" si="12"/>
        <v>0</v>
      </c>
      <c r="O169" s="182">
        <f t="shared" si="10"/>
        <v>8535</v>
      </c>
    </row>
    <row r="170" spans="1:15" ht="12.75" customHeight="1">
      <c r="A170" s="139"/>
      <c r="B170" s="139"/>
      <c r="C170" s="760" t="s">
        <v>297</v>
      </c>
      <c r="D170" s="759" t="s">
        <v>298</v>
      </c>
      <c r="E170" s="187"/>
      <c r="F170" s="656" t="s">
        <v>547</v>
      </c>
      <c r="G170" s="286"/>
      <c r="H170" s="286"/>
      <c r="I170" s="286"/>
      <c r="J170" s="185">
        <v>1000</v>
      </c>
      <c r="K170" s="185"/>
      <c r="L170" s="408">
        <f t="shared" si="13"/>
        <v>1000</v>
      </c>
      <c r="M170" s="182">
        <f t="shared" si="11"/>
        <v>1000</v>
      </c>
      <c r="N170" s="182"/>
      <c r="O170" s="182">
        <f t="shared" si="10"/>
        <v>1000</v>
      </c>
    </row>
    <row r="171" spans="1:15" ht="24.75" customHeight="1">
      <c r="A171" s="139"/>
      <c r="B171" s="139"/>
      <c r="C171" s="760" t="s">
        <v>302</v>
      </c>
      <c r="D171" s="761" t="s">
        <v>299</v>
      </c>
      <c r="E171" s="187"/>
      <c r="F171" s="656" t="s">
        <v>547</v>
      </c>
      <c r="G171" s="286"/>
      <c r="H171" s="286"/>
      <c r="I171" s="286"/>
      <c r="J171" s="185">
        <v>1500</v>
      </c>
      <c r="K171" s="185"/>
      <c r="L171" s="408">
        <f t="shared" si="13"/>
        <v>1500</v>
      </c>
      <c r="M171" s="182">
        <f t="shared" si="11"/>
        <v>1500</v>
      </c>
      <c r="N171" s="182"/>
      <c r="O171" s="182">
        <f t="shared" si="10"/>
        <v>1500</v>
      </c>
    </row>
    <row r="172" spans="1:15" ht="12.75" customHeight="1">
      <c r="A172" s="139"/>
      <c r="B172" s="139"/>
      <c r="C172" s="760" t="s">
        <v>303</v>
      </c>
      <c r="D172" s="759" t="s">
        <v>300</v>
      </c>
      <c r="E172" s="187"/>
      <c r="F172" s="656" t="s">
        <v>547</v>
      </c>
      <c r="G172" s="286"/>
      <c r="H172" s="286"/>
      <c r="I172" s="286"/>
      <c r="J172" s="185">
        <v>2000</v>
      </c>
      <c r="K172" s="185"/>
      <c r="L172" s="408">
        <f t="shared" si="13"/>
        <v>2000</v>
      </c>
      <c r="M172" s="182">
        <f t="shared" si="11"/>
        <v>2000</v>
      </c>
      <c r="N172" s="182"/>
      <c r="O172" s="182">
        <f t="shared" si="10"/>
        <v>2000</v>
      </c>
    </row>
    <row r="173" spans="1:15" ht="12.75" customHeight="1">
      <c r="A173" s="139"/>
      <c r="B173" s="139"/>
      <c r="C173" s="760" t="s">
        <v>304</v>
      </c>
      <c r="D173" s="759" t="s">
        <v>301</v>
      </c>
      <c r="E173" s="187"/>
      <c r="F173" s="656" t="s">
        <v>547</v>
      </c>
      <c r="G173" s="286"/>
      <c r="H173" s="286"/>
      <c r="I173" s="286"/>
      <c r="J173" s="185">
        <v>2500</v>
      </c>
      <c r="K173" s="185"/>
      <c r="L173" s="408">
        <f t="shared" si="13"/>
        <v>2500</v>
      </c>
      <c r="M173" s="182">
        <f t="shared" si="11"/>
        <v>2500</v>
      </c>
      <c r="N173" s="182"/>
      <c r="O173" s="182">
        <f t="shared" si="10"/>
        <v>2500</v>
      </c>
    </row>
    <row r="174" spans="1:15" ht="12.75" customHeight="1">
      <c r="A174" s="139"/>
      <c r="B174" s="139"/>
      <c r="C174" s="144"/>
      <c r="D174" s="243" t="s">
        <v>321</v>
      </c>
      <c r="E174" s="187"/>
      <c r="F174" s="655"/>
      <c r="G174" s="286">
        <v>0</v>
      </c>
      <c r="H174" s="286">
        <v>0</v>
      </c>
      <c r="I174" s="286">
        <v>0</v>
      </c>
      <c r="J174" s="185"/>
      <c r="K174" s="185"/>
      <c r="L174" s="408">
        <f t="shared" si="13"/>
        <v>0</v>
      </c>
      <c r="M174" s="182">
        <f t="shared" si="11"/>
        <v>0</v>
      </c>
      <c r="N174" s="182">
        <f t="shared" si="12"/>
        <v>0</v>
      </c>
      <c r="O174" s="182">
        <f t="shared" si="10"/>
        <v>0</v>
      </c>
    </row>
    <row r="175" spans="1:15" ht="15" customHeight="1">
      <c r="A175" s="139"/>
      <c r="B175" s="139"/>
      <c r="C175" s="144" t="s">
        <v>683</v>
      </c>
      <c r="D175" s="229" t="s">
        <v>91</v>
      </c>
      <c r="E175" s="187"/>
      <c r="F175" s="655"/>
      <c r="G175" s="286">
        <v>950</v>
      </c>
      <c r="H175" s="286">
        <v>0</v>
      </c>
      <c r="I175" s="286">
        <v>950</v>
      </c>
      <c r="J175" s="185"/>
      <c r="K175" s="185"/>
      <c r="L175" s="408">
        <f t="shared" si="13"/>
        <v>0</v>
      </c>
      <c r="M175" s="182">
        <f t="shared" si="11"/>
        <v>950</v>
      </c>
      <c r="N175" s="182">
        <f t="shared" si="12"/>
        <v>0</v>
      </c>
      <c r="O175" s="182">
        <f t="shared" si="10"/>
        <v>950</v>
      </c>
    </row>
    <row r="176" spans="1:15" ht="15" customHeight="1">
      <c r="A176" s="139"/>
      <c r="B176" s="139"/>
      <c r="C176" s="144" t="s">
        <v>451</v>
      </c>
      <c r="D176" s="166" t="s">
        <v>923</v>
      </c>
      <c r="E176" s="187"/>
      <c r="F176" s="655"/>
      <c r="G176" s="286">
        <v>126</v>
      </c>
      <c r="H176" s="286">
        <v>0</v>
      </c>
      <c r="I176" s="286">
        <v>126</v>
      </c>
      <c r="J176" s="185"/>
      <c r="K176" s="185"/>
      <c r="L176" s="408">
        <f t="shared" si="13"/>
        <v>0</v>
      </c>
      <c r="M176" s="182">
        <f t="shared" si="11"/>
        <v>126</v>
      </c>
      <c r="N176" s="182">
        <f t="shared" si="12"/>
        <v>0</v>
      </c>
      <c r="O176" s="182">
        <f t="shared" si="10"/>
        <v>126</v>
      </c>
    </row>
    <row r="177" spans="1:15" ht="12.75" customHeight="1">
      <c r="A177" s="139"/>
      <c r="B177" s="139"/>
      <c r="C177" s="144" t="s">
        <v>879</v>
      </c>
      <c r="D177" s="258" t="s">
        <v>322</v>
      </c>
      <c r="E177" s="187"/>
      <c r="F177" s="656" t="s">
        <v>933</v>
      </c>
      <c r="G177" s="286">
        <v>35466</v>
      </c>
      <c r="H177" s="286">
        <v>0</v>
      </c>
      <c r="I177" s="286">
        <v>35466</v>
      </c>
      <c r="J177" s="185">
        <v>-1832</v>
      </c>
      <c r="K177" s="185"/>
      <c r="L177" s="408">
        <f t="shared" si="13"/>
        <v>-1832</v>
      </c>
      <c r="M177" s="182">
        <f t="shared" si="11"/>
        <v>33634</v>
      </c>
      <c r="N177" s="182">
        <f t="shared" si="12"/>
        <v>0</v>
      </c>
      <c r="O177" s="182">
        <f t="shared" si="10"/>
        <v>33634</v>
      </c>
    </row>
    <row r="178" spans="1:15" ht="12.75" customHeight="1">
      <c r="A178" s="139"/>
      <c r="B178" s="139"/>
      <c r="C178" s="144" t="s">
        <v>880</v>
      </c>
      <c r="D178" s="258" t="s">
        <v>323</v>
      </c>
      <c r="E178" s="187"/>
      <c r="F178" s="656" t="s">
        <v>547</v>
      </c>
      <c r="G178" s="286">
        <v>20591</v>
      </c>
      <c r="H178" s="286">
        <v>0</v>
      </c>
      <c r="I178" s="286">
        <v>20591</v>
      </c>
      <c r="J178" s="185">
        <v>4452</v>
      </c>
      <c r="K178" s="185"/>
      <c r="L178" s="408">
        <f t="shared" si="13"/>
        <v>4452</v>
      </c>
      <c r="M178" s="182">
        <f t="shared" si="11"/>
        <v>25043</v>
      </c>
      <c r="N178" s="182">
        <f t="shared" si="12"/>
        <v>0</v>
      </c>
      <c r="O178" s="182">
        <f t="shared" si="10"/>
        <v>25043</v>
      </c>
    </row>
    <row r="179" spans="1:15" ht="15" customHeight="1">
      <c r="A179" s="139"/>
      <c r="B179" s="139"/>
      <c r="C179" s="144" t="s">
        <v>577</v>
      </c>
      <c r="D179" s="230" t="s">
        <v>539</v>
      </c>
      <c r="E179" s="187"/>
      <c r="F179" s="656"/>
      <c r="G179" s="286">
        <v>0</v>
      </c>
      <c r="H179" s="286">
        <v>17500</v>
      </c>
      <c r="I179" s="286">
        <v>17500</v>
      </c>
      <c r="J179" s="185"/>
      <c r="K179" s="185"/>
      <c r="L179" s="408">
        <f t="shared" si="13"/>
        <v>0</v>
      </c>
      <c r="M179" s="182">
        <f t="shared" si="11"/>
        <v>0</v>
      </c>
      <c r="N179" s="182">
        <f t="shared" si="12"/>
        <v>17500</v>
      </c>
      <c r="O179" s="182">
        <f t="shared" si="10"/>
        <v>17500</v>
      </c>
    </row>
    <row r="180" spans="1:15" ht="12.75" customHeight="1">
      <c r="A180" s="139"/>
      <c r="B180" s="139"/>
      <c r="C180" s="144" t="s">
        <v>578</v>
      </c>
      <c r="D180" s="230" t="s">
        <v>324</v>
      </c>
      <c r="E180" s="187"/>
      <c r="F180" s="656"/>
      <c r="G180" s="286">
        <v>1100</v>
      </c>
      <c r="H180" s="286">
        <v>0</v>
      </c>
      <c r="I180" s="286">
        <v>1100</v>
      </c>
      <c r="J180" s="185"/>
      <c r="K180" s="185"/>
      <c r="L180" s="408">
        <f t="shared" si="13"/>
        <v>0</v>
      </c>
      <c r="M180" s="182">
        <f t="shared" si="11"/>
        <v>1100</v>
      </c>
      <c r="N180" s="182">
        <f t="shared" si="12"/>
        <v>0</v>
      </c>
      <c r="O180" s="182">
        <f t="shared" si="10"/>
        <v>1100</v>
      </c>
    </row>
    <row r="181" spans="1:15" ht="15" customHeight="1">
      <c r="A181" s="139"/>
      <c r="B181" s="139"/>
      <c r="C181" s="144" t="s">
        <v>684</v>
      </c>
      <c r="D181" s="229" t="s">
        <v>325</v>
      </c>
      <c r="E181" s="187"/>
      <c r="F181" s="655"/>
      <c r="G181" s="286">
        <v>22000</v>
      </c>
      <c r="H181" s="286">
        <v>0</v>
      </c>
      <c r="I181" s="286">
        <v>22000</v>
      </c>
      <c r="J181" s="185"/>
      <c r="K181" s="185"/>
      <c r="L181" s="408">
        <f t="shared" si="13"/>
        <v>0</v>
      </c>
      <c r="M181" s="182">
        <f t="shared" si="11"/>
        <v>22000</v>
      </c>
      <c r="N181" s="182">
        <f t="shared" si="12"/>
        <v>0</v>
      </c>
      <c r="O181" s="182">
        <f t="shared" si="10"/>
        <v>22000</v>
      </c>
    </row>
    <row r="182" spans="1:15" ht="12.75" customHeight="1">
      <c r="A182" s="139"/>
      <c r="B182" s="139"/>
      <c r="C182" s="144" t="s">
        <v>685</v>
      </c>
      <c r="D182" s="230" t="s">
        <v>326</v>
      </c>
      <c r="E182" s="187"/>
      <c r="F182" s="655"/>
      <c r="G182" s="286">
        <v>3000</v>
      </c>
      <c r="H182" s="286">
        <v>0</v>
      </c>
      <c r="I182" s="286">
        <v>3000</v>
      </c>
      <c r="J182" s="185"/>
      <c r="K182" s="185"/>
      <c r="L182" s="408">
        <f t="shared" si="13"/>
        <v>0</v>
      </c>
      <c r="M182" s="182">
        <f t="shared" si="11"/>
        <v>3000</v>
      </c>
      <c r="N182" s="182">
        <f t="shared" si="12"/>
        <v>0</v>
      </c>
      <c r="O182" s="182">
        <f t="shared" si="10"/>
        <v>3000</v>
      </c>
    </row>
    <row r="183" spans="1:15" ht="12.75" customHeight="1">
      <c r="A183" s="139"/>
      <c r="B183" s="139"/>
      <c r="C183" s="144" t="s">
        <v>596</v>
      </c>
      <c r="D183" s="465" t="s">
        <v>327</v>
      </c>
      <c r="E183" s="187"/>
      <c r="F183" s="656"/>
      <c r="G183" s="286">
        <v>25000</v>
      </c>
      <c r="H183" s="286">
        <v>0</v>
      </c>
      <c r="I183" s="286">
        <v>25000</v>
      </c>
      <c r="J183" s="185"/>
      <c r="K183" s="185"/>
      <c r="L183" s="408">
        <f t="shared" si="13"/>
        <v>0</v>
      </c>
      <c r="M183" s="182">
        <f t="shared" si="11"/>
        <v>25000</v>
      </c>
      <c r="N183" s="182">
        <f t="shared" si="12"/>
        <v>0</v>
      </c>
      <c r="O183" s="182">
        <f t="shared" si="10"/>
        <v>25000</v>
      </c>
    </row>
    <row r="184" spans="1:15" ht="12.75" customHeight="1">
      <c r="A184" s="139"/>
      <c r="B184" s="139"/>
      <c r="C184" s="144" t="s">
        <v>633</v>
      </c>
      <c r="D184" s="230" t="s">
        <v>328</v>
      </c>
      <c r="E184" s="187"/>
      <c r="F184" s="655"/>
      <c r="G184" s="286">
        <v>5000</v>
      </c>
      <c r="H184" s="286">
        <v>0</v>
      </c>
      <c r="I184" s="286">
        <v>5000</v>
      </c>
      <c r="J184" s="185"/>
      <c r="K184" s="185"/>
      <c r="L184" s="408">
        <f t="shared" si="13"/>
        <v>0</v>
      </c>
      <c r="M184" s="182">
        <f t="shared" si="11"/>
        <v>5000</v>
      </c>
      <c r="N184" s="182">
        <f t="shared" si="12"/>
        <v>0</v>
      </c>
      <c r="O184" s="182">
        <f t="shared" si="10"/>
        <v>5000</v>
      </c>
    </row>
    <row r="185" spans="1:15" ht="12.75" customHeight="1">
      <c r="A185" s="139"/>
      <c r="B185" s="139"/>
      <c r="C185" s="144" t="s">
        <v>329</v>
      </c>
      <c r="D185" s="466" t="s">
        <v>330</v>
      </c>
      <c r="E185" s="187"/>
      <c r="F185" s="655"/>
      <c r="G185" s="286">
        <v>1500</v>
      </c>
      <c r="H185" s="286">
        <v>0</v>
      </c>
      <c r="I185" s="286">
        <v>1500</v>
      </c>
      <c r="J185" s="185"/>
      <c r="K185" s="185"/>
      <c r="L185" s="408">
        <f t="shared" si="13"/>
        <v>0</v>
      </c>
      <c r="M185" s="182">
        <f t="shared" si="11"/>
        <v>1500</v>
      </c>
      <c r="N185" s="182">
        <f t="shared" si="12"/>
        <v>0</v>
      </c>
      <c r="O185" s="182">
        <f t="shared" si="10"/>
        <v>1500</v>
      </c>
    </row>
    <row r="186" spans="1:15" ht="12.75" customHeight="1">
      <c r="A186" s="139"/>
      <c r="B186" s="139"/>
      <c r="C186" s="144" t="s">
        <v>331</v>
      </c>
      <c r="D186" s="413" t="s">
        <v>333</v>
      </c>
      <c r="E186" s="187"/>
      <c r="F186" s="655"/>
      <c r="G186" s="286">
        <v>12000</v>
      </c>
      <c r="H186" s="286">
        <v>0</v>
      </c>
      <c r="I186" s="286">
        <v>12000</v>
      </c>
      <c r="J186" s="185"/>
      <c r="K186" s="185"/>
      <c r="L186" s="408">
        <f t="shared" si="13"/>
        <v>0</v>
      </c>
      <c r="M186" s="182">
        <f t="shared" si="11"/>
        <v>12000</v>
      </c>
      <c r="N186" s="182">
        <f t="shared" si="12"/>
        <v>0</v>
      </c>
      <c r="O186" s="182">
        <f t="shared" si="10"/>
        <v>12000</v>
      </c>
    </row>
    <row r="187" spans="1:15" ht="12.75" customHeight="1">
      <c r="A187" s="139"/>
      <c r="B187" s="139"/>
      <c r="C187" s="144" t="s">
        <v>334</v>
      </c>
      <c r="D187" s="413" t="s">
        <v>213</v>
      </c>
      <c r="E187" s="187" t="s">
        <v>456</v>
      </c>
      <c r="F187" s="656" t="s">
        <v>547</v>
      </c>
      <c r="G187" s="286">
        <v>31800</v>
      </c>
      <c r="H187" s="286">
        <v>0</v>
      </c>
      <c r="I187" s="286">
        <v>31800</v>
      </c>
      <c r="J187" s="185">
        <v>1500</v>
      </c>
      <c r="K187" s="185"/>
      <c r="L187" s="408">
        <f t="shared" si="13"/>
        <v>1500</v>
      </c>
      <c r="M187" s="182">
        <f t="shared" si="11"/>
        <v>33300</v>
      </c>
      <c r="N187" s="182">
        <f t="shared" si="12"/>
        <v>0</v>
      </c>
      <c r="O187" s="182">
        <f t="shared" si="10"/>
        <v>33300</v>
      </c>
    </row>
    <row r="188" spans="1:15" ht="12.75" customHeight="1">
      <c r="A188" s="139"/>
      <c r="B188" s="139"/>
      <c r="C188" s="144" t="s">
        <v>335</v>
      </c>
      <c r="D188" s="413" t="s">
        <v>336</v>
      </c>
      <c r="E188" s="187"/>
      <c r="F188" s="655"/>
      <c r="G188" s="286">
        <v>0</v>
      </c>
      <c r="H188" s="286">
        <v>51623</v>
      </c>
      <c r="I188" s="286">
        <v>51623</v>
      </c>
      <c r="J188" s="185"/>
      <c r="K188" s="185"/>
      <c r="L188" s="408">
        <f t="shared" si="13"/>
        <v>0</v>
      </c>
      <c r="M188" s="182">
        <f t="shared" si="11"/>
        <v>0</v>
      </c>
      <c r="N188" s="182">
        <f t="shared" si="12"/>
        <v>51623</v>
      </c>
      <c r="O188" s="182">
        <f t="shared" si="10"/>
        <v>51623</v>
      </c>
    </row>
    <row r="189" spans="1:15" ht="24.75" customHeight="1">
      <c r="A189" s="139"/>
      <c r="B189" s="139"/>
      <c r="C189" s="144" t="s">
        <v>337</v>
      </c>
      <c r="D189" s="409" t="s">
        <v>338</v>
      </c>
      <c r="E189" s="187" t="s">
        <v>456</v>
      </c>
      <c r="F189" s="655"/>
      <c r="G189" s="286">
        <v>75000</v>
      </c>
      <c r="H189" s="286">
        <v>0</v>
      </c>
      <c r="I189" s="286">
        <v>75000</v>
      </c>
      <c r="J189" s="185"/>
      <c r="K189" s="185"/>
      <c r="L189" s="408">
        <f t="shared" si="13"/>
        <v>0</v>
      </c>
      <c r="M189" s="182">
        <f t="shared" si="11"/>
        <v>75000</v>
      </c>
      <c r="N189" s="182">
        <f t="shared" si="12"/>
        <v>0</v>
      </c>
      <c r="O189" s="182">
        <f t="shared" si="10"/>
        <v>75000</v>
      </c>
    </row>
    <row r="190" spans="1:15" ht="24.75" customHeight="1">
      <c r="A190" s="139"/>
      <c r="B190" s="139"/>
      <c r="C190" s="144" t="s">
        <v>339</v>
      </c>
      <c r="D190" s="409" t="s">
        <v>340</v>
      </c>
      <c r="E190" s="187" t="s">
        <v>456</v>
      </c>
      <c r="F190" s="655"/>
      <c r="G190" s="286">
        <v>60000</v>
      </c>
      <c r="H190" s="286">
        <v>0</v>
      </c>
      <c r="I190" s="286">
        <v>60000</v>
      </c>
      <c r="J190" s="185"/>
      <c r="K190" s="185"/>
      <c r="L190" s="408">
        <f t="shared" si="13"/>
        <v>0</v>
      </c>
      <c r="M190" s="182">
        <f t="shared" si="11"/>
        <v>60000</v>
      </c>
      <c r="N190" s="182">
        <f t="shared" si="12"/>
        <v>0</v>
      </c>
      <c r="O190" s="182">
        <f t="shared" si="10"/>
        <v>60000</v>
      </c>
    </row>
    <row r="191" spans="1:15" ht="24.75" customHeight="1">
      <c r="A191" s="139"/>
      <c r="B191" s="139"/>
      <c r="C191" s="144" t="s">
        <v>341</v>
      </c>
      <c r="D191" s="409" t="s">
        <v>342</v>
      </c>
      <c r="E191" s="187"/>
      <c r="F191" s="655"/>
      <c r="G191" s="286">
        <v>15000</v>
      </c>
      <c r="H191" s="286">
        <v>0</v>
      </c>
      <c r="I191" s="286">
        <v>15000</v>
      </c>
      <c r="J191" s="185"/>
      <c r="K191" s="185"/>
      <c r="L191" s="408">
        <f t="shared" si="13"/>
        <v>0</v>
      </c>
      <c r="M191" s="182">
        <f t="shared" si="11"/>
        <v>15000</v>
      </c>
      <c r="N191" s="182">
        <f t="shared" si="12"/>
        <v>0</v>
      </c>
      <c r="O191" s="182">
        <f aca="true" t="shared" si="14" ref="O191:O247">SUM(M191:N191)</f>
        <v>15000</v>
      </c>
    </row>
    <row r="192" spans="1:15" ht="15" customHeight="1">
      <c r="A192" s="139"/>
      <c r="B192" s="139"/>
      <c r="C192" s="144" t="s">
        <v>343</v>
      </c>
      <c r="D192" s="409" t="s">
        <v>344</v>
      </c>
      <c r="E192" s="187"/>
      <c r="F192" s="655"/>
      <c r="G192" s="286">
        <v>9700</v>
      </c>
      <c r="H192" s="286">
        <v>0</v>
      </c>
      <c r="I192" s="286">
        <v>9700</v>
      </c>
      <c r="J192" s="185"/>
      <c r="K192" s="185"/>
      <c r="L192" s="408">
        <f t="shared" si="13"/>
        <v>0</v>
      </c>
      <c r="M192" s="182">
        <f t="shared" si="11"/>
        <v>9700</v>
      </c>
      <c r="N192" s="182">
        <f t="shared" si="12"/>
        <v>0</v>
      </c>
      <c r="O192" s="182">
        <f t="shared" si="14"/>
        <v>9700</v>
      </c>
    </row>
    <row r="193" spans="1:15" ht="24.75" customHeight="1">
      <c r="A193" s="139"/>
      <c r="B193" s="139"/>
      <c r="C193" s="288" t="s">
        <v>957</v>
      </c>
      <c r="D193" s="229" t="s">
        <v>958</v>
      </c>
      <c r="E193" s="187"/>
      <c r="F193" s="656"/>
      <c r="G193" s="181">
        <v>261239</v>
      </c>
      <c r="H193" s="181"/>
      <c r="I193" s="181">
        <v>261239</v>
      </c>
      <c r="J193" s="185"/>
      <c r="K193" s="185"/>
      <c r="L193" s="408">
        <f t="shared" si="13"/>
        <v>0</v>
      </c>
      <c r="M193" s="182">
        <f t="shared" si="11"/>
        <v>261239</v>
      </c>
      <c r="N193" s="182"/>
      <c r="O193" s="182">
        <f t="shared" si="14"/>
        <v>261239</v>
      </c>
    </row>
    <row r="194" spans="1:15" ht="24.75" customHeight="1">
      <c r="A194" s="139"/>
      <c r="B194" s="139"/>
      <c r="C194" s="288" t="s">
        <v>959</v>
      </c>
      <c r="D194" s="229" t="s">
        <v>960</v>
      </c>
      <c r="E194" s="187"/>
      <c r="F194" s="644"/>
      <c r="G194" s="181">
        <v>342265</v>
      </c>
      <c r="H194" s="181"/>
      <c r="I194" s="181">
        <v>342265</v>
      </c>
      <c r="J194" s="185"/>
      <c r="K194" s="185"/>
      <c r="L194" s="408">
        <f t="shared" si="13"/>
        <v>0</v>
      </c>
      <c r="M194" s="182">
        <f>SUM(G194+J194)</f>
        <v>342265</v>
      </c>
      <c r="N194" s="182"/>
      <c r="O194" s="182">
        <f t="shared" si="14"/>
        <v>342265</v>
      </c>
    </row>
    <row r="195" spans="1:15" ht="24.75" customHeight="1">
      <c r="A195" s="139"/>
      <c r="B195" s="139"/>
      <c r="C195" s="288" t="s">
        <v>502</v>
      </c>
      <c r="D195" s="636" t="s">
        <v>503</v>
      </c>
      <c r="E195" s="187"/>
      <c r="F195" s="644" t="s">
        <v>547</v>
      </c>
      <c r="G195" s="181">
        <v>299169</v>
      </c>
      <c r="H195" s="181"/>
      <c r="I195" s="181">
        <v>299169</v>
      </c>
      <c r="J195" s="185">
        <v>10033</v>
      </c>
      <c r="K195" s="185"/>
      <c r="L195" s="408">
        <f t="shared" si="13"/>
        <v>10033</v>
      </c>
      <c r="M195" s="182">
        <f>SUM(G195+J195)</f>
        <v>309202</v>
      </c>
      <c r="N195" s="182"/>
      <c r="O195" s="182">
        <f t="shared" si="14"/>
        <v>309202</v>
      </c>
    </row>
    <row r="196" spans="1:15" ht="24.75" customHeight="1">
      <c r="A196" s="139"/>
      <c r="B196" s="139"/>
      <c r="C196" s="288" t="s">
        <v>589</v>
      </c>
      <c r="D196" s="762" t="s">
        <v>590</v>
      </c>
      <c r="E196" s="187"/>
      <c r="F196" s="644" t="s">
        <v>933</v>
      </c>
      <c r="G196" s="181"/>
      <c r="H196" s="181"/>
      <c r="I196" s="181"/>
      <c r="J196" s="185">
        <v>39694</v>
      </c>
      <c r="K196" s="185"/>
      <c r="L196" s="408">
        <f t="shared" si="13"/>
        <v>39694</v>
      </c>
      <c r="M196" s="182">
        <f>SUM(G196+J196)</f>
        <v>39694</v>
      </c>
      <c r="N196" s="182"/>
      <c r="O196" s="182">
        <f t="shared" si="14"/>
        <v>39694</v>
      </c>
    </row>
    <row r="197" spans="1:15" ht="24.75" customHeight="1">
      <c r="A197" s="139"/>
      <c r="B197" s="139"/>
      <c r="C197" s="763" t="s">
        <v>270</v>
      </c>
      <c r="D197" s="764" t="s">
        <v>271</v>
      </c>
      <c r="E197" s="187"/>
      <c r="F197" s="644" t="s">
        <v>547</v>
      </c>
      <c r="G197" s="181"/>
      <c r="H197" s="181"/>
      <c r="I197" s="181"/>
      <c r="J197" s="185">
        <v>649018</v>
      </c>
      <c r="K197" s="185"/>
      <c r="L197" s="408">
        <f t="shared" si="13"/>
        <v>649018</v>
      </c>
      <c r="M197" s="182">
        <f>SUM(G197+J197)</f>
        <v>649018</v>
      </c>
      <c r="N197" s="182"/>
      <c r="O197" s="182">
        <f t="shared" si="14"/>
        <v>649018</v>
      </c>
    </row>
    <row r="198" spans="1:15" ht="15" customHeight="1">
      <c r="A198" s="139"/>
      <c r="B198" s="139"/>
      <c r="C198" s="763" t="s">
        <v>291</v>
      </c>
      <c r="D198" s="765" t="s">
        <v>292</v>
      </c>
      <c r="E198" s="187"/>
      <c r="F198" s="644" t="s">
        <v>547</v>
      </c>
      <c r="G198" s="181"/>
      <c r="H198" s="181"/>
      <c r="I198" s="181"/>
      <c r="J198" s="185">
        <v>54000</v>
      </c>
      <c r="K198" s="185"/>
      <c r="L198" s="408">
        <f t="shared" si="13"/>
        <v>54000</v>
      </c>
      <c r="M198" s="182">
        <f>SUM(G198+J198)</f>
        <v>54000</v>
      </c>
      <c r="N198" s="182"/>
      <c r="O198" s="182">
        <f t="shared" si="14"/>
        <v>54000</v>
      </c>
    </row>
    <row r="199" spans="1:15" ht="12.75" customHeight="1">
      <c r="A199" s="139"/>
      <c r="B199" s="139"/>
      <c r="C199" s="144"/>
      <c r="D199" s="243" t="s">
        <v>151</v>
      </c>
      <c r="E199" s="187"/>
      <c r="F199" s="655"/>
      <c r="G199" s="286">
        <v>0</v>
      </c>
      <c r="H199" s="286">
        <v>0</v>
      </c>
      <c r="I199" s="286">
        <v>0</v>
      </c>
      <c r="J199" s="185"/>
      <c r="K199" s="185"/>
      <c r="L199" s="408">
        <f t="shared" si="13"/>
        <v>0</v>
      </c>
      <c r="M199" s="182">
        <f aca="true" t="shared" si="15" ref="M199:M246">SUM(G199+J199)</f>
        <v>0</v>
      </c>
      <c r="N199" s="182">
        <f aca="true" t="shared" si="16" ref="N199:N246">SUM(H199+K199)</f>
        <v>0</v>
      </c>
      <c r="O199" s="182">
        <f t="shared" si="14"/>
        <v>0</v>
      </c>
    </row>
    <row r="200" spans="1:15" ht="15" customHeight="1">
      <c r="A200" s="139"/>
      <c r="B200" s="139"/>
      <c r="C200" s="144" t="s">
        <v>686</v>
      </c>
      <c r="D200" s="166" t="s">
        <v>543</v>
      </c>
      <c r="E200" s="187" t="s">
        <v>456</v>
      </c>
      <c r="F200" s="655"/>
      <c r="G200" s="286">
        <v>149113</v>
      </c>
      <c r="H200" s="286">
        <v>0</v>
      </c>
      <c r="I200" s="286">
        <v>149113</v>
      </c>
      <c r="J200" s="185"/>
      <c r="K200" s="185"/>
      <c r="L200" s="408">
        <f t="shared" si="13"/>
        <v>0</v>
      </c>
      <c r="M200" s="182">
        <f t="shared" si="15"/>
        <v>149113</v>
      </c>
      <c r="N200" s="182">
        <f t="shared" si="16"/>
        <v>0</v>
      </c>
      <c r="O200" s="182">
        <f t="shared" si="14"/>
        <v>149113</v>
      </c>
    </row>
    <row r="201" spans="1:15" ht="15" customHeight="1">
      <c r="A201" s="139"/>
      <c r="B201" s="139"/>
      <c r="C201" s="144" t="s">
        <v>687</v>
      </c>
      <c r="D201" s="261" t="s">
        <v>345</v>
      </c>
      <c r="E201" s="187" t="s">
        <v>456</v>
      </c>
      <c r="F201" s="655"/>
      <c r="G201" s="286">
        <v>9453</v>
      </c>
      <c r="H201" s="286">
        <v>0</v>
      </c>
      <c r="I201" s="286">
        <v>9453</v>
      </c>
      <c r="J201" s="185"/>
      <c r="K201" s="185"/>
      <c r="L201" s="408">
        <f t="shared" si="13"/>
        <v>0</v>
      </c>
      <c r="M201" s="182">
        <f t="shared" si="15"/>
        <v>9453</v>
      </c>
      <c r="N201" s="182">
        <f t="shared" si="16"/>
        <v>0</v>
      </c>
      <c r="O201" s="182">
        <f t="shared" si="14"/>
        <v>9453</v>
      </c>
    </row>
    <row r="202" spans="1:15" ht="15" customHeight="1">
      <c r="A202" s="139"/>
      <c r="B202" s="139"/>
      <c r="C202" s="144" t="s">
        <v>688</v>
      </c>
      <c r="D202" s="467" t="s">
        <v>701</v>
      </c>
      <c r="E202" s="187"/>
      <c r="F202" s="655"/>
      <c r="G202" s="286">
        <v>5000</v>
      </c>
      <c r="H202" s="286">
        <v>0</v>
      </c>
      <c r="I202" s="286">
        <v>5000</v>
      </c>
      <c r="J202" s="185"/>
      <c r="K202" s="185"/>
      <c r="L202" s="408">
        <f t="shared" si="13"/>
        <v>0</v>
      </c>
      <c r="M202" s="182">
        <f t="shared" si="15"/>
        <v>5000</v>
      </c>
      <c r="N202" s="182">
        <f t="shared" si="16"/>
        <v>0</v>
      </c>
      <c r="O202" s="182">
        <f t="shared" si="14"/>
        <v>5000</v>
      </c>
    </row>
    <row r="203" spans="1:15" ht="15" customHeight="1">
      <c r="A203" s="139"/>
      <c r="B203" s="139"/>
      <c r="C203" s="144" t="s">
        <v>689</v>
      </c>
      <c r="D203" s="282" t="s">
        <v>346</v>
      </c>
      <c r="E203" s="187"/>
      <c r="F203" s="655" t="s">
        <v>547</v>
      </c>
      <c r="G203" s="286">
        <v>10033</v>
      </c>
      <c r="H203" s="286">
        <v>0</v>
      </c>
      <c r="I203" s="286">
        <v>10033</v>
      </c>
      <c r="J203" s="185">
        <v>-10033</v>
      </c>
      <c r="K203" s="185"/>
      <c r="L203" s="408">
        <f t="shared" si="13"/>
        <v>-10033</v>
      </c>
      <c r="M203" s="182">
        <f t="shared" si="15"/>
        <v>0</v>
      </c>
      <c r="N203" s="182">
        <f t="shared" si="16"/>
        <v>0</v>
      </c>
      <c r="O203" s="182">
        <f t="shared" si="14"/>
        <v>0</v>
      </c>
    </row>
    <row r="204" spans="1:15" ht="15" customHeight="1">
      <c r="A204" s="139"/>
      <c r="B204" s="139"/>
      <c r="C204" s="144" t="s">
        <v>690</v>
      </c>
      <c r="D204" s="244" t="s">
        <v>541</v>
      </c>
      <c r="E204" s="187"/>
      <c r="F204" s="656"/>
      <c r="G204" s="286">
        <v>29818</v>
      </c>
      <c r="H204" s="286">
        <v>0</v>
      </c>
      <c r="I204" s="286">
        <v>29818</v>
      </c>
      <c r="J204" s="185"/>
      <c r="K204" s="185"/>
      <c r="L204" s="408">
        <f t="shared" si="13"/>
        <v>0</v>
      </c>
      <c r="M204" s="182">
        <f t="shared" si="15"/>
        <v>29818</v>
      </c>
      <c r="N204" s="182">
        <f t="shared" si="16"/>
        <v>0</v>
      </c>
      <c r="O204" s="182">
        <f t="shared" si="14"/>
        <v>29818</v>
      </c>
    </row>
    <row r="205" spans="1:15" ht="15" customHeight="1">
      <c r="A205" s="139"/>
      <c r="B205" s="139"/>
      <c r="C205" s="144" t="s">
        <v>691</v>
      </c>
      <c r="D205" s="262" t="s">
        <v>92</v>
      </c>
      <c r="E205" s="187"/>
      <c r="F205" s="655"/>
      <c r="G205" s="286">
        <v>9000</v>
      </c>
      <c r="H205" s="286">
        <v>0</v>
      </c>
      <c r="I205" s="286">
        <v>9000</v>
      </c>
      <c r="J205" s="185"/>
      <c r="K205" s="185"/>
      <c r="L205" s="408">
        <f t="shared" si="13"/>
        <v>0</v>
      </c>
      <c r="M205" s="182">
        <f t="shared" si="15"/>
        <v>9000</v>
      </c>
      <c r="N205" s="182">
        <f t="shared" si="16"/>
        <v>0</v>
      </c>
      <c r="O205" s="182">
        <f t="shared" si="14"/>
        <v>9000</v>
      </c>
    </row>
    <row r="206" spans="1:15" ht="15" customHeight="1">
      <c r="A206" s="139"/>
      <c r="B206" s="139"/>
      <c r="C206" s="139" t="s">
        <v>881</v>
      </c>
      <c r="D206" s="168" t="s">
        <v>692</v>
      </c>
      <c r="E206" s="225"/>
      <c r="F206" s="648"/>
      <c r="G206" s="286"/>
      <c r="H206" s="286"/>
      <c r="I206" s="286"/>
      <c r="J206" s="182"/>
      <c r="K206" s="182"/>
      <c r="L206" s="408"/>
      <c r="M206" s="182"/>
      <c r="N206" s="182"/>
      <c r="O206" s="182"/>
    </row>
    <row r="207" spans="1:15" ht="36" customHeight="1">
      <c r="A207" s="139"/>
      <c r="B207" s="139"/>
      <c r="C207" s="144" t="s">
        <v>504</v>
      </c>
      <c r="D207" s="636" t="s">
        <v>505</v>
      </c>
      <c r="E207" s="225"/>
      <c r="F207" s="648"/>
      <c r="G207" s="286">
        <v>758846</v>
      </c>
      <c r="H207" s="286"/>
      <c r="I207" s="286">
        <v>758846</v>
      </c>
      <c r="J207" s="182"/>
      <c r="K207" s="182"/>
      <c r="L207" s="408">
        <f t="shared" si="13"/>
        <v>0</v>
      </c>
      <c r="M207" s="182">
        <f t="shared" si="15"/>
        <v>758846</v>
      </c>
      <c r="N207" s="182"/>
      <c r="O207" s="182">
        <f t="shared" si="14"/>
        <v>758846</v>
      </c>
    </row>
    <row r="208" spans="1:15" ht="33.75" customHeight="1">
      <c r="A208" s="139"/>
      <c r="B208" s="139"/>
      <c r="C208" s="766" t="s">
        <v>288</v>
      </c>
      <c r="D208" s="813" t="s">
        <v>289</v>
      </c>
      <c r="E208" s="225"/>
      <c r="F208" s="648" t="s">
        <v>547</v>
      </c>
      <c r="G208" s="286"/>
      <c r="H208" s="286"/>
      <c r="I208" s="286"/>
      <c r="J208" s="182">
        <v>25000</v>
      </c>
      <c r="K208" s="182"/>
      <c r="L208" s="408">
        <f t="shared" si="13"/>
        <v>25000</v>
      </c>
      <c r="M208" s="182">
        <f t="shared" si="15"/>
        <v>25000</v>
      </c>
      <c r="N208" s="182"/>
      <c r="O208" s="182">
        <f t="shared" si="14"/>
        <v>25000</v>
      </c>
    </row>
    <row r="209" spans="1:15" ht="15" customHeight="1">
      <c r="A209" s="139"/>
      <c r="B209" s="139"/>
      <c r="C209" s="144"/>
      <c r="D209" s="243" t="s">
        <v>151</v>
      </c>
      <c r="E209" s="225"/>
      <c r="F209" s="648"/>
      <c r="G209" s="286">
        <v>0</v>
      </c>
      <c r="H209" s="286">
        <v>0</v>
      </c>
      <c r="I209" s="286">
        <v>0</v>
      </c>
      <c r="J209" s="182"/>
      <c r="K209" s="182"/>
      <c r="L209" s="408">
        <f t="shared" si="13"/>
        <v>0</v>
      </c>
      <c r="M209" s="182">
        <f t="shared" si="15"/>
        <v>0</v>
      </c>
      <c r="N209" s="182">
        <f t="shared" si="16"/>
        <v>0</v>
      </c>
      <c r="O209" s="182">
        <f t="shared" si="14"/>
        <v>0</v>
      </c>
    </row>
    <row r="210" spans="1:15" ht="24.75" customHeight="1">
      <c r="A210" s="139"/>
      <c r="B210" s="139"/>
      <c r="C210" s="144" t="s">
        <v>93</v>
      </c>
      <c r="D210" s="170" t="s">
        <v>94</v>
      </c>
      <c r="E210" s="225"/>
      <c r="F210" s="648"/>
      <c r="G210" s="286">
        <v>16103</v>
      </c>
      <c r="H210" s="286">
        <v>0</v>
      </c>
      <c r="I210" s="286">
        <v>16103</v>
      </c>
      <c r="J210" s="182"/>
      <c r="K210" s="182"/>
      <c r="L210" s="408">
        <f t="shared" si="13"/>
        <v>0</v>
      </c>
      <c r="M210" s="182">
        <f t="shared" si="15"/>
        <v>16103</v>
      </c>
      <c r="N210" s="182">
        <f t="shared" si="16"/>
        <v>0</v>
      </c>
      <c r="O210" s="182">
        <f t="shared" si="14"/>
        <v>16103</v>
      </c>
    </row>
    <row r="211" spans="1:15" ht="13.5">
      <c r="A211" s="139"/>
      <c r="B211" s="139"/>
      <c r="C211" s="139" t="s">
        <v>884</v>
      </c>
      <c r="D211" s="168" t="s">
        <v>885</v>
      </c>
      <c r="E211" s="169"/>
      <c r="F211" s="644"/>
      <c r="G211" s="286">
        <v>0</v>
      </c>
      <c r="H211" s="286">
        <v>0</v>
      </c>
      <c r="I211" s="286">
        <v>0</v>
      </c>
      <c r="J211" s="185"/>
      <c r="K211" s="185"/>
      <c r="L211" s="408">
        <f t="shared" si="13"/>
        <v>0</v>
      </c>
      <c r="M211" s="182">
        <f t="shared" si="15"/>
        <v>0</v>
      </c>
      <c r="N211" s="182">
        <f t="shared" si="16"/>
        <v>0</v>
      </c>
      <c r="O211" s="182">
        <f t="shared" si="14"/>
        <v>0</v>
      </c>
    </row>
    <row r="212" spans="1:15" ht="13.5">
      <c r="A212" s="139"/>
      <c r="B212" s="139"/>
      <c r="C212" s="144" t="s">
        <v>886</v>
      </c>
      <c r="D212" s="166" t="s">
        <v>693</v>
      </c>
      <c r="E212" s="167"/>
      <c r="F212" s="644" t="s">
        <v>933</v>
      </c>
      <c r="G212" s="286">
        <v>5511</v>
      </c>
      <c r="H212" s="286">
        <v>0</v>
      </c>
      <c r="I212" s="286">
        <v>5511</v>
      </c>
      <c r="J212" s="185">
        <v>123</v>
      </c>
      <c r="K212" s="185"/>
      <c r="L212" s="408">
        <f t="shared" si="13"/>
        <v>123</v>
      </c>
      <c r="M212" s="182">
        <f t="shared" si="15"/>
        <v>5634</v>
      </c>
      <c r="N212" s="182">
        <f t="shared" si="16"/>
        <v>0</v>
      </c>
      <c r="O212" s="182">
        <f t="shared" si="14"/>
        <v>5634</v>
      </c>
    </row>
    <row r="213" spans="1:15" ht="13.5">
      <c r="A213" s="139"/>
      <c r="B213" s="139"/>
      <c r="C213" s="144" t="s">
        <v>887</v>
      </c>
      <c r="D213" s="449" t="s">
        <v>347</v>
      </c>
      <c r="E213" s="167"/>
      <c r="F213" s="644"/>
      <c r="G213" s="286">
        <v>17025</v>
      </c>
      <c r="H213" s="286">
        <v>0</v>
      </c>
      <c r="I213" s="286">
        <v>17025</v>
      </c>
      <c r="J213" s="185"/>
      <c r="K213" s="185"/>
      <c r="L213" s="408">
        <f t="shared" si="13"/>
        <v>0</v>
      </c>
      <c r="M213" s="182">
        <f t="shared" si="15"/>
        <v>17025</v>
      </c>
      <c r="N213" s="182">
        <f t="shared" si="16"/>
        <v>0</v>
      </c>
      <c r="O213" s="182">
        <f t="shared" si="14"/>
        <v>17025</v>
      </c>
    </row>
    <row r="214" spans="1:15" ht="13.5">
      <c r="A214" s="139"/>
      <c r="B214" s="139"/>
      <c r="C214" s="144" t="s">
        <v>888</v>
      </c>
      <c r="D214" s="413" t="s">
        <v>348</v>
      </c>
      <c r="E214" s="167"/>
      <c r="F214" s="644"/>
      <c r="G214" s="286">
        <v>2000</v>
      </c>
      <c r="H214" s="286">
        <v>0</v>
      </c>
      <c r="I214" s="286">
        <v>2000</v>
      </c>
      <c r="J214" s="185"/>
      <c r="K214" s="185"/>
      <c r="L214" s="408">
        <f t="shared" si="13"/>
        <v>0</v>
      </c>
      <c r="M214" s="182">
        <f t="shared" si="15"/>
        <v>2000</v>
      </c>
      <c r="N214" s="182">
        <f t="shared" si="16"/>
        <v>0</v>
      </c>
      <c r="O214" s="182">
        <f t="shared" si="14"/>
        <v>2000</v>
      </c>
    </row>
    <row r="215" spans="1:15" ht="13.5">
      <c r="A215" s="139"/>
      <c r="B215" s="139"/>
      <c r="C215" s="144" t="s">
        <v>889</v>
      </c>
      <c r="D215" s="230" t="s">
        <v>349</v>
      </c>
      <c r="E215" s="167"/>
      <c r="F215" s="644"/>
      <c r="G215" s="286">
        <v>1000</v>
      </c>
      <c r="H215" s="286">
        <v>0</v>
      </c>
      <c r="I215" s="286">
        <v>1000</v>
      </c>
      <c r="J215" s="185"/>
      <c r="K215" s="185"/>
      <c r="L215" s="408">
        <f t="shared" si="13"/>
        <v>0</v>
      </c>
      <c r="M215" s="182">
        <f t="shared" si="15"/>
        <v>1000</v>
      </c>
      <c r="N215" s="182">
        <f t="shared" si="16"/>
        <v>0</v>
      </c>
      <c r="O215" s="182">
        <f t="shared" si="14"/>
        <v>1000</v>
      </c>
    </row>
    <row r="216" spans="1:15" ht="13.5">
      <c r="A216" s="139"/>
      <c r="B216" s="139"/>
      <c r="C216" s="144" t="s">
        <v>1062</v>
      </c>
      <c r="D216" s="230" t="s">
        <v>506</v>
      </c>
      <c r="E216" s="167"/>
      <c r="F216" s="644"/>
      <c r="G216" s="286">
        <v>807</v>
      </c>
      <c r="H216" s="286"/>
      <c r="I216" s="286">
        <v>807</v>
      </c>
      <c r="J216" s="185"/>
      <c r="K216" s="185"/>
      <c r="L216" s="408">
        <f t="shared" si="13"/>
        <v>0</v>
      </c>
      <c r="M216" s="182">
        <f t="shared" si="15"/>
        <v>807</v>
      </c>
      <c r="N216" s="182"/>
      <c r="O216" s="182">
        <f t="shared" si="14"/>
        <v>807</v>
      </c>
    </row>
    <row r="217" spans="1:15" ht="13.5">
      <c r="A217" s="139"/>
      <c r="B217" s="139"/>
      <c r="C217" s="763" t="s">
        <v>286</v>
      </c>
      <c r="D217" s="759" t="s">
        <v>287</v>
      </c>
      <c r="E217" s="167"/>
      <c r="F217" s="644" t="s">
        <v>547</v>
      </c>
      <c r="G217" s="286"/>
      <c r="H217" s="286"/>
      <c r="I217" s="286"/>
      <c r="J217" s="185">
        <v>1397</v>
      </c>
      <c r="K217" s="185"/>
      <c r="L217" s="408">
        <f t="shared" si="13"/>
        <v>1397</v>
      </c>
      <c r="M217" s="182">
        <f t="shared" si="15"/>
        <v>1397</v>
      </c>
      <c r="N217" s="182"/>
      <c r="O217" s="182">
        <f t="shared" si="14"/>
        <v>1397</v>
      </c>
    </row>
    <row r="218" spans="1:15" ht="13.5">
      <c r="A218" s="139"/>
      <c r="B218" s="139"/>
      <c r="C218" s="144"/>
      <c r="D218" s="243" t="s">
        <v>151</v>
      </c>
      <c r="E218" s="167"/>
      <c r="F218" s="644"/>
      <c r="G218" s="286"/>
      <c r="H218" s="286"/>
      <c r="I218" s="286"/>
      <c r="J218" s="185"/>
      <c r="K218" s="185"/>
      <c r="L218" s="408">
        <f t="shared" si="13"/>
        <v>0</v>
      </c>
      <c r="M218" s="182"/>
      <c r="N218" s="182"/>
      <c r="O218" s="182"/>
    </row>
    <row r="219" spans="1:15" ht="13.5">
      <c r="A219" s="139"/>
      <c r="B219" s="139"/>
      <c r="C219" s="144" t="s">
        <v>694</v>
      </c>
      <c r="D219" s="259" t="s">
        <v>95</v>
      </c>
      <c r="E219" s="167"/>
      <c r="F219" s="644"/>
      <c r="G219" s="286">
        <v>0</v>
      </c>
      <c r="H219" s="286">
        <v>60868</v>
      </c>
      <c r="I219" s="286">
        <v>60868</v>
      </c>
      <c r="J219" s="185"/>
      <c r="K219" s="185"/>
      <c r="L219" s="408">
        <f t="shared" si="13"/>
        <v>0</v>
      </c>
      <c r="M219" s="182">
        <f t="shared" si="15"/>
        <v>0</v>
      </c>
      <c r="N219" s="182">
        <f t="shared" si="16"/>
        <v>60868</v>
      </c>
      <c r="O219" s="182">
        <f t="shared" si="14"/>
        <v>60868</v>
      </c>
    </row>
    <row r="220" spans="1:15" ht="13.5">
      <c r="A220" s="139"/>
      <c r="B220" s="139"/>
      <c r="C220" s="144" t="s">
        <v>542</v>
      </c>
      <c r="D220" s="468" t="s">
        <v>438</v>
      </c>
      <c r="E220" s="167"/>
      <c r="F220" s="644"/>
      <c r="G220" s="286">
        <v>0</v>
      </c>
      <c r="H220" s="286">
        <v>0</v>
      </c>
      <c r="I220" s="286">
        <v>0</v>
      </c>
      <c r="J220" s="185"/>
      <c r="K220" s="185"/>
      <c r="L220" s="408">
        <f t="shared" si="13"/>
        <v>0</v>
      </c>
      <c r="M220" s="182">
        <f t="shared" si="15"/>
        <v>0</v>
      </c>
      <c r="N220" s="182">
        <f t="shared" si="16"/>
        <v>0</v>
      </c>
      <c r="O220" s="182">
        <f t="shared" si="14"/>
        <v>0</v>
      </c>
    </row>
    <row r="221" spans="1:15" ht="13.5">
      <c r="A221" s="469"/>
      <c r="B221" s="469"/>
      <c r="C221" s="423"/>
      <c r="D221" s="424" t="s">
        <v>475</v>
      </c>
      <c r="E221" s="470"/>
      <c r="F221" s="657"/>
      <c r="G221" s="263">
        <f aca="true" t="shared" si="17" ref="G221:N221">SUM(G113:G220)</f>
        <v>3198654</v>
      </c>
      <c r="H221" s="263">
        <f t="shared" si="17"/>
        <v>129991</v>
      </c>
      <c r="I221" s="263">
        <f t="shared" si="17"/>
        <v>3328645</v>
      </c>
      <c r="J221" s="263">
        <f t="shared" si="17"/>
        <v>796167</v>
      </c>
      <c r="K221" s="263">
        <f t="shared" si="17"/>
        <v>0</v>
      </c>
      <c r="L221" s="263">
        <f t="shared" si="17"/>
        <v>796167</v>
      </c>
      <c r="M221" s="263">
        <f t="shared" si="17"/>
        <v>3994821</v>
      </c>
      <c r="N221" s="263">
        <f t="shared" si="17"/>
        <v>129991</v>
      </c>
      <c r="O221" s="264">
        <f t="shared" si="14"/>
        <v>4124812</v>
      </c>
    </row>
    <row r="222" spans="1:15" ht="13.5">
      <c r="A222" s="369">
        <v>1</v>
      </c>
      <c r="B222" s="369">
        <v>17</v>
      </c>
      <c r="C222" s="141"/>
      <c r="D222" s="471" t="s">
        <v>350</v>
      </c>
      <c r="E222" s="236"/>
      <c r="F222" s="643"/>
      <c r="G222" s="286">
        <v>0</v>
      </c>
      <c r="H222" s="286">
        <v>0</v>
      </c>
      <c r="I222" s="286">
        <v>0</v>
      </c>
      <c r="J222" s="186"/>
      <c r="K222" s="186"/>
      <c r="L222" s="408">
        <f t="shared" si="13"/>
        <v>0</v>
      </c>
      <c r="M222" s="182">
        <f t="shared" si="15"/>
        <v>0</v>
      </c>
      <c r="N222" s="182">
        <f t="shared" si="16"/>
        <v>0</v>
      </c>
      <c r="O222" s="182">
        <f t="shared" si="14"/>
        <v>0</v>
      </c>
    </row>
    <row r="223" spans="1:15" ht="15" customHeight="1">
      <c r="A223" s="447"/>
      <c r="B223" s="447"/>
      <c r="C223" s="141" t="s">
        <v>702</v>
      </c>
      <c r="D223" s="170" t="s">
        <v>351</v>
      </c>
      <c r="E223" s="167"/>
      <c r="F223" s="644"/>
      <c r="G223" s="286">
        <v>36800</v>
      </c>
      <c r="H223" s="286">
        <v>0</v>
      </c>
      <c r="I223" s="286">
        <v>36800</v>
      </c>
      <c r="J223" s="185"/>
      <c r="K223" s="185"/>
      <c r="L223" s="408">
        <f t="shared" si="13"/>
        <v>0</v>
      </c>
      <c r="M223" s="182">
        <f t="shared" si="15"/>
        <v>36800</v>
      </c>
      <c r="N223" s="182">
        <f t="shared" si="16"/>
        <v>0</v>
      </c>
      <c r="O223" s="182">
        <f t="shared" si="14"/>
        <v>36800</v>
      </c>
    </row>
    <row r="224" spans="1:15" ht="24.75" customHeight="1">
      <c r="A224" s="447"/>
      <c r="B224" s="447"/>
      <c r="C224" s="141" t="s">
        <v>846</v>
      </c>
      <c r="D224" s="472" t="s">
        <v>352</v>
      </c>
      <c r="E224" s="187"/>
      <c r="F224" s="656"/>
      <c r="G224" s="286">
        <v>23000</v>
      </c>
      <c r="H224" s="286">
        <v>0</v>
      </c>
      <c r="I224" s="286">
        <v>23000</v>
      </c>
      <c r="J224" s="185"/>
      <c r="K224" s="185"/>
      <c r="L224" s="408">
        <f t="shared" si="13"/>
        <v>0</v>
      </c>
      <c r="M224" s="182">
        <f t="shared" si="15"/>
        <v>23000</v>
      </c>
      <c r="N224" s="182">
        <f t="shared" si="16"/>
        <v>0</v>
      </c>
      <c r="O224" s="182">
        <f t="shared" si="14"/>
        <v>23000</v>
      </c>
    </row>
    <row r="225" spans="1:15" ht="15" customHeight="1">
      <c r="A225" s="447"/>
      <c r="B225" s="447"/>
      <c r="C225" s="141" t="s">
        <v>848</v>
      </c>
      <c r="D225" s="767" t="s">
        <v>294</v>
      </c>
      <c r="E225" s="187"/>
      <c r="F225" s="656" t="s">
        <v>547</v>
      </c>
      <c r="G225" s="286"/>
      <c r="H225" s="286"/>
      <c r="I225" s="286"/>
      <c r="J225" s="185"/>
      <c r="K225" s="185">
        <v>200</v>
      </c>
      <c r="L225" s="408">
        <f t="shared" si="13"/>
        <v>200</v>
      </c>
      <c r="M225" s="182"/>
      <c r="N225" s="182">
        <f t="shared" si="16"/>
        <v>200</v>
      </c>
      <c r="O225" s="182">
        <f t="shared" si="14"/>
        <v>200</v>
      </c>
    </row>
    <row r="226" spans="1:15" ht="13.5" customHeight="1">
      <c r="A226" s="447"/>
      <c r="B226" s="447"/>
      <c r="C226" s="141"/>
      <c r="D226" s="243" t="s">
        <v>151</v>
      </c>
      <c r="E226" s="167"/>
      <c r="F226" s="644"/>
      <c r="G226" s="286">
        <v>0</v>
      </c>
      <c r="H226" s="286">
        <v>0</v>
      </c>
      <c r="I226" s="286">
        <v>0</v>
      </c>
      <c r="J226" s="185"/>
      <c r="K226" s="185"/>
      <c r="L226" s="408">
        <f t="shared" si="13"/>
        <v>0</v>
      </c>
      <c r="M226" s="182">
        <f t="shared" si="15"/>
        <v>0</v>
      </c>
      <c r="N226" s="182">
        <f t="shared" si="16"/>
        <v>0</v>
      </c>
      <c r="O226" s="182">
        <f t="shared" si="14"/>
        <v>0</v>
      </c>
    </row>
    <row r="227" spans="1:15" ht="24.75" customHeight="1">
      <c r="A227" s="447"/>
      <c r="B227" s="447"/>
      <c r="C227" s="141" t="s">
        <v>440</v>
      </c>
      <c r="D227" s="170" t="s">
        <v>439</v>
      </c>
      <c r="E227" s="167"/>
      <c r="F227" s="644"/>
      <c r="G227" s="286">
        <v>103818</v>
      </c>
      <c r="H227" s="286">
        <v>0</v>
      </c>
      <c r="I227" s="286">
        <v>103818</v>
      </c>
      <c r="J227" s="185"/>
      <c r="K227" s="185"/>
      <c r="L227" s="408">
        <f t="shared" si="13"/>
        <v>0</v>
      </c>
      <c r="M227" s="182">
        <f t="shared" si="15"/>
        <v>103818</v>
      </c>
      <c r="N227" s="182">
        <f t="shared" si="16"/>
        <v>0</v>
      </c>
      <c r="O227" s="182">
        <f t="shared" si="14"/>
        <v>103818</v>
      </c>
    </row>
    <row r="228" spans="1:15" ht="24.75" customHeight="1">
      <c r="A228" s="447"/>
      <c r="B228" s="447"/>
      <c r="C228" s="141" t="s">
        <v>441</v>
      </c>
      <c r="D228" s="170" t="s">
        <v>546</v>
      </c>
      <c r="E228" s="167"/>
      <c r="F228" s="644"/>
      <c r="G228" s="286">
        <v>23220</v>
      </c>
      <c r="H228" s="286">
        <v>0</v>
      </c>
      <c r="I228" s="286">
        <v>23220</v>
      </c>
      <c r="J228" s="185"/>
      <c r="K228" s="185"/>
      <c r="L228" s="408">
        <f t="shared" si="13"/>
        <v>0</v>
      </c>
      <c r="M228" s="182">
        <f t="shared" si="15"/>
        <v>23220</v>
      </c>
      <c r="N228" s="182">
        <f t="shared" si="16"/>
        <v>0</v>
      </c>
      <c r="O228" s="182">
        <f t="shared" si="14"/>
        <v>23220</v>
      </c>
    </row>
    <row r="229" spans="1:15" ht="24.75" customHeight="1">
      <c r="A229" s="447"/>
      <c r="B229" s="447"/>
      <c r="C229" s="141" t="s">
        <v>442</v>
      </c>
      <c r="D229" s="229" t="s">
        <v>551</v>
      </c>
      <c r="E229" s="167"/>
      <c r="F229" s="644"/>
      <c r="G229" s="286">
        <v>40000</v>
      </c>
      <c r="H229" s="286">
        <v>0</v>
      </c>
      <c r="I229" s="286">
        <v>40000</v>
      </c>
      <c r="J229" s="185"/>
      <c r="K229" s="185"/>
      <c r="L229" s="408">
        <f t="shared" si="13"/>
        <v>0</v>
      </c>
      <c r="M229" s="182">
        <f t="shared" si="15"/>
        <v>40000</v>
      </c>
      <c r="N229" s="182">
        <f t="shared" si="16"/>
        <v>0</v>
      </c>
      <c r="O229" s="182">
        <f t="shared" si="14"/>
        <v>40000</v>
      </c>
    </row>
    <row r="230" spans="1:15" ht="14.25" customHeight="1">
      <c r="A230" s="469"/>
      <c r="B230" s="469"/>
      <c r="C230" s="423"/>
      <c r="D230" s="424" t="s">
        <v>447</v>
      </c>
      <c r="E230" s="470"/>
      <c r="F230" s="657"/>
      <c r="G230" s="263">
        <f>SUM(G223:G229)</f>
        <v>226838</v>
      </c>
      <c r="H230" s="263">
        <f aca="true" t="shared" si="18" ref="H230:N230">SUM(H223:H229)</f>
        <v>0</v>
      </c>
      <c r="I230" s="263">
        <f t="shared" si="18"/>
        <v>226838</v>
      </c>
      <c r="J230" s="263">
        <f t="shared" si="18"/>
        <v>0</v>
      </c>
      <c r="K230" s="263">
        <f t="shared" si="18"/>
        <v>200</v>
      </c>
      <c r="L230" s="263">
        <f t="shared" si="18"/>
        <v>200</v>
      </c>
      <c r="M230" s="263">
        <f t="shared" si="18"/>
        <v>226838</v>
      </c>
      <c r="N230" s="263">
        <f t="shared" si="18"/>
        <v>200</v>
      </c>
      <c r="O230" s="264">
        <f t="shared" si="14"/>
        <v>227038</v>
      </c>
    </row>
    <row r="231" spans="1:15" ht="12" customHeight="1">
      <c r="A231" s="399">
        <v>1</v>
      </c>
      <c r="B231" s="399">
        <v>18</v>
      </c>
      <c r="C231" s="142"/>
      <c r="D231" s="473" t="s">
        <v>353</v>
      </c>
      <c r="E231" s="235"/>
      <c r="F231" s="653"/>
      <c r="G231" s="446"/>
      <c r="H231" s="446"/>
      <c r="I231" s="446"/>
      <c r="J231" s="446"/>
      <c r="K231" s="446"/>
      <c r="L231" s="408">
        <f t="shared" si="13"/>
        <v>0</v>
      </c>
      <c r="M231" s="182">
        <f t="shared" si="15"/>
        <v>0</v>
      </c>
      <c r="N231" s="182">
        <f t="shared" si="16"/>
        <v>0</v>
      </c>
      <c r="O231" s="182">
        <f t="shared" si="14"/>
        <v>0</v>
      </c>
    </row>
    <row r="232" spans="1:15" ht="12" customHeight="1">
      <c r="A232" s="399"/>
      <c r="B232" s="399"/>
      <c r="C232" s="142" t="s">
        <v>702</v>
      </c>
      <c r="D232" s="405" t="s">
        <v>241</v>
      </c>
      <c r="E232" s="225"/>
      <c r="F232" s="648" t="s">
        <v>547</v>
      </c>
      <c r="G232" s="286"/>
      <c r="H232" s="286"/>
      <c r="I232" s="286"/>
      <c r="J232" s="182">
        <v>1383</v>
      </c>
      <c r="K232" s="182"/>
      <c r="L232" s="408">
        <f t="shared" si="13"/>
        <v>1383</v>
      </c>
      <c r="M232" s="182">
        <f t="shared" si="15"/>
        <v>1383</v>
      </c>
      <c r="N232" s="182"/>
      <c r="O232" s="182">
        <f t="shared" si="14"/>
        <v>1383</v>
      </c>
    </row>
    <row r="233" spans="1:15" ht="12" customHeight="1">
      <c r="A233" s="382"/>
      <c r="B233" s="382"/>
      <c r="C233" s="423"/>
      <c r="D233" s="424" t="s">
        <v>354</v>
      </c>
      <c r="E233" s="470"/>
      <c r="F233" s="657"/>
      <c r="G233" s="263">
        <f>SUM(G231:G232)</f>
        <v>0</v>
      </c>
      <c r="H233" s="263">
        <f aca="true" t="shared" si="19" ref="H233:N233">SUM(H231:H232)</f>
        <v>0</v>
      </c>
      <c r="I233" s="263">
        <f t="shared" si="19"/>
        <v>0</v>
      </c>
      <c r="J233" s="263">
        <f t="shared" si="19"/>
        <v>1383</v>
      </c>
      <c r="K233" s="263">
        <f t="shared" si="19"/>
        <v>0</v>
      </c>
      <c r="L233" s="263">
        <f t="shared" si="19"/>
        <v>1383</v>
      </c>
      <c r="M233" s="263">
        <f t="shared" si="19"/>
        <v>1383</v>
      </c>
      <c r="N233" s="263">
        <f t="shared" si="19"/>
        <v>0</v>
      </c>
      <c r="O233" s="264">
        <f t="shared" si="14"/>
        <v>1383</v>
      </c>
    </row>
    <row r="234" spans="1:15" ht="12" customHeight="1">
      <c r="A234" s="369">
        <v>1</v>
      </c>
      <c r="B234" s="369">
        <v>19</v>
      </c>
      <c r="C234" s="141"/>
      <c r="D234" s="471" t="s">
        <v>905</v>
      </c>
      <c r="E234" s="236"/>
      <c r="F234" s="643"/>
      <c r="G234" s="286">
        <v>0</v>
      </c>
      <c r="H234" s="286">
        <v>0</v>
      </c>
      <c r="I234" s="286">
        <v>0</v>
      </c>
      <c r="J234" s="186"/>
      <c r="K234" s="186"/>
      <c r="L234" s="408">
        <f t="shared" si="13"/>
        <v>0</v>
      </c>
      <c r="M234" s="182">
        <f t="shared" si="15"/>
        <v>0</v>
      </c>
      <c r="N234" s="182">
        <f t="shared" si="16"/>
        <v>0</v>
      </c>
      <c r="O234" s="182">
        <f t="shared" si="14"/>
        <v>0</v>
      </c>
    </row>
    <row r="235" spans="1:15" ht="12" customHeight="1">
      <c r="A235" s="369"/>
      <c r="B235" s="369"/>
      <c r="C235" s="141" t="s">
        <v>702</v>
      </c>
      <c r="D235" s="163" t="s">
        <v>355</v>
      </c>
      <c r="E235" s="236"/>
      <c r="F235" s="643"/>
      <c r="G235" s="286">
        <v>0</v>
      </c>
      <c r="H235" s="286">
        <v>3000</v>
      </c>
      <c r="I235" s="286">
        <v>3000</v>
      </c>
      <c r="J235" s="186"/>
      <c r="K235" s="183"/>
      <c r="L235" s="408">
        <f t="shared" si="13"/>
        <v>0</v>
      </c>
      <c r="M235" s="182">
        <f t="shared" si="15"/>
        <v>0</v>
      </c>
      <c r="N235" s="182">
        <f t="shared" si="16"/>
        <v>3000</v>
      </c>
      <c r="O235" s="182">
        <f t="shared" si="14"/>
        <v>3000</v>
      </c>
    </row>
    <row r="236" spans="1:15" ht="12" customHeight="1">
      <c r="A236" s="369"/>
      <c r="B236" s="369"/>
      <c r="C236" s="141"/>
      <c r="D236" s="243" t="s">
        <v>151</v>
      </c>
      <c r="E236" s="236"/>
      <c r="F236" s="643"/>
      <c r="G236" s="286">
        <v>0</v>
      </c>
      <c r="H236" s="286">
        <v>0</v>
      </c>
      <c r="I236" s="286">
        <v>0</v>
      </c>
      <c r="J236" s="183"/>
      <c r="K236" s="183"/>
      <c r="L236" s="408">
        <f t="shared" si="13"/>
        <v>0</v>
      </c>
      <c r="M236" s="182">
        <f t="shared" si="15"/>
        <v>0</v>
      </c>
      <c r="N236" s="182">
        <f t="shared" si="16"/>
        <v>0</v>
      </c>
      <c r="O236" s="182">
        <f t="shared" si="14"/>
        <v>0</v>
      </c>
    </row>
    <row r="237" spans="1:15" ht="24.75" customHeight="1">
      <c r="A237" s="369"/>
      <c r="B237" s="369"/>
      <c r="C237" s="141" t="s">
        <v>554</v>
      </c>
      <c r="D237" s="226" t="s">
        <v>356</v>
      </c>
      <c r="E237" s="236"/>
      <c r="F237" s="643"/>
      <c r="G237" s="286">
        <v>0</v>
      </c>
      <c r="H237" s="286">
        <v>8200</v>
      </c>
      <c r="I237" s="286">
        <v>8200</v>
      </c>
      <c r="J237" s="183"/>
      <c r="K237" s="183"/>
      <c r="L237" s="408">
        <f t="shared" si="13"/>
        <v>0</v>
      </c>
      <c r="M237" s="182">
        <f t="shared" si="15"/>
        <v>0</v>
      </c>
      <c r="N237" s="182">
        <f t="shared" si="16"/>
        <v>8200</v>
      </c>
      <c r="O237" s="182">
        <f t="shared" si="14"/>
        <v>8200</v>
      </c>
    </row>
    <row r="238" spans="1:15" ht="17.25" customHeight="1">
      <c r="A238" s="382"/>
      <c r="B238" s="382"/>
      <c r="C238" s="423"/>
      <c r="D238" s="424" t="s">
        <v>906</v>
      </c>
      <c r="E238" s="470"/>
      <c r="F238" s="657"/>
      <c r="G238" s="263">
        <f>SUM(G235:G237)</f>
        <v>0</v>
      </c>
      <c r="H238" s="263">
        <f aca="true" t="shared" si="20" ref="H238:N238">SUM(H235:H237)</f>
        <v>11200</v>
      </c>
      <c r="I238" s="263">
        <f t="shared" si="20"/>
        <v>11200</v>
      </c>
      <c r="J238" s="263">
        <f t="shared" si="20"/>
        <v>0</v>
      </c>
      <c r="K238" s="263">
        <f t="shared" si="20"/>
        <v>0</v>
      </c>
      <c r="L238" s="263">
        <f t="shared" si="20"/>
        <v>0</v>
      </c>
      <c r="M238" s="263">
        <f t="shared" si="20"/>
        <v>0</v>
      </c>
      <c r="N238" s="263">
        <f t="shared" si="20"/>
        <v>11200</v>
      </c>
      <c r="O238" s="264">
        <f t="shared" si="14"/>
        <v>11200</v>
      </c>
    </row>
    <row r="239" spans="1:15" ht="12" customHeight="1">
      <c r="A239" s="369">
        <v>1</v>
      </c>
      <c r="B239" s="369">
        <v>22</v>
      </c>
      <c r="C239" s="141"/>
      <c r="D239" s="471" t="s">
        <v>112</v>
      </c>
      <c r="E239" s="236"/>
      <c r="F239" s="643"/>
      <c r="G239" s="286"/>
      <c r="H239" s="286"/>
      <c r="I239" s="183">
        <f>SUM(G239:H239)</f>
        <v>0</v>
      </c>
      <c r="J239" s="183"/>
      <c r="K239" s="183"/>
      <c r="L239" s="408">
        <f aca="true" t="shared" si="21" ref="L239:L246">SUM(J239:K239)</f>
        <v>0</v>
      </c>
      <c r="M239" s="182">
        <f t="shared" si="15"/>
        <v>0</v>
      </c>
      <c r="N239" s="182">
        <f t="shared" si="16"/>
        <v>0</v>
      </c>
      <c r="O239" s="182">
        <f t="shared" si="14"/>
        <v>0</v>
      </c>
    </row>
    <row r="240" spans="1:15" ht="24.75" customHeight="1">
      <c r="A240" s="369"/>
      <c r="B240" s="369"/>
      <c r="C240" s="141" t="s">
        <v>702</v>
      </c>
      <c r="D240" s="229" t="s">
        <v>357</v>
      </c>
      <c r="E240" s="187"/>
      <c r="F240" s="656"/>
      <c r="G240" s="286"/>
      <c r="H240" s="286">
        <v>780</v>
      </c>
      <c r="I240" s="183">
        <f>SUM(G240:H240)</f>
        <v>780</v>
      </c>
      <c r="J240" s="185"/>
      <c r="K240" s="185"/>
      <c r="L240" s="408">
        <f t="shared" si="21"/>
        <v>0</v>
      </c>
      <c r="M240" s="182">
        <f t="shared" si="15"/>
        <v>0</v>
      </c>
      <c r="N240" s="182">
        <f t="shared" si="16"/>
        <v>780</v>
      </c>
      <c r="O240" s="182">
        <f t="shared" si="14"/>
        <v>780</v>
      </c>
    </row>
    <row r="241" spans="1:15" ht="20.25" customHeight="1">
      <c r="A241" s="382"/>
      <c r="B241" s="382"/>
      <c r="C241" s="423"/>
      <c r="D241" s="424" t="s">
        <v>113</v>
      </c>
      <c r="E241" s="470"/>
      <c r="F241" s="657"/>
      <c r="G241" s="263">
        <f>SUM(G240)</f>
        <v>0</v>
      </c>
      <c r="H241" s="263">
        <f aca="true" t="shared" si="22" ref="H241:N241">SUM(H240)</f>
        <v>780</v>
      </c>
      <c r="I241" s="263">
        <f t="shared" si="22"/>
        <v>780</v>
      </c>
      <c r="J241" s="263">
        <f t="shared" si="22"/>
        <v>0</v>
      </c>
      <c r="K241" s="263">
        <f t="shared" si="22"/>
        <v>0</v>
      </c>
      <c r="L241" s="263">
        <f t="shared" si="22"/>
        <v>0</v>
      </c>
      <c r="M241" s="263">
        <f t="shared" si="22"/>
        <v>0</v>
      </c>
      <c r="N241" s="263">
        <f t="shared" si="22"/>
        <v>780</v>
      </c>
      <c r="O241" s="264">
        <f t="shared" si="14"/>
        <v>780</v>
      </c>
    </row>
    <row r="242" spans="1:15" ht="13.5">
      <c r="A242" s="474">
        <v>1</v>
      </c>
      <c r="B242" s="474">
        <v>3</v>
      </c>
      <c r="C242" s="143"/>
      <c r="D242" s="165" t="s">
        <v>452</v>
      </c>
      <c r="E242" s="228"/>
      <c r="F242" s="650"/>
      <c r="G242" s="286">
        <v>0</v>
      </c>
      <c r="H242" s="286">
        <v>0</v>
      </c>
      <c r="I242" s="286">
        <v>0</v>
      </c>
      <c r="J242" s="181"/>
      <c r="K242" s="181"/>
      <c r="L242" s="408">
        <f t="shared" si="21"/>
        <v>0</v>
      </c>
      <c r="M242" s="182">
        <f t="shared" si="15"/>
        <v>0</v>
      </c>
      <c r="N242" s="182">
        <f t="shared" si="16"/>
        <v>0</v>
      </c>
      <c r="O242" s="182">
        <f t="shared" si="14"/>
        <v>0</v>
      </c>
    </row>
    <row r="243" spans="1:15" ht="13.5">
      <c r="A243" s="474"/>
      <c r="B243" s="474"/>
      <c r="C243" s="143" t="s">
        <v>702</v>
      </c>
      <c r="D243" s="265" t="s">
        <v>443</v>
      </c>
      <c r="E243" s="228"/>
      <c r="F243" s="650" t="s">
        <v>547</v>
      </c>
      <c r="G243" s="286">
        <v>15000</v>
      </c>
      <c r="H243" s="286">
        <v>0</v>
      </c>
      <c r="I243" s="286">
        <v>15000</v>
      </c>
      <c r="J243" s="181">
        <v>-15000</v>
      </c>
      <c r="K243" s="181"/>
      <c r="L243" s="408">
        <f t="shared" si="21"/>
        <v>-15000</v>
      </c>
      <c r="M243" s="182">
        <f t="shared" si="15"/>
        <v>0</v>
      </c>
      <c r="N243" s="182">
        <f t="shared" si="16"/>
        <v>0</v>
      </c>
      <c r="O243" s="182">
        <f t="shared" si="14"/>
        <v>0</v>
      </c>
    </row>
    <row r="244" spans="1:15" ht="17.25" customHeight="1">
      <c r="A244" s="116"/>
      <c r="B244" s="116"/>
      <c r="C244" s="382"/>
      <c r="D244" s="475" t="s">
        <v>453</v>
      </c>
      <c r="E244" s="476"/>
      <c r="F244" s="116"/>
      <c r="G244" s="477">
        <f>SUM(G243:G243)</f>
        <v>15000</v>
      </c>
      <c r="H244" s="477">
        <f aca="true" t="shared" si="23" ref="H244:N244">SUM(H243:H243)</f>
        <v>0</v>
      </c>
      <c r="I244" s="477">
        <f t="shared" si="23"/>
        <v>15000</v>
      </c>
      <c r="J244" s="477">
        <f t="shared" si="23"/>
        <v>-15000</v>
      </c>
      <c r="K244" s="477">
        <f t="shared" si="23"/>
        <v>0</v>
      </c>
      <c r="L244" s="477">
        <f t="shared" si="23"/>
        <v>-15000</v>
      </c>
      <c r="M244" s="477">
        <f t="shared" si="23"/>
        <v>0</v>
      </c>
      <c r="N244" s="477">
        <f t="shared" si="23"/>
        <v>0</v>
      </c>
      <c r="O244" s="264">
        <f t="shared" si="14"/>
        <v>0</v>
      </c>
    </row>
    <row r="245" spans="1:15" ht="18" customHeight="1">
      <c r="A245" s="117"/>
      <c r="B245" s="117"/>
      <c r="C245" s="383"/>
      <c r="D245" s="478" t="s">
        <v>358</v>
      </c>
      <c r="E245" s="476"/>
      <c r="F245" s="116"/>
      <c r="G245" s="477">
        <f aca="true" t="shared" si="24" ref="G245:N245">SUM(G37+G110+G221+G230+G233+G238+G241+G244)</f>
        <v>4146025</v>
      </c>
      <c r="H245" s="477">
        <f t="shared" si="24"/>
        <v>209306</v>
      </c>
      <c r="I245" s="477">
        <f t="shared" si="24"/>
        <v>4355331</v>
      </c>
      <c r="J245" s="477">
        <f t="shared" si="24"/>
        <v>848792</v>
      </c>
      <c r="K245" s="477">
        <f t="shared" si="24"/>
        <v>20191</v>
      </c>
      <c r="L245" s="477">
        <f t="shared" si="24"/>
        <v>868983</v>
      </c>
      <c r="M245" s="477">
        <f t="shared" si="24"/>
        <v>4994817</v>
      </c>
      <c r="N245" s="477">
        <f t="shared" si="24"/>
        <v>229497</v>
      </c>
      <c r="O245" s="264">
        <f t="shared" si="14"/>
        <v>5224314</v>
      </c>
    </row>
    <row r="246" spans="1:15" ht="12.75">
      <c r="A246" s="479">
        <v>2</v>
      </c>
      <c r="B246" s="287">
        <v>2</v>
      </c>
      <c r="C246" s="480"/>
      <c r="D246" s="400" t="s">
        <v>528</v>
      </c>
      <c r="E246" s="481"/>
      <c r="F246" s="287"/>
      <c r="G246" s="286">
        <v>54456</v>
      </c>
      <c r="H246" s="286"/>
      <c r="I246" s="286">
        <f>SUM(G246:H246)</f>
        <v>54456</v>
      </c>
      <c r="J246" s="286">
        <f>'táj.2.'!I32</f>
        <v>-2298</v>
      </c>
      <c r="K246" s="286">
        <f>'táj.2.'!K32</f>
        <v>443</v>
      </c>
      <c r="L246" s="408">
        <f t="shared" si="21"/>
        <v>-1855</v>
      </c>
      <c r="M246" s="182">
        <f t="shared" si="15"/>
        <v>52158</v>
      </c>
      <c r="N246" s="182">
        <f t="shared" si="16"/>
        <v>443</v>
      </c>
      <c r="O246" s="182">
        <f t="shared" si="14"/>
        <v>52601</v>
      </c>
    </row>
    <row r="247" spans="1:15" ht="20.25" customHeight="1">
      <c r="A247" s="117"/>
      <c r="B247" s="117"/>
      <c r="C247" s="383"/>
      <c r="D247" s="475" t="s">
        <v>455</v>
      </c>
      <c r="E247" s="476"/>
      <c r="F247" s="116"/>
      <c r="G247" s="263">
        <f aca="true" t="shared" si="25" ref="G247:N247">SUM(G245:G246)</f>
        <v>4200481</v>
      </c>
      <c r="H247" s="263">
        <f t="shared" si="25"/>
        <v>209306</v>
      </c>
      <c r="I247" s="263">
        <f t="shared" si="25"/>
        <v>4409787</v>
      </c>
      <c r="J247" s="263">
        <f t="shared" si="25"/>
        <v>846494</v>
      </c>
      <c r="K247" s="263">
        <f t="shared" si="25"/>
        <v>20634</v>
      </c>
      <c r="L247" s="263">
        <f t="shared" si="25"/>
        <v>867128</v>
      </c>
      <c r="M247" s="263">
        <f t="shared" si="25"/>
        <v>5046975</v>
      </c>
      <c r="N247" s="263">
        <f t="shared" si="25"/>
        <v>229940</v>
      </c>
      <c r="O247" s="264">
        <f t="shared" si="14"/>
        <v>5276915</v>
      </c>
    </row>
    <row r="248" spans="1:15" ht="15" customHeight="1">
      <c r="A248" s="482" t="s">
        <v>359</v>
      </c>
      <c r="B248" s="118"/>
      <c r="C248" s="118"/>
      <c r="D248" s="118"/>
      <c r="E248" s="118"/>
      <c r="F248" s="118"/>
      <c r="G248" s="558"/>
      <c r="H248" s="558"/>
      <c r="I248" s="558"/>
      <c r="J248" s="558"/>
      <c r="K248" s="558"/>
      <c r="L248" s="558"/>
      <c r="M248" s="558"/>
      <c r="N248" s="558"/>
      <c r="O248" s="118"/>
    </row>
    <row r="249" spans="1:15" ht="12.75">
      <c r="A249" s="482"/>
      <c r="B249" s="482"/>
      <c r="C249" s="482"/>
      <c r="D249" s="482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1:15" ht="12.7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1:15" ht="12.7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1:15" ht="12.7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1:15" ht="13.5">
      <c r="A253" s="118"/>
      <c r="B253" s="118"/>
      <c r="C253" s="118"/>
      <c r="D253" s="118"/>
      <c r="E253" s="118"/>
      <c r="F253" s="118"/>
      <c r="G253" s="118"/>
      <c r="H253" s="118"/>
      <c r="I253" s="119"/>
      <c r="J253" s="119"/>
      <c r="K253" s="119"/>
      <c r="L253" s="119"/>
      <c r="M253" s="119"/>
      <c r="N253" s="119"/>
      <c r="O253" s="119"/>
    </row>
    <row r="254" spans="1:15" ht="13.5">
      <c r="A254" s="118"/>
      <c r="B254" s="118"/>
      <c r="C254" s="118"/>
      <c r="D254" s="118"/>
      <c r="E254" s="118"/>
      <c r="F254" s="118"/>
      <c r="G254" s="118"/>
      <c r="H254" s="118"/>
      <c r="I254" s="119"/>
      <c r="J254" s="119"/>
      <c r="K254" s="119"/>
      <c r="L254" s="119"/>
      <c r="M254" s="119"/>
      <c r="N254" s="119"/>
      <c r="O254" s="119"/>
    </row>
    <row r="255" spans="1:15" ht="12.7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1:15" ht="12.7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1:15" ht="12.7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1:15" ht="12.7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1:15" ht="12.7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1:15" ht="12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1:15" ht="12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1:15" ht="12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1:15" ht="12.7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1:15" ht="12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1:15" ht="12.7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1:15" ht="12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1:15" ht="12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1:15" ht="12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1:15" ht="12.7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1:15" ht="12.7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</sheetData>
  <sheetProtection selectLockedCells="1" selectUnlockedCells="1"/>
  <mergeCells count="4">
    <mergeCell ref="G1:I1"/>
    <mergeCell ref="D33:E33"/>
    <mergeCell ref="J1:L1"/>
    <mergeCell ref="M1:O1"/>
  </mergeCells>
  <printOptions horizontalCentered="1" verticalCentered="1"/>
  <pageMargins left="0.1968503937007874" right="0.1968503937007874" top="0.7086614173228347" bottom="0.7874015748031497" header="0.3937007874015748" footer="0.3937007874015748"/>
  <pageSetup horizontalDpi="600" verticalDpi="600" orientation="landscape" paperSize="9" scale="79" r:id="rId1"/>
  <headerFooter alignWithMargins="0">
    <oddHeader>&amp;C&amp;"Times New Roman,Félkövér dőlt"Zalaegerszeg Megyei Jogú Város Önkormányzatának
2013. évi beruházási célú kiadásai feladatonként&amp;R&amp;"Times New Roman,Félkövér dőlt"7. számú melléklet
Adatok :ezer Ft-ban</oddHeader>
    <oddFooter>&amp;L**kgy=közgyűlési hatáskör
    pm=polgármesteri hatáskör
    biz.=bizottsági hatáskör&amp;C&amp;P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C1">
      <pane ySplit="2" topLeftCell="A3" activePane="bottomLeft" state="frozen"/>
      <selection pane="topLeft" activeCell="C1" sqref="C1"/>
      <selection pane="bottomLeft" activeCell="D26" sqref="D26"/>
    </sheetView>
  </sheetViews>
  <sheetFormatPr defaultColWidth="9.00390625" defaultRowHeight="12.75"/>
  <cols>
    <col min="1" max="1" width="5.875" style="66" customWidth="1"/>
    <col min="2" max="2" width="7.375" style="66" customWidth="1"/>
    <col min="3" max="3" width="7.50390625" style="66" customWidth="1"/>
    <col min="4" max="4" width="59.125" style="66" customWidth="1"/>
    <col min="5" max="5" width="3.125" style="66" customWidth="1"/>
    <col min="6" max="6" width="7.50390625" style="66" customWidth="1"/>
    <col min="7" max="7" width="11.375" style="66" customWidth="1"/>
    <col min="8" max="12" width="10.50390625" style="66" customWidth="1"/>
    <col min="13" max="13" width="10.875" style="66" customWidth="1"/>
    <col min="14" max="14" width="11.00390625" style="66" customWidth="1"/>
    <col min="15" max="15" width="11.625" style="66" customWidth="1"/>
    <col min="16" max="16384" width="9.375" style="66" customWidth="1"/>
  </cols>
  <sheetData>
    <row r="1" spans="1:15" s="65" customFormat="1" ht="36.75" customHeight="1">
      <c r="A1" s="86"/>
      <c r="B1" s="87"/>
      <c r="C1" s="87"/>
      <c r="D1" s="173"/>
      <c r="E1" s="483"/>
      <c r="F1" s="862" t="s">
        <v>706</v>
      </c>
      <c r="G1" s="852" t="s">
        <v>1036</v>
      </c>
      <c r="H1" s="853"/>
      <c r="I1" s="854"/>
      <c r="J1" s="857" t="s">
        <v>1039</v>
      </c>
      <c r="K1" s="858"/>
      <c r="L1" s="859"/>
      <c r="M1" s="857" t="s">
        <v>1091</v>
      </c>
      <c r="N1" s="858"/>
      <c r="O1" s="859"/>
    </row>
    <row r="2" spans="1:15" s="65" customFormat="1" ht="39.75" customHeight="1" thickBot="1">
      <c r="A2" s="88" t="s">
        <v>476</v>
      </c>
      <c r="B2" s="89" t="s">
        <v>477</v>
      </c>
      <c r="C2" s="89" t="s">
        <v>478</v>
      </c>
      <c r="D2" s="690" t="s">
        <v>479</v>
      </c>
      <c r="E2" s="484"/>
      <c r="F2" s="863"/>
      <c r="G2" s="79" t="s">
        <v>480</v>
      </c>
      <c r="H2" s="79" t="s">
        <v>481</v>
      </c>
      <c r="I2" s="79" t="s">
        <v>482</v>
      </c>
      <c r="J2" s="79" t="s">
        <v>480</v>
      </c>
      <c r="K2" s="79" t="s">
        <v>481</v>
      </c>
      <c r="L2" s="79" t="s">
        <v>482</v>
      </c>
      <c r="M2" s="79" t="s">
        <v>480</v>
      </c>
      <c r="N2" s="79" t="s">
        <v>481</v>
      </c>
      <c r="O2" s="79" t="s">
        <v>482</v>
      </c>
    </row>
    <row r="3" spans="1:15" ht="12.75" customHeight="1">
      <c r="A3" s="90"/>
      <c r="B3" s="90"/>
      <c r="C3" s="685"/>
      <c r="D3" s="686" t="s">
        <v>527</v>
      </c>
      <c r="E3" s="485"/>
      <c r="F3" s="485"/>
      <c r="G3" s="687"/>
      <c r="H3" s="687"/>
      <c r="I3" s="687"/>
      <c r="J3" s="687"/>
      <c r="K3" s="687"/>
      <c r="L3" s="687"/>
      <c r="M3" s="688"/>
      <c r="N3" s="689"/>
      <c r="O3" s="688"/>
    </row>
    <row r="4" spans="1:15" ht="15.75" customHeight="1">
      <c r="A4" s="99" t="s">
        <v>702</v>
      </c>
      <c r="B4" s="99">
        <v>13</v>
      </c>
      <c r="C4" s="99"/>
      <c r="D4" s="372" t="s">
        <v>104</v>
      </c>
      <c r="E4" s="177"/>
      <c r="F4" s="177"/>
      <c r="G4" s="100"/>
      <c r="H4" s="100"/>
      <c r="I4" s="100"/>
      <c r="J4" s="100"/>
      <c r="K4" s="100"/>
      <c r="L4" s="100"/>
      <c r="M4" s="100"/>
      <c r="N4" s="486"/>
      <c r="O4" s="100"/>
    </row>
    <row r="5" spans="1:15" ht="15" customHeight="1">
      <c r="A5" s="99"/>
      <c r="B5" s="99"/>
      <c r="C5" s="99" t="s">
        <v>702</v>
      </c>
      <c r="D5" s="180" t="s">
        <v>360</v>
      </c>
      <c r="E5" s="665"/>
      <c r="F5" s="488"/>
      <c r="G5" s="91">
        <v>1000</v>
      </c>
      <c r="H5" s="91">
        <v>0</v>
      </c>
      <c r="I5" s="91">
        <v>1000</v>
      </c>
      <c r="J5" s="101"/>
      <c r="K5" s="101"/>
      <c r="L5" s="101">
        <f>SUM(J5:K5)</f>
        <v>0</v>
      </c>
      <c r="M5" s="101">
        <f>SUM(G5+J5)</f>
        <v>1000</v>
      </c>
      <c r="N5" s="101">
        <f>SUM(H5+K5)</f>
        <v>0</v>
      </c>
      <c r="O5" s="101">
        <f>SUM(M5:N5)</f>
        <v>1000</v>
      </c>
    </row>
    <row r="6" spans="1:15" ht="13.5" customHeight="1">
      <c r="A6" s="99"/>
      <c r="B6" s="99"/>
      <c r="C6" s="99" t="s">
        <v>846</v>
      </c>
      <c r="D6" s="40" t="s">
        <v>361</v>
      </c>
      <c r="E6" s="665"/>
      <c r="F6" s="488"/>
      <c r="G6" s="91">
        <v>400</v>
      </c>
      <c r="H6" s="91">
        <v>0</v>
      </c>
      <c r="I6" s="91">
        <v>400</v>
      </c>
      <c r="J6" s="101"/>
      <c r="K6" s="101"/>
      <c r="L6" s="101">
        <f aca="true" t="shared" si="0" ref="L6:L75">SUM(J6:K6)</f>
        <v>0</v>
      </c>
      <c r="M6" s="101">
        <f aca="true" t="shared" si="1" ref="M6:M75">SUM(G6+J6)</f>
        <v>400</v>
      </c>
      <c r="N6" s="101">
        <f aca="true" t="shared" si="2" ref="N6:N75">SUM(H6+K6)</f>
        <v>0</v>
      </c>
      <c r="O6" s="101">
        <f aca="true" t="shared" si="3" ref="O6:O75">SUM(M6:N6)</f>
        <v>400</v>
      </c>
    </row>
    <row r="7" spans="1:15" ht="13.5" customHeight="1">
      <c r="A7" s="99"/>
      <c r="B7" s="99"/>
      <c r="C7" s="99" t="s">
        <v>848</v>
      </c>
      <c r="D7" s="180" t="s">
        <v>362</v>
      </c>
      <c r="E7" s="665"/>
      <c r="F7" s="488"/>
      <c r="G7" s="91">
        <v>3100</v>
      </c>
      <c r="H7" s="91">
        <v>0</v>
      </c>
      <c r="I7" s="91">
        <v>3100</v>
      </c>
      <c r="J7" s="101"/>
      <c r="K7" s="101"/>
      <c r="L7" s="101">
        <f t="shared" si="0"/>
        <v>0</v>
      </c>
      <c r="M7" s="101">
        <f t="shared" si="1"/>
        <v>3100</v>
      </c>
      <c r="N7" s="101">
        <f t="shared" si="2"/>
        <v>0</v>
      </c>
      <c r="O7" s="101">
        <f t="shared" si="3"/>
        <v>3100</v>
      </c>
    </row>
    <row r="8" spans="1:15" ht="24.75" customHeight="1">
      <c r="A8" s="99"/>
      <c r="B8" s="99"/>
      <c r="C8" s="99" t="s">
        <v>850</v>
      </c>
      <c r="D8" s="489" t="s">
        <v>363</v>
      </c>
      <c r="E8" s="665"/>
      <c r="F8" s="488" t="s">
        <v>933</v>
      </c>
      <c r="G8" s="91">
        <v>1000</v>
      </c>
      <c r="H8" s="91">
        <v>0</v>
      </c>
      <c r="I8" s="91">
        <v>1000</v>
      </c>
      <c r="J8" s="101">
        <v>896</v>
      </c>
      <c r="K8" s="101"/>
      <c r="L8" s="101">
        <f t="shared" si="0"/>
        <v>896</v>
      </c>
      <c r="M8" s="101">
        <f t="shared" si="1"/>
        <v>1896</v>
      </c>
      <c r="N8" s="101">
        <f t="shared" si="2"/>
        <v>0</v>
      </c>
      <c r="O8" s="101">
        <f t="shared" si="3"/>
        <v>1896</v>
      </c>
    </row>
    <row r="9" spans="1:15" ht="13.5" customHeight="1">
      <c r="A9" s="99"/>
      <c r="B9" s="99"/>
      <c r="C9" s="99" t="s">
        <v>851</v>
      </c>
      <c r="D9" s="490" t="s">
        <v>364</v>
      </c>
      <c r="E9" s="665"/>
      <c r="F9" s="488"/>
      <c r="G9" s="91">
        <v>0</v>
      </c>
      <c r="H9" s="91">
        <v>1000</v>
      </c>
      <c r="I9" s="91">
        <v>1000</v>
      </c>
      <c r="J9" s="101"/>
      <c r="K9" s="101"/>
      <c r="L9" s="101">
        <f t="shared" si="0"/>
        <v>0</v>
      </c>
      <c r="M9" s="101">
        <f t="shared" si="1"/>
        <v>0</v>
      </c>
      <c r="N9" s="101">
        <f t="shared" si="2"/>
        <v>1000</v>
      </c>
      <c r="O9" s="101">
        <f t="shared" si="3"/>
        <v>1000</v>
      </c>
    </row>
    <row r="10" spans="1:15" ht="13.5" customHeight="1">
      <c r="A10" s="99"/>
      <c r="B10" s="99"/>
      <c r="C10" s="99" t="s">
        <v>852</v>
      </c>
      <c r="D10" s="491" t="s">
        <v>365</v>
      </c>
      <c r="E10" s="665"/>
      <c r="F10" s="488" t="s">
        <v>933</v>
      </c>
      <c r="G10" s="91">
        <v>1000</v>
      </c>
      <c r="H10" s="91">
        <v>0</v>
      </c>
      <c r="I10" s="91">
        <v>1000</v>
      </c>
      <c r="J10" s="101">
        <v>500</v>
      </c>
      <c r="K10" s="101"/>
      <c r="L10" s="101">
        <f t="shared" si="0"/>
        <v>500</v>
      </c>
      <c r="M10" s="101">
        <f t="shared" si="1"/>
        <v>1500</v>
      </c>
      <c r="N10" s="101">
        <f t="shared" si="2"/>
        <v>0</v>
      </c>
      <c r="O10" s="101">
        <f t="shared" si="3"/>
        <v>1500</v>
      </c>
    </row>
    <row r="11" spans="1:15" ht="13.5" customHeight="1">
      <c r="A11" s="99"/>
      <c r="B11" s="99"/>
      <c r="C11" s="99" t="s">
        <v>881</v>
      </c>
      <c r="D11" s="489" t="s">
        <v>366</v>
      </c>
      <c r="E11" s="666"/>
      <c r="F11" s="488" t="s">
        <v>933</v>
      </c>
      <c r="G11" s="91">
        <v>3000</v>
      </c>
      <c r="H11" s="91">
        <v>0</v>
      </c>
      <c r="I11" s="91">
        <v>3000</v>
      </c>
      <c r="J11" s="101">
        <v>1500</v>
      </c>
      <c r="K11" s="101"/>
      <c r="L11" s="101">
        <f t="shared" si="0"/>
        <v>1500</v>
      </c>
      <c r="M11" s="101">
        <f t="shared" si="1"/>
        <v>4500</v>
      </c>
      <c r="N11" s="101">
        <f t="shared" si="2"/>
        <v>0</v>
      </c>
      <c r="O11" s="101">
        <f t="shared" si="3"/>
        <v>4500</v>
      </c>
    </row>
    <row r="12" spans="1:15" ht="13.5" customHeight="1">
      <c r="A12" s="99"/>
      <c r="B12" s="99"/>
      <c r="C12" s="99" t="s">
        <v>882</v>
      </c>
      <c r="D12" s="490" t="s">
        <v>1013</v>
      </c>
      <c r="E12" s="667"/>
      <c r="F12" s="488" t="s">
        <v>933</v>
      </c>
      <c r="G12" s="91">
        <v>3000</v>
      </c>
      <c r="H12" s="91">
        <v>0</v>
      </c>
      <c r="I12" s="91">
        <v>3000</v>
      </c>
      <c r="J12" s="101">
        <v>307</v>
      </c>
      <c r="K12" s="101"/>
      <c r="L12" s="101">
        <f t="shared" si="0"/>
        <v>307</v>
      </c>
      <c r="M12" s="101">
        <f t="shared" si="1"/>
        <v>3307</v>
      </c>
      <c r="N12" s="101">
        <f t="shared" si="2"/>
        <v>0</v>
      </c>
      <c r="O12" s="101">
        <f t="shared" si="3"/>
        <v>3307</v>
      </c>
    </row>
    <row r="13" spans="1:15" ht="13.5" customHeight="1">
      <c r="A13" s="99"/>
      <c r="B13" s="99"/>
      <c r="C13" s="99" t="s">
        <v>884</v>
      </c>
      <c r="D13" s="489" t="s">
        <v>367</v>
      </c>
      <c r="E13" s="667"/>
      <c r="F13" s="488"/>
      <c r="G13" s="91">
        <v>2000</v>
      </c>
      <c r="H13" s="91">
        <v>0</v>
      </c>
      <c r="I13" s="91">
        <v>2000</v>
      </c>
      <c r="J13" s="101"/>
      <c r="K13" s="101"/>
      <c r="L13" s="101">
        <f t="shared" si="0"/>
        <v>0</v>
      </c>
      <c r="M13" s="101">
        <f t="shared" si="1"/>
        <v>2000</v>
      </c>
      <c r="N13" s="101">
        <f t="shared" si="2"/>
        <v>0</v>
      </c>
      <c r="O13" s="101">
        <f t="shared" si="3"/>
        <v>2000</v>
      </c>
    </row>
    <row r="14" spans="1:15" ht="24.75" customHeight="1">
      <c r="A14" s="99"/>
      <c r="B14" s="99"/>
      <c r="C14" s="99" t="s">
        <v>549</v>
      </c>
      <c r="D14" s="489" t="s">
        <v>368</v>
      </c>
      <c r="E14" s="667"/>
      <c r="F14" s="488"/>
      <c r="G14" s="91">
        <v>3000</v>
      </c>
      <c r="H14" s="91">
        <v>0</v>
      </c>
      <c r="I14" s="91">
        <v>3000</v>
      </c>
      <c r="J14" s="101"/>
      <c r="K14" s="101"/>
      <c r="L14" s="101">
        <f t="shared" si="0"/>
        <v>0</v>
      </c>
      <c r="M14" s="101">
        <f t="shared" si="1"/>
        <v>3000</v>
      </c>
      <c r="N14" s="101">
        <f t="shared" si="2"/>
        <v>0</v>
      </c>
      <c r="O14" s="101">
        <f t="shared" si="3"/>
        <v>3000</v>
      </c>
    </row>
    <row r="15" spans="1:15" ht="13.5" customHeight="1">
      <c r="A15" s="99"/>
      <c r="B15" s="99"/>
      <c r="C15" s="99" t="s">
        <v>550</v>
      </c>
      <c r="D15" s="492" t="s">
        <v>369</v>
      </c>
      <c r="E15" s="667"/>
      <c r="F15" s="488" t="s">
        <v>547</v>
      </c>
      <c r="G15" s="91">
        <v>2000</v>
      </c>
      <c r="H15" s="91">
        <v>0</v>
      </c>
      <c r="I15" s="91">
        <v>2000</v>
      </c>
      <c r="J15" s="101">
        <v>-2000</v>
      </c>
      <c r="K15" s="101">
        <v>2000</v>
      </c>
      <c r="L15" s="101">
        <f t="shared" si="0"/>
        <v>0</v>
      </c>
      <c r="M15" s="101">
        <f t="shared" si="1"/>
        <v>0</v>
      </c>
      <c r="N15" s="101">
        <f t="shared" si="2"/>
        <v>2000</v>
      </c>
      <c r="O15" s="101">
        <f t="shared" si="3"/>
        <v>2000</v>
      </c>
    </row>
    <row r="16" spans="1:15" ht="24.75" customHeight="1">
      <c r="A16" s="99"/>
      <c r="B16" s="99"/>
      <c r="C16" s="99" t="s">
        <v>696</v>
      </c>
      <c r="D16" s="490" t="s">
        <v>370</v>
      </c>
      <c r="E16" s="667"/>
      <c r="F16" s="488"/>
      <c r="G16" s="91">
        <v>200</v>
      </c>
      <c r="H16" s="91">
        <v>0</v>
      </c>
      <c r="I16" s="91">
        <v>200</v>
      </c>
      <c r="J16" s="101"/>
      <c r="K16" s="101"/>
      <c r="L16" s="101">
        <f t="shared" si="0"/>
        <v>0</v>
      </c>
      <c r="M16" s="101">
        <f t="shared" si="1"/>
        <v>200</v>
      </c>
      <c r="N16" s="101">
        <f t="shared" si="2"/>
        <v>0</v>
      </c>
      <c r="O16" s="101">
        <f t="shared" si="3"/>
        <v>200</v>
      </c>
    </row>
    <row r="17" spans="1:15" ht="13.5" customHeight="1">
      <c r="A17" s="99"/>
      <c r="B17" s="99"/>
      <c r="C17" s="99" t="s">
        <v>1041</v>
      </c>
      <c r="D17" s="490" t="s">
        <v>371</v>
      </c>
      <c r="E17" s="667"/>
      <c r="F17" s="488"/>
      <c r="G17" s="91">
        <v>900</v>
      </c>
      <c r="H17" s="91">
        <v>0</v>
      </c>
      <c r="I17" s="91">
        <v>900</v>
      </c>
      <c r="J17" s="101"/>
      <c r="K17" s="101"/>
      <c r="L17" s="101">
        <f t="shared" si="0"/>
        <v>0</v>
      </c>
      <c r="M17" s="101">
        <f t="shared" si="1"/>
        <v>900</v>
      </c>
      <c r="N17" s="101">
        <f t="shared" si="2"/>
        <v>0</v>
      </c>
      <c r="O17" s="101">
        <f t="shared" si="3"/>
        <v>900</v>
      </c>
    </row>
    <row r="18" spans="1:15" ht="13.5" customHeight="1">
      <c r="A18" s="99"/>
      <c r="B18" s="99"/>
      <c r="C18" s="99" t="s">
        <v>825</v>
      </c>
      <c r="D18" s="493" t="s">
        <v>372</v>
      </c>
      <c r="E18" s="667"/>
      <c r="F18" s="488" t="s">
        <v>547</v>
      </c>
      <c r="G18" s="91">
        <v>2000</v>
      </c>
      <c r="H18" s="91">
        <v>0</v>
      </c>
      <c r="I18" s="91">
        <v>2000</v>
      </c>
      <c r="J18" s="101">
        <v>-2000</v>
      </c>
      <c r="K18" s="101">
        <v>2000</v>
      </c>
      <c r="L18" s="101">
        <f t="shared" si="0"/>
        <v>0</v>
      </c>
      <c r="M18" s="101">
        <f t="shared" si="1"/>
        <v>0</v>
      </c>
      <c r="N18" s="101">
        <f t="shared" si="2"/>
        <v>2000</v>
      </c>
      <c r="O18" s="101">
        <f t="shared" si="3"/>
        <v>2000</v>
      </c>
    </row>
    <row r="19" spans="1:15" ht="13.5" customHeight="1">
      <c r="A19" s="99"/>
      <c r="B19" s="99"/>
      <c r="C19" s="99" t="s">
        <v>473</v>
      </c>
      <c r="D19" s="494" t="s">
        <v>373</v>
      </c>
      <c r="E19" s="667"/>
      <c r="F19" s="488" t="s">
        <v>547</v>
      </c>
      <c r="G19" s="91">
        <v>500</v>
      </c>
      <c r="H19" s="91">
        <v>0</v>
      </c>
      <c r="I19" s="91">
        <v>500</v>
      </c>
      <c r="J19" s="101">
        <v>-500</v>
      </c>
      <c r="K19" s="101"/>
      <c r="L19" s="101">
        <f t="shared" si="0"/>
        <v>-500</v>
      </c>
      <c r="M19" s="101">
        <f t="shared" si="1"/>
        <v>0</v>
      </c>
      <c r="N19" s="101">
        <f t="shared" si="2"/>
        <v>0</v>
      </c>
      <c r="O19" s="101">
        <f t="shared" si="3"/>
        <v>0</v>
      </c>
    </row>
    <row r="20" spans="1:15" ht="13.5" customHeight="1">
      <c r="A20" s="99"/>
      <c r="B20" s="99"/>
      <c r="C20" s="99" t="s">
        <v>143</v>
      </c>
      <c r="D20" s="495" t="s">
        <v>374</v>
      </c>
      <c r="E20" s="487"/>
      <c r="F20" s="488"/>
      <c r="G20" s="91">
        <v>3110</v>
      </c>
      <c r="H20" s="91">
        <v>0</v>
      </c>
      <c r="I20" s="91">
        <v>3110</v>
      </c>
      <c r="J20" s="101"/>
      <c r="K20" s="101"/>
      <c r="L20" s="101">
        <f t="shared" si="0"/>
        <v>0</v>
      </c>
      <c r="M20" s="101">
        <f t="shared" si="1"/>
        <v>3110</v>
      </c>
      <c r="N20" s="101">
        <f t="shared" si="2"/>
        <v>0</v>
      </c>
      <c r="O20" s="101">
        <f t="shared" si="3"/>
        <v>3110</v>
      </c>
    </row>
    <row r="21" spans="1:15" ht="13.5" customHeight="1">
      <c r="A21" s="99"/>
      <c r="B21" s="99"/>
      <c r="C21" s="99" t="s">
        <v>145</v>
      </c>
      <c r="D21" s="489" t="s">
        <v>591</v>
      </c>
      <c r="E21" s="487"/>
      <c r="F21" s="488" t="s">
        <v>547</v>
      </c>
      <c r="G21" s="91"/>
      <c r="H21" s="91"/>
      <c r="I21" s="91"/>
      <c r="J21" s="101">
        <v>1502</v>
      </c>
      <c r="K21" s="101"/>
      <c r="L21" s="101">
        <f t="shared" si="0"/>
        <v>1502</v>
      </c>
      <c r="M21" s="101">
        <f t="shared" si="1"/>
        <v>1502</v>
      </c>
      <c r="N21" s="101">
        <f t="shared" si="2"/>
        <v>0</v>
      </c>
      <c r="O21" s="101">
        <f t="shared" si="3"/>
        <v>1502</v>
      </c>
    </row>
    <row r="22" spans="1:15" ht="13.5" customHeight="1">
      <c r="A22" s="99"/>
      <c r="B22" s="99"/>
      <c r="C22" s="99" t="s">
        <v>147</v>
      </c>
      <c r="D22" s="757" t="s">
        <v>312</v>
      </c>
      <c r="E22" s="487"/>
      <c r="F22" s="488" t="s">
        <v>547</v>
      </c>
      <c r="G22" s="91"/>
      <c r="H22" s="91"/>
      <c r="I22" s="91"/>
      <c r="J22" s="101">
        <v>30000</v>
      </c>
      <c r="K22" s="101"/>
      <c r="L22" s="101">
        <f t="shared" si="0"/>
        <v>30000</v>
      </c>
      <c r="M22" s="101">
        <f t="shared" si="1"/>
        <v>30000</v>
      </c>
      <c r="N22" s="101">
        <f t="shared" si="2"/>
        <v>0</v>
      </c>
      <c r="O22" s="101">
        <f t="shared" si="3"/>
        <v>30000</v>
      </c>
    </row>
    <row r="23" spans="1:15" ht="13.5" customHeight="1">
      <c r="A23" s="99"/>
      <c r="B23" s="99"/>
      <c r="C23" s="99" t="s">
        <v>149</v>
      </c>
      <c r="D23" s="757" t="s">
        <v>583</v>
      </c>
      <c r="E23" s="487"/>
      <c r="F23" s="488" t="s">
        <v>547</v>
      </c>
      <c r="G23" s="91"/>
      <c r="H23" s="91"/>
      <c r="I23" s="91"/>
      <c r="J23" s="101"/>
      <c r="K23" s="101">
        <v>600</v>
      </c>
      <c r="L23" s="101">
        <f t="shared" si="0"/>
        <v>600</v>
      </c>
      <c r="M23" s="101">
        <f t="shared" si="1"/>
        <v>0</v>
      </c>
      <c r="N23" s="101">
        <f t="shared" si="2"/>
        <v>600</v>
      </c>
      <c r="O23" s="101">
        <f t="shared" si="3"/>
        <v>600</v>
      </c>
    </row>
    <row r="24" spans="1:15" ht="13.5" customHeight="1">
      <c r="A24" s="99"/>
      <c r="B24" s="99"/>
      <c r="C24" s="99" t="s">
        <v>945</v>
      </c>
      <c r="D24" s="757" t="s">
        <v>295</v>
      </c>
      <c r="E24" s="487"/>
      <c r="F24" s="488" t="s">
        <v>547</v>
      </c>
      <c r="G24" s="91"/>
      <c r="H24" s="91"/>
      <c r="I24" s="91"/>
      <c r="J24" s="101">
        <v>800</v>
      </c>
      <c r="K24" s="101"/>
      <c r="L24" s="101">
        <f t="shared" si="0"/>
        <v>800</v>
      </c>
      <c r="M24" s="101">
        <f t="shared" si="1"/>
        <v>800</v>
      </c>
      <c r="N24" s="101">
        <f t="shared" si="2"/>
        <v>0</v>
      </c>
      <c r="O24" s="101">
        <f t="shared" si="3"/>
        <v>800</v>
      </c>
    </row>
    <row r="25" spans="1:15" ht="13.5" customHeight="1">
      <c r="A25" s="99"/>
      <c r="B25" s="99"/>
      <c r="C25" s="99" t="s">
        <v>51</v>
      </c>
      <c r="D25" s="757" t="s">
        <v>55</v>
      </c>
      <c r="E25" s="487"/>
      <c r="F25" s="488" t="s">
        <v>547</v>
      </c>
      <c r="G25" s="91"/>
      <c r="H25" s="91"/>
      <c r="I25" s="91"/>
      <c r="J25" s="101">
        <v>17500</v>
      </c>
      <c r="K25" s="101"/>
      <c r="L25" s="101">
        <f t="shared" si="0"/>
        <v>17500</v>
      </c>
      <c r="M25" s="101">
        <f t="shared" si="1"/>
        <v>17500</v>
      </c>
      <c r="N25" s="101"/>
      <c r="O25" s="101">
        <f t="shared" si="3"/>
        <v>17500</v>
      </c>
    </row>
    <row r="26" spans="1:15" ht="24.75" customHeight="1">
      <c r="A26" s="99"/>
      <c r="B26" s="99"/>
      <c r="C26" s="99" t="s">
        <v>152</v>
      </c>
      <c r="D26" s="757" t="s">
        <v>153</v>
      </c>
      <c r="E26" s="487"/>
      <c r="F26" s="488" t="s">
        <v>547</v>
      </c>
      <c r="G26" s="91"/>
      <c r="H26" s="91"/>
      <c r="I26" s="91"/>
      <c r="J26" s="101">
        <v>1197</v>
      </c>
      <c r="K26" s="101"/>
      <c r="L26" s="101">
        <f t="shared" si="0"/>
        <v>1197</v>
      </c>
      <c r="M26" s="101">
        <f t="shared" si="1"/>
        <v>1197</v>
      </c>
      <c r="N26" s="101"/>
      <c r="O26" s="101">
        <f t="shared" si="3"/>
        <v>1197</v>
      </c>
    </row>
    <row r="27" spans="1:15" ht="13.5" customHeight="1">
      <c r="A27" s="99"/>
      <c r="B27" s="99"/>
      <c r="C27" s="99"/>
      <c r="D27" s="496" t="s">
        <v>151</v>
      </c>
      <c r="E27" s="668"/>
      <c r="F27" s="503"/>
      <c r="G27" s="91">
        <v>0</v>
      </c>
      <c r="H27" s="91">
        <v>0</v>
      </c>
      <c r="I27" s="91">
        <v>0</v>
      </c>
      <c r="J27" s="101"/>
      <c r="K27" s="101"/>
      <c r="L27" s="101">
        <f t="shared" si="0"/>
        <v>0</v>
      </c>
      <c r="M27" s="101">
        <f t="shared" si="1"/>
        <v>0</v>
      </c>
      <c r="N27" s="101">
        <f t="shared" si="2"/>
        <v>0</v>
      </c>
      <c r="O27" s="101">
        <f t="shared" si="3"/>
        <v>0</v>
      </c>
    </row>
    <row r="28" spans="1:15" ht="24" customHeight="1">
      <c r="A28" s="99"/>
      <c r="B28" s="99"/>
      <c r="C28" s="99" t="s">
        <v>555</v>
      </c>
      <c r="D28" s="860" t="s">
        <v>474</v>
      </c>
      <c r="E28" s="861"/>
      <c r="F28" s="497"/>
      <c r="G28" s="91">
        <v>24420</v>
      </c>
      <c r="H28" s="91">
        <v>0</v>
      </c>
      <c r="I28" s="91">
        <v>24420</v>
      </c>
      <c r="J28" s="101"/>
      <c r="K28" s="101"/>
      <c r="L28" s="101">
        <f t="shared" si="0"/>
        <v>0</v>
      </c>
      <c r="M28" s="101">
        <f t="shared" si="1"/>
        <v>24420</v>
      </c>
      <c r="N28" s="101">
        <f t="shared" si="2"/>
        <v>0</v>
      </c>
      <c r="O28" s="101">
        <f t="shared" si="3"/>
        <v>24420</v>
      </c>
    </row>
    <row r="29" spans="1:15" ht="15" customHeight="1">
      <c r="A29" s="99"/>
      <c r="B29" s="99"/>
      <c r="C29" s="99" t="s">
        <v>664</v>
      </c>
      <c r="D29" s="498" t="s">
        <v>436</v>
      </c>
      <c r="E29" s="499"/>
      <c r="F29" s="497"/>
      <c r="G29" s="91">
        <v>0</v>
      </c>
      <c r="H29" s="91">
        <v>2143</v>
      </c>
      <c r="I29" s="91">
        <v>2143</v>
      </c>
      <c r="J29" s="101"/>
      <c r="K29" s="101"/>
      <c r="L29" s="101">
        <f t="shared" si="0"/>
        <v>0</v>
      </c>
      <c r="M29" s="101">
        <f t="shared" si="1"/>
        <v>0</v>
      </c>
      <c r="N29" s="101">
        <f t="shared" si="2"/>
        <v>2143</v>
      </c>
      <c r="O29" s="101">
        <f t="shared" si="3"/>
        <v>2143</v>
      </c>
    </row>
    <row r="30" spans="1:15" ht="15" customHeight="1">
      <c r="A30" s="99"/>
      <c r="B30" s="99"/>
      <c r="C30" s="99" t="s">
        <v>665</v>
      </c>
      <c r="D30" s="500" t="s">
        <v>707</v>
      </c>
      <c r="E30" s="499"/>
      <c r="F30" s="497" t="s">
        <v>933</v>
      </c>
      <c r="G30" s="91">
        <v>29410</v>
      </c>
      <c r="H30" s="91">
        <v>0</v>
      </c>
      <c r="I30" s="91">
        <v>29410</v>
      </c>
      <c r="J30" s="101">
        <v>7648</v>
      </c>
      <c r="K30" s="101"/>
      <c r="L30" s="101">
        <f t="shared" si="0"/>
        <v>7648</v>
      </c>
      <c r="M30" s="101">
        <f t="shared" si="1"/>
        <v>37058</v>
      </c>
      <c r="N30" s="101">
        <f t="shared" si="2"/>
        <v>0</v>
      </c>
      <c r="O30" s="101">
        <f t="shared" si="3"/>
        <v>37058</v>
      </c>
    </row>
    <row r="31" spans="1:15" ht="15" customHeight="1">
      <c r="A31" s="99"/>
      <c r="B31" s="99"/>
      <c r="C31" s="99" t="s">
        <v>666</v>
      </c>
      <c r="D31" s="501" t="s">
        <v>708</v>
      </c>
      <c r="E31" s="499"/>
      <c r="F31" s="497" t="s">
        <v>933</v>
      </c>
      <c r="G31" s="91">
        <v>1500</v>
      </c>
      <c r="H31" s="91">
        <v>0</v>
      </c>
      <c r="I31" s="91">
        <v>1500</v>
      </c>
      <c r="J31" s="101">
        <v>-1500</v>
      </c>
      <c r="K31" s="101"/>
      <c r="L31" s="101">
        <f t="shared" si="0"/>
        <v>-1500</v>
      </c>
      <c r="M31" s="101">
        <f t="shared" si="1"/>
        <v>0</v>
      </c>
      <c r="N31" s="101">
        <f t="shared" si="2"/>
        <v>0</v>
      </c>
      <c r="O31" s="101">
        <f t="shared" si="3"/>
        <v>0</v>
      </c>
    </row>
    <row r="32" spans="1:15" ht="15" customHeight="1">
      <c r="A32" s="99"/>
      <c r="B32" s="99"/>
      <c r="C32" s="99" t="s">
        <v>161</v>
      </c>
      <c r="D32" s="246" t="s">
        <v>709</v>
      </c>
      <c r="E32" s="499"/>
      <c r="F32" s="497"/>
      <c r="G32" s="91">
        <v>2032</v>
      </c>
      <c r="H32" s="91">
        <v>0</v>
      </c>
      <c r="I32" s="91">
        <v>2032</v>
      </c>
      <c r="J32" s="101"/>
      <c r="K32" s="101"/>
      <c r="L32" s="101">
        <f t="shared" si="0"/>
        <v>0</v>
      </c>
      <c r="M32" s="101">
        <f t="shared" si="1"/>
        <v>2032</v>
      </c>
      <c r="N32" s="101">
        <f t="shared" si="2"/>
        <v>0</v>
      </c>
      <c r="O32" s="101">
        <f t="shared" si="3"/>
        <v>2032</v>
      </c>
    </row>
    <row r="33" spans="1:15" ht="24.75" customHeight="1">
      <c r="A33" s="99"/>
      <c r="B33" s="99"/>
      <c r="C33" s="99" t="s">
        <v>162</v>
      </c>
      <c r="D33" s="498" t="s">
        <v>96</v>
      </c>
      <c r="E33" s="502"/>
      <c r="F33" s="503"/>
      <c r="G33" s="91">
        <v>0</v>
      </c>
      <c r="H33" s="91">
        <v>1785</v>
      </c>
      <c r="I33" s="91">
        <v>1785</v>
      </c>
      <c r="J33" s="101"/>
      <c r="K33" s="101"/>
      <c r="L33" s="101">
        <f t="shared" si="0"/>
        <v>0</v>
      </c>
      <c r="M33" s="101">
        <f t="shared" si="1"/>
        <v>0</v>
      </c>
      <c r="N33" s="101">
        <f t="shared" si="2"/>
        <v>1785</v>
      </c>
      <c r="O33" s="101">
        <f t="shared" si="3"/>
        <v>1785</v>
      </c>
    </row>
    <row r="34" spans="1:15" ht="13.5" customHeight="1">
      <c r="A34" s="92"/>
      <c r="B34" s="92"/>
      <c r="C34" s="92"/>
      <c r="D34" s="174" t="s">
        <v>108</v>
      </c>
      <c r="E34" s="669"/>
      <c r="F34" s="93"/>
      <c r="G34" s="94">
        <f>SUM(G5:G33)</f>
        <v>83572</v>
      </c>
      <c r="H34" s="94">
        <f aca="true" t="shared" si="4" ref="H34:O34">SUM(H5:H33)</f>
        <v>4928</v>
      </c>
      <c r="I34" s="94">
        <f t="shared" si="4"/>
        <v>88500</v>
      </c>
      <c r="J34" s="94">
        <f t="shared" si="4"/>
        <v>55850</v>
      </c>
      <c r="K34" s="94">
        <f t="shared" si="4"/>
        <v>4600</v>
      </c>
      <c r="L34" s="94">
        <f t="shared" si="4"/>
        <v>60450</v>
      </c>
      <c r="M34" s="94">
        <f t="shared" si="4"/>
        <v>139422</v>
      </c>
      <c r="N34" s="94">
        <f t="shared" si="4"/>
        <v>9528</v>
      </c>
      <c r="O34" s="94">
        <f t="shared" si="4"/>
        <v>148950</v>
      </c>
    </row>
    <row r="35" spans="1:15" ht="12.75" customHeight="1">
      <c r="A35" s="239">
        <v>1</v>
      </c>
      <c r="B35" s="239">
        <v>15</v>
      </c>
      <c r="C35" s="239"/>
      <c r="D35" s="162" t="s">
        <v>903</v>
      </c>
      <c r="E35" s="502"/>
      <c r="F35" s="503"/>
      <c r="G35" s="91">
        <v>0</v>
      </c>
      <c r="H35" s="91">
        <v>0</v>
      </c>
      <c r="I35" s="91">
        <v>0</v>
      </c>
      <c r="J35" s="100"/>
      <c r="K35" s="100"/>
      <c r="L35" s="101">
        <f t="shared" si="0"/>
        <v>0</v>
      </c>
      <c r="M35" s="101">
        <f t="shared" si="1"/>
        <v>0</v>
      </c>
      <c r="N35" s="101">
        <f t="shared" si="2"/>
        <v>0</v>
      </c>
      <c r="O35" s="101">
        <f t="shared" si="3"/>
        <v>0</v>
      </c>
    </row>
    <row r="36" spans="1:15" ht="12.75" customHeight="1">
      <c r="A36" s="239"/>
      <c r="B36" s="239"/>
      <c r="C36" s="135">
        <v>1</v>
      </c>
      <c r="D36" s="247" t="s">
        <v>579</v>
      </c>
      <c r="E36" s="502"/>
      <c r="F36" s="503"/>
      <c r="G36" s="91">
        <v>0</v>
      </c>
      <c r="H36" s="91">
        <v>0</v>
      </c>
      <c r="I36" s="91">
        <v>0</v>
      </c>
      <c r="J36" s="100"/>
      <c r="K36" s="100"/>
      <c r="L36" s="101">
        <f t="shared" si="0"/>
        <v>0</v>
      </c>
      <c r="M36" s="101">
        <f t="shared" si="1"/>
        <v>0</v>
      </c>
      <c r="N36" s="101">
        <f t="shared" si="2"/>
        <v>0</v>
      </c>
      <c r="O36" s="101">
        <f t="shared" si="3"/>
        <v>0</v>
      </c>
    </row>
    <row r="37" spans="1:15" ht="24.75" customHeight="1">
      <c r="A37" s="239"/>
      <c r="B37" s="239"/>
      <c r="C37" s="136" t="s">
        <v>843</v>
      </c>
      <c r="D37" s="504" t="s">
        <v>375</v>
      </c>
      <c r="E37" s="502"/>
      <c r="F37" s="503" t="s">
        <v>933</v>
      </c>
      <c r="G37" s="91">
        <v>13000</v>
      </c>
      <c r="H37" s="91">
        <v>0</v>
      </c>
      <c r="I37" s="91">
        <v>13000</v>
      </c>
      <c r="J37" s="101">
        <v>1529</v>
      </c>
      <c r="K37" s="101"/>
      <c r="L37" s="101">
        <f t="shared" si="0"/>
        <v>1529</v>
      </c>
      <c r="M37" s="101">
        <f t="shared" si="1"/>
        <v>14529</v>
      </c>
      <c r="N37" s="101">
        <f t="shared" si="2"/>
        <v>0</v>
      </c>
      <c r="O37" s="101">
        <f t="shared" si="3"/>
        <v>14529</v>
      </c>
    </row>
    <row r="38" spans="1:15" ht="12.75" customHeight="1">
      <c r="A38" s="239"/>
      <c r="B38" s="239"/>
      <c r="C38" s="136" t="s">
        <v>844</v>
      </c>
      <c r="D38" s="505" t="s">
        <v>376</v>
      </c>
      <c r="E38" s="502"/>
      <c r="F38" s="503"/>
      <c r="G38" s="91">
        <v>6700</v>
      </c>
      <c r="H38" s="91">
        <v>0</v>
      </c>
      <c r="I38" s="91">
        <v>6700</v>
      </c>
      <c r="J38" s="101"/>
      <c r="K38" s="101"/>
      <c r="L38" s="101">
        <f t="shared" si="0"/>
        <v>0</v>
      </c>
      <c r="M38" s="101">
        <f t="shared" si="1"/>
        <v>6700</v>
      </c>
      <c r="N38" s="101">
        <f t="shared" si="2"/>
        <v>0</v>
      </c>
      <c r="O38" s="101">
        <f t="shared" si="3"/>
        <v>6700</v>
      </c>
    </row>
    <row r="39" spans="1:15" ht="12.75" customHeight="1">
      <c r="A39" s="239"/>
      <c r="B39" s="239"/>
      <c r="C39" s="136" t="s">
        <v>845</v>
      </c>
      <c r="D39" s="504" t="s">
        <v>377</v>
      </c>
      <c r="E39" s="502"/>
      <c r="F39" s="510"/>
      <c r="G39" s="91">
        <v>800</v>
      </c>
      <c r="H39" s="91">
        <v>0</v>
      </c>
      <c r="I39" s="91">
        <v>800</v>
      </c>
      <c r="J39" s="101"/>
      <c r="K39" s="101"/>
      <c r="L39" s="101">
        <f t="shared" si="0"/>
        <v>0</v>
      </c>
      <c r="M39" s="101">
        <f t="shared" si="1"/>
        <v>800</v>
      </c>
      <c r="N39" s="101">
        <f t="shared" si="2"/>
        <v>0</v>
      </c>
      <c r="O39" s="101">
        <f t="shared" si="3"/>
        <v>800</v>
      </c>
    </row>
    <row r="40" spans="1:15" ht="12.75" customHeight="1">
      <c r="A40" s="239"/>
      <c r="B40" s="239"/>
      <c r="C40" s="136" t="s">
        <v>832</v>
      </c>
      <c r="D40" s="504" t="s">
        <v>378</v>
      </c>
      <c r="E40" s="502"/>
      <c r="F40" s="510"/>
      <c r="G40" s="91">
        <v>800</v>
      </c>
      <c r="H40" s="91">
        <v>0</v>
      </c>
      <c r="I40" s="91">
        <v>800</v>
      </c>
      <c r="J40" s="101"/>
      <c r="K40" s="101"/>
      <c r="L40" s="101">
        <f t="shared" si="0"/>
        <v>0</v>
      </c>
      <c r="M40" s="101">
        <f t="shared" si="1"/>
        <v>800</v>
      </c>
      <c r="N40" s="101">
        <f t="shared" si="2"/>
        <v>0</v>
      </c>
      <c r="O40" s="101">
        <f t="shared" si="3"/>
        <v>800</v>
      </c>
    </row>
    <row r="41" spans="1:15" ht="12.75" customHeight="1">
      <c r="A41" s="239"/>
      <c r="B41" s="239"/>
      <c r="C41" s="136"/>
      <c r="D41" s="506" t="s">
        <v>151</v>
      </c>
      <c r="E41" s="502"/>
      <c r="F41" s="510"/>
      <c r="G41" s="91">
        <v>0</v>
      </c>
      <c r="H41" s="91">
        <v>0</v>
      </c>
      <c r="I41" s="91">
        <v>0</v>
      </c>
      <c r="J41" s="101"/>
      <c r="K41" s="101"/>
      <c r="L41" s="101">
        <f t="shared" si="0"/>
        <v>0</v>
      </c>
      <c r="M41" s="101">
        <f t="shared" si="1"/>
        <v>0</v>
      </c>
      <c r="N41" s="101">
        <f t="shared" si="2"/>
        <v>0</v>
      </c>
      <c r="O41" s="101">
        <f t="shared" si="3"/>
        <v>0</v>
      </c>
    </row>
    <row r="42" spans="1:15" ht="24.75" customHeight="1">
      <c r="A42" s="239"/>
      <c r="B42" s="239"/>
      <c r="C42" s="136" t="s">
        <v>440</v>
      </c>
      <c r="D42" s="507" t="s">
        <v>379</v>
      </c>
      <c r="E42" s="502"/>
      <c r="F42" s="510" t="s">
        <v>933</v>
      </c>
      <c r="G42" s="91">
        <v>7800</v>
      </c>
      <c r="H42" s="91">
        <v>0</v>
      </c>
      <c r="I42" s="91">
        <v>7800</v>
      </c>
      <c r="J42" s="101">
        <v>886</v>
      </c>
      <c r="K42" s="101"/>
      <c r="L42" s="101">
        <f t="shared" si="0"/>
        <v>886</v>
      </c>
      <c r="M42" s="101">
        <f t="shared" si="1"/>
        <v>8686</v>
      </c>
      <c r="N42" s="101">
        <f t="shared" si="2"/>
        <v>0</v>
      </c>
      <c r="O42" s="101">
        <f t="shared" si="3"/>
        <v>8686</v>
      </c>
    </row>
    <row r="43" spans="1:15" ht="12.75" customHeight="1">
      <c r="A43" s="239"/>
      <c r="B43" s="239"/>
      <c r="C43" s="95" t="s">
        <v>850</v>
      </c>
      <c r="D43" s="176" t="s">
        <v>457</v>
      </c>
      <c r="E43" s="502"/>
      <c r="F43" s="503"/>
      <c r="G43" s="91">
        <v>0</v>
      </c>
      <c r="H43" s="91">
        <v>0</v>
      </c>
      <c r="I43" s="91">
        <v>0</v>
      </c>
      <c r="J43" s="101"/>
      <c r="K43" s="101"/>
      <c r="L43" s="101">
        <f t="shared" si="0"/>
        <v>0</v>
      </c>
      <c r="M43" s="101">
        <f t="shared" si="1"/>
        <v>0</v>
      </c>
      <c r="N43" s="101">
        <f t="shared" si="2"/>
        <v>0</v>
      </c>
      <c r="O43" s="101">
        <f t="shared" si="3"/>
        <v>0</v>
      </c>
    </row>
    <row r="44" spans="1:15" ht="12.75" customHeight="1">
      <c r="A44" s="239"/>
      <c r="B44" s="239"/>
      <c r="C44" s="99" t="s">
        <v>856</v>
      </c>
      <c r="D44" s="508" t="s">
        <v>380</v>
      </c>
      <c r="E44" s="509"/>
      <c r="F44" s="510" t="s">
        <v>933</v>
      </c>
      <c r="G44" s="91">
        <v>2500</v>
      </c>
      <c r="H44" s="91">
        <v>0</v>
      </c>
      <c r="I44" s="91">
        <v>2500</v>
      </c>
      <c r="J44" s="101">
        <v>640</v>
      </c>
      <c r="K44" s="101"/>
      <c r="L44" s="101">
        <f t="shared" si="0"/>
        <v>640</v>
      </c>
      <c r="M44" s="101">
        <f t="shared" si="1"/>
        <v>3140</v>
      </c>
      <c r="N44" s="101">
        <f t="shared" si="2"/>
        <v>0</v>
      </c>
      <c r="O44" s="101">
        <f t="shared" si="3"/>
        <v>3140</v>
      </c>
    </row>
    <row r="45" spans="1:15" ht="12.75" customHeight="1">
      <c r="A45" s="239"/>
      <c r="B45" s="239"/>
      <c r="C45" s="99" t="s">
        <v>857</v>
      </c>
      <c r="D45" s="508" t="s">
        <v>381</v>
      </c>
      <c r="E45" s="509"/>
      <c r="F45" s="510" t="s">
        <v>933</v>
      </c>
      <c r="G45" s="91">
        <v>1800</v>
      </c>
      <c r="H45" s="91">
        <v>0</v>
      </c>
      <c r="I45" s="91">
        <v>1800</v>
      </c>
      <c r="J45" s="101">
        <v>691</v>
      </c>
      <c r="K45" s="101"/>
      <c r="L45" s="101">
        <f t="shared" si="0"/>
        <v>691</v>
      </c>
      <c r="M45" s="101">
        <f t="shared" si="1"/>
        <v>2491</v>
      </c>
      <c r="N45" s="101">
        <f t="shared" si="2"/>
        <v>0</v>
      </c>
      <c r="O45" s="101">
        <f t="shared" si="3"/>
        <v>2491</v>
      </c>
    </row>
    <row r="46" spans="1:15" ht="12.75" customHeight="1">
      <c r="A46" s="239"/>
      <c r="B46" s="239"/>
      <c r="C46" s="99" t="s">
        <v>858</v>
      </c>
      <c r="D46" s="508" t="s">
        <v>382</v>
      </c>
      <c r="E46" s="509"/>
      <c r="F46" s="510" t="s">
        <v>933</v>
      </c>
      <c r="G46" s="91">
        <v>1000</v>
      </c>
      <c r="H46" s="91">
        <v>0</v>
      </c>
      <c r="I46" s="91">
        <v>1000</v>
      </c>
      <c r="J46" s="101">
        <v>-1000</v>
      </c>
      <c r="K46" s="101"/>
      <c r="L46" s="101">
        <f t="shared" si="0"/>
        <v>-1000</v>
      </c>
      <c r="M46" s="101">
        <f t="shared" si="1"/>
        <v>0</v>
      </c>
      <c r="N46" s="101">
        <f t="shared" si="2"/>
        <v>0</v>
      </c>
      <c r="O46" s="101">
        <f t="shared" si="3"/>
        <v>0</v>
      </c>
    </row>
    <row r="47" spans="1:15" ht="15" customHeight="1">
      <c r="A47" s="239"/>
      <c r="B47" s="239"/>
      <c r="C47" s="99" t="s">
        <v>859</v>
      </c>
      <c r="D47" s="508" t="s">
        <v>383</v>
      </c>
      <c r="E47" s="509"/>
      <c r="F47" s="510"/>
      <c r="G47" s="91">
        <v>3250</v>
      </c>
      <c r="H47" s="91">
        <v>0</v>
      </c>
      <c r="I47" s="91">
        <v>3250</v>
      </c>
      <c r="J47" s="101"/>
      <c r="K47" s="101"/>
      <c r="L47" s="101">
        <f t="shared" si="0"/>
        <v>0</v>
      </c>
      <c r="M47" s="101">
        <f t="shared" si="1"/>
        <v>3250</v>
      </c>
      <c r="N47" s="101">
        <f t="shared" si="2"/>
        <v>0</v>
      </c>
      <c r="O47" s="101">
        <f t="shared" si="3"/>
        <v>3250</v>
      </c>
    </row>
    <row r="48" spans="1:15" ht="15" customHeight="1">
      <c r="A48" s="239"/>
      <c r="B48" s="239"/>
      <c r="C48" s="99" t="s">
        <v>860</v>
      </c>
      <c r="D48" s="508" t="s">
        <v>384</v>
      </c>
      <c r="E48" s="509"/>
      <c r="F48" s="510" t="s">
        <v>933</v>
      </c>
      <c r="G48" s="91">
        <v>600</v>
      </c>
      <c r="H48" s="91">
        <v>0</v>
      </c>
      <c r="I48" s="91">
        <v>600</v>
      </c>
      <c r="J48" s="101">
        <v>-446</v>
      </c>
      <c r="K48" s="101"/>
      <c r="L48" s="101">
        <f t="shared" si="0"/>
        <v>-446</v>
      </c>
      <c r="M48" s="101">
        <f t="shared" si="1"/>
        <v>154</v>
      </c>
      <c r="N48" s="101">
        <f t="shared" si="2"/>
        <v>0</v>
      </c>
      <c r="O48" s="101">
        <f t="shared" si="3"/>
        <v>154</v>
      </c>
    </row>
    <row r="49" spans="1:15" ht="12.75" customHeight="1">
      <c r="A49" s="239"/>
      <c r="B49" s="239"/>
      <c r="C49" s="99" t="s">
        <v>861</v>
      </c>
      <c r="D49" s="508" t="s">
        <v>385</v>
      </c>
      <c r="E49" s="509"/>
      <c r="F49" s="510" t="s">
        <v>933</v>
      </c>
      <c r="G49" s="91">
        <v>1000</v>
      </c>
      <c r="H49" s="91">
        <v>0</v>
      </c>
      <c r="I49" s="91">
        <v>1000</v>
      </c>
      <c r="J49" s="101">
        <v>-1000</v>
      </c>
      <c r="K49" s="101"/>
      <c r="L49" s="101">
        <f t="shared" si="0"/>
        <v>-1000</v>
      </c>
      <c r="M49" s="101">
        <f t="shared" si="1"/>
        <v>0</v>
      </c>
      <c r="N49" s="101">
        <f t="shared" si="2"/>
        <v>0</v>
      </c>
      <c r="O49" s="101">
        <f t="shared" si="3"/>
        <v>0</v>
      </c>
    </row>
    <row r="50" spans="1:15" ht="12.75" customHeight="1">
      <c r="A50" s="239"/>
      <c r="B50" s="239"/>
      <c r="C50" s="99" t="s">
        <v>862</v>
      </c>
      <c r="D50" s="493" t="s">
        <v>386</v>
      </c>
      <c r="E50" s="509"/>
      <c r="F50" s="510" t="s">
        <v>933</v>
      </c>
      <c r="G50" s="91">
        <v>4000</v>
      </c>
      <c r="H50" s="91">
        <v>0</v>
      </c>
      <c r="I50" s="91">
        <v>4000</v>
      </c>
      <c r="J50" s="101">
        <v>-3380</v>
      </c>
      <c r="K50" s="101"/>
      <c r="L50" s="101">
        <f t="shared" si="0"/>
        <v>-3380</v>
      </c>
      <c r="M50" s="101">
        <f t="shared" si="1"/>
        <v>620</v>
      </c>
      <c r="N50" s="101">
        <f t="shared" si="2"/>
        <v>0</v>
      </c>
      <c r="O50" s="101">
        <f t="shared" si="3"/>
        <v>620</v>
      </c>
    </row>
    <row r="51" spans="1:15" ht="12.75" customHeight="1">
      <c r="A51" s="239"/>
      <c r="B51" s="239"/>
      <c r="C51" s="99" t="s">
        <v>863</v>
      </c>
      <c r="D51" s="508" t="s">
        <v>387</v>
      </c>
      <c r="E51" s="509"/>
      <c r="F51" s="510"/>
      <c r="G51" s="91">
        <v>1700</v>
      </c>
      <c r="H51" s="91">
        <v>0</v>
      </c>
      <c r="I51" s="91">
        <v>1700</v>
      </c>
      <c r="J51" s="101"/>
      <c r="K51" s="101"/>
      <c r="L51" s="101">
        <f t="shared" si="0"/>
        <v>0</v>
      </c>
      <c r="M51" s="101">
        <f t="shared" si="1"/>
        <v>1700</v>
      </c>
      <c r="N51" s="101">
        <f t="shared" si="2"/>
        <v>0</v>
      </c>
      <c r="O51" s="101">
        <f t="shared" si="3"/>
        <v>1700</v>
      </c>
    </row>
    <row r="52" spans="1:15" ht="12.75" customHeight="1">
      <c r="A52" s="239"/>
      <c r="B52" s="239"/>
      <c r="C52" s="99" t="s">
        <v>864</v>
      </c>
      <c r="D52" s="508" t="s">
        <v>388</v>
      </c>
      <c r="E52" s="509"/>
      <c r="F52" s="510" t="s">
        <v>933</v>
      </c>
      <c r="G52" s="91">
        <v>1000</v>
      </c>
      <c r="H52" s="91">
        <v>0</v>
      </c>
      <c r="I52" s="91">
        <v>1000</v>
      </c>
      <c r="J52" s="101">
        <v>-817</v>
      </c>
      <c r="K52" s="101"/>
      <c r="L52" s="101">
        <f t="shared" si="0"/>
        <v>-817</v>
      </c>
      <c r="M52" s="101">
        <f t="shared" si="1"/>
        <v>183</v>
      </c>
      <c r="N52" s="101">
        <f t="shared" si="2"/>
        <v>0</v>
      </c>
      <c r="O52" s="101">
        <f t="shared" si="3"/>
        <v>183</v>
      </c>
    </row>
    <row r="53" spans="1:15" ht="12.75" customHeight="1">
      <c r="A53" s="239"/>
      <c r="B53" s="239"/>
      <c r="C53" s="99" t="s">
        <v>865</v>
      </c>
      <c r="D53" s="508" t="s">
        <v>389</v>
      </c>
      <c r="E53" s="509"/>
      <c r="F53" s="510" t="s">
        <v>933</v>
      </c>
      <c r="G53" s="91">
        <v>3800</v>
      </c>
      <c r="H53" s="91">
        <v>0</v>
      </c>
      <c r="I53" s="91">
        <v>3800</v>
      </c>
      <c r="J53" s="101">
        <v>-3800</v>
      </c>
      <c r="K53" s="101"/>
      <c r="L53" s="101">
        <f t="shared" si="0"/>
        <v>-3800</v>
      </c>
      <c r="M53" s="101">
        <f t="shared" si="1"/>
        <v>0</v>
      </c>
      <c r="N53" s="101">
        <f t="shared" si="2"/>
        <v>0</v>
      </c>
      <c r="O53" s="101">
        <f t="shared" si="3"/>
        <v>0</v>
      </c>
    </row>
    <row r="54" spans="1:15" ht="12.75" customHeight="1">
      <c r="A54" s="239"/>
      <c r="B54" s="239"/>
      <c r="C54" s="99" t="s">
        <v>866</v>
      </c>
      <c r="D54" s="508" t="s">
        <v>917</v>
      </c>
      <c r="E54" s="509"/>
      <c r="F54" s="510" t="s">
        <v>933</v>
      </c>
      <c r="G54" s="91">
        <v>9250</v>
      </c>
      <c r="H54" s="91">
        <v>0</v>
      </c>
      <c r="I54" s="91">
        <v>9250</v>
      </c>
      <c r="J54" s="101">
        <v>-631</v>
      </c>
      <c r="K54" s="101"/>
      <c r="L54" s="101">
        <f t="shared" si="0"/>
        <v>-631</v>
      </c>
      <c r="M54" s="101">
        <f t="shared" si="1"/>
        <v>8619</v>
      </c>
      <c r="N54" s="101">
        <f t="shared" si="2"/>
        <v>0</v>
      </c>
      <c r="O54" s="101">
        <f t="shared" si="3"/>
        <v>8619</v>
      </c>
    </row>
    <row r="55" spans="1:15" ht="12.75" customHeight="1">
      <c r="A55" s="239"/>
      <c r="B55" s="239"/>
      <c r="C55" s="99" t="s">
        <v>867</v>
      </c>
      <c r="D55" s="493" t="s">
        <v>390</v>
      </c>
      <c r="E55" s="509"/>
      <c r="F55" s="510"/>
      <c r="G55" s="91">
        <v>5000</v>
      </c>
      <c r="H55" s="91">
        <v>0</v>
      </c>
      <c r="I55" s="91">
        <v>5000</v>
      </c>
      <c r="J55" s="101"/>
      <c r="K55" s="101"/>
      <c r="L55" s="101">
        <f t="shared" si="0"/>
        <v>0</v>
      </c>
      <c r="M55" s="101">
        <f t="shared" si="1"/>
        <v>5000</v>
      </c>
      <c r="N55" s="101">
        <f t="shared" si="2"/>
        <v>0</v>
      </c>
      <c r="O55" s="101">
        <f t="shared" si="3"/>
        <v>5000</v>
      </c>
    </row>
    <row r="56" spans="1:15" ht="12.75" customHeight="1">
      <c r="A56" s="239"/>
      <c r="B56" s="239"/>
      <c r="C56" s="99" t="s">
        <v>868</v>
      </c>
      <c r="D56" s="508" t="s">
        <v>391</v>
      </c>
      <c r="E56" s="509"/>
      <c r="F56" s="510"/>
      <c r="G56" s="91">
        <v>3000</v>
      </c>
      <c r="H56" s="91">
        <v>0</v>
      </c>
      <c r="I56" s="91">
        <v>3000</v>
      </c>
      <c r="J56" s="101"/>
      <c r="K56" s="101"/>
      <c r="L56" s="101">
        <f t="shared" si="0"/>
        <v>0</v>
      </c>
      <c r="M56" s="101">
        <f t="shared" si="1"/>
        <v>3000</v>
      </c>
      <c r="N56" s="101">
        <f t="shared" si="2"/>
        <v>0</v>
      </c>
      <c r="O56" s="101">
        <f t="shared" si="3"/>
        <v>3000</v>
      </c>
    </row>
    <row r="57" spans="1:15" ht="12.75" customHeight="1">
      <c r="A57" s="239"/>
      <c r="B57" s="239"/>
      <c r="C57" s="99" t="s">
        <v>869</v>
      </c>
      <c r="D57" s="508" t="s">
        <v>392</v>
      </c>
      <c r="E57" s="509"/>
      <c r="F57" s="510"/>
      <c r="G57" s="91">
        <v>3000</v>
      </c>
      <c r="H57" s="91">
        <v>0</v>
      </c>
      <c r="I57" s="91">
        <v>3000</v>
      </c>
      <c r="J57" s="101"/>
      <c r="K57" s="101"/>
      <c r="L57" s="101">
        <f t="shared" si="0"/>
        <v>0</v>
      </c>
      <c r="M57" s="101">
        <f t="shared" si="1"/>
        <v>3000</v>
      </c>
      <c r="N57" s="101">
        <f t="shared" si="2"/>
        <v>0</v>
      </c>
      <c r="O57" s="101">
        <f t="shared" si="3"/>
        <v>3000</v>
      </c>
    </row>
    <row r="58" spans="1:15" ht="12.75" customHeight="1">
      <c r="A58" s="239"/>
      <c r="B58" s="239"/>
      <c r="C58" s="99" t="s">
        <v>870</v>
      </c>
      <c r="D58" s="508" t="s">
        <v>776</v>
      </c>
      <c r="E58" s="509"/>
      <c r="F58" s="510"/>
      <c r="G58" s="91">
        <v>2400</v>
      </c>
      <c r="H58" s="91">
        <v>0</v>
      </c>
      <c r="I58" s="91">
        <v>2400</v>
      </c>
      <c r="J58" s="101"/>
      <c r="K58" s="101"/>
      <c r="L58" s="101">
        <f t="shared" si="0"/>
        <v>0</v>
      </c>
      <c r="M58" s="101">
        <f t="shared" si="1"/>
        <v>2400</v>
      </c>
      <c r="N58" s="101">
        <f t="shared" si="2"/>
        <v>0</v>
      </c>
      <c r="O58" s="101">
        <f t="shared" si="3"/>
        <v>2400</v>
      </c>
    </row>
    <row r="59" spans="1:15" ht="12.75" customHeight="1">
      <c r="A59" s="239"/>
      <c r="B59" s="239"/>
      <c r="C59" s="99" t="s">
        <v>834</v>
      </c>
      <c r="D59" s="508" t="s">
        <v>393</v>
      </c>
      <c r="E59" s="509"/>
      <c r="F59" s="510"/>
      <c r="G59" s="91">
        <v>3500</v>
      </c>
      <c r="H59" s="91">
        <v>0</v>
      </c>
      <c r="I59" s="91">
        <v>3500</v>
      </c>
      <c r="J59" s="101"/>
      <c r="K59" s="101"/>
      <c r="L59" s="101">
        <f t="shared" si="0"/>
        <v>0</v>
      </c>
      <c r="M59" s="101">
        <f t="shared" si="1"/>
        <v>3500</v>
      </c>
      <c r="N59" s="101">
        <f t="shared" si="2"/>
        <v>0</v>
      </c>
      <c r="O59" s="101">
        <f t="shared" si="3"/>
        <v>3500</v>
      </c>
    </row>
    <row r="60" spans="1:15" ht="12.75" customHeight="1">
      <c r="A60" s="239"/>
      <c r="B60" s="239"/>
      <c r="C60" s="99" t="s">
        <v>835</v>
      </c>
      <c r="D60" s="508" t="s">
        <v>394</v>
      </c>
      <c r="E60" s="509"/>
      <c r="F60" s="510" t="s">
        <v>933</v>
      </c>
      <c r="G60" s="91">
        <v>500</v>
      </c>
      <c r="H60" s="91">
        <v>0</v>
      </c>
      <c r="I60" s="91">
        <v>500</v>
      </c>
      <c r="J60" s="101">
        <v>-454</v>
      </c>
      <c r="K60" s="101"/>
      <c r="L60" s="101">
        <f t="shared" si="0"/>
        <v>-454</v>
      </c>
      <c r="M60" s="101">
        <f t="shared" si="1"/>
        <v>46</v>
      </c>
      <c r="N60" s="101">
        <f t="shared" si="2"/>
        <v>0</v>
      </c>
      <c r="O60" s="101">
        <f t="shared" si="3"/>
        <v>46</v>
      </c>
    </row>
    <row r="61" spans="1:15" ht="15" customHeight="1">
      <c r="A61" s="239"/>
      <c r="B61" s="239"/>
      <c r="C61" s="99" t="s">
        <v>836</v>
      </c>
      <c r="D61" s="508" t="s">
        <v>245</v>
      </c>
      <c r="E61" s="502"/>
      <c r="F61" s="503"/>
      <c r="G61" s="91">
        <v>3000</v>
      </c>
      <c r="H61" s="91">
        <v>0</v>
      </c>
      <c r="I61" s="91">
        <v>3000</v>
      </c>
      <c r="J61" s="101"/>
      <c r="K61" s="101"/>
      <c r="L61" s="101">
        <f t="shared" si="0"/>
        <v>0</v>
      </c>
      <c r="M61" s="101">
        <f t="shared" si="1"/>
        <v>3000</v>
      </c>
      <c r="N61" s="101">
        <f t="shared" si="2"/>
        <v>0</v>
      </c>
      <c r="O61" s="101">
        <f t="shared" si="3"/>
        <v>3000</v>
      </c>
    </row>
    <row r="62" spans="1:15" ht="15" customHeight="1">
      <c r="A62" s="239"/>
      <c r="B62" s="239"/>
      <c r="C62" s="99" t="s">
        <v>837</v>
      </c>
      <c r="D62" s="508" t="s">
        <v>395</v>
      </c>
      <c r="E62" s="502"/>
      <c r="F62" s="503"/>
      <c r="G62" s="91">
        <v>3000</v>
      </c>
      <c r="H62" s="91">
        <v>0</v>
      </c>
      <c r="I62" s="91">
        <v>3000</v>
      </c>
      <c r="J62" s="101"/>
      <c r="K62" s="101"/>
      <c r="L62" s="101">
        <f t="shared" si="0"/>
        <v>0</v>
      </c>
      <c r="M62" s="101">
        <f t="shared" si="1"/>
        <v>3000</v>
      </c>
      <c r="N62" s="101">
        <f t="shared" si="2"/>
        <v>0</v>
      </c>
      <c r="O62" s="101">
        <f t="shared" si="3"/>
        <v>3000</v>
      </c>
    </row>
    <row r="63" spans="1:15" ht="15" customHeight="1">
      <c r="A63" s="239"/>
      <c r="B63" s="239"/>
      <c r="C63" s="99" t="s">
        <v>838</v>
      </c>
      <c r="D63" s="508" t="s">
        <v>396</v>
      </c>
      <c r="E63" s="502"/>
      <c r="F63" s="510" t="s">
        <v>933</v>
      </c>
      <c r="G63" s="91">
        <v>500</v>
      </c>
      <c r="H63" s="91">
        <v>0</v>
      </c>
      <c r="I63" s="91">
        <v>500</v>
      </c>
      <c r="J63" s="101">
        <v>-474</v>
      </c>
      <c r="K63" s="101"/>
      <c r="L63" s="101">
        <f t="shared" si="0"/>
        <v>-474</v>
      </c>
      <c r="M63" s="101">
        <f t="shared" si="1"/>
        <v>26</v>
      </c>
      <c r="N63" s="101">
        <f t="shared" si="2"/>
        <v>0</v>
      </c>
      <c r="O63" s="101">
        <f t="shared" si="3"/>
        <v>26</v>
      </c>
    </row>
    <row r="64" spans="1:15" ht="15" customHeight="1">
      <c r="A64" s="239"/>
      <c r="B64" s="239"/>
      <c r="C64" s="99" t="s">
        <v>839</v>
      </c>
      <c r="D64" s="508" t="s">
        <v>397</v>
      </c>
      <c r="E64" s="502"/>
      <c r="F64" s="510"/>
      <c r="G64" s="91">
        <v>1800</v>
      </c>
      <c r="H64" s="91">
        <v>0</v>
      </c>
      <c r="I64" s="91">
        <v>1800</v>
      </c>
      <c r="J64" s="101"/>
      <c r="K64" s="101"/>
      <c r="L64" s="101">
        <f t="shared" si="0"/>
        <v>0</v>
      </c>
      <c r="M64" s="101">
        <f t="shared" si="1"/>
        <v>1800</v>
      </c>
      <c r="N64" s="101">
        <f t="shared" si="2"/>
        <v>0</v>
      </c>
      <c r="O64" s="101">
        <f t="shared" si="3"/>
        <v>1800</v>
      </c>
    </row>
    <row r="65" spans="1:15" ht="15" customHeight="1">
      <c r="A65" s="239"/>
      <c r="B65" s="239"/>
      <c r="C65" s="99" t="s">
        <v>840</v>
      </c>
      <c r="D65" s="508" t="s">
        <v>398</v>
      </c>
      <c r="E65" s="502"/>
      <c r="F65" s="510" t="s">
        <v>933</v>
      </c>
      <c r="G65" s="91">
        <v>2000</v>
      </c>
      <c r="H65" s="91">
        <v>0</v>
      </c>
      <c r="I65" s="91">
        <v>2000</v>
      </c>
      <c r="J65" s="101">
        <v>-2000</v>
      </c>
      <c r="K65" s="101"/>
      <c r="L65" s="101">
        <f t="shared" si="0"/>
        <v>-2000</v>
      </c>
      <c r="M65" s="101">
        <f t="shared" si="1"/>
        <v>0</v>
      </c>
      <c r="N65" s="101">
        <f t="shared" si="2"/>
        <v>0</v>
      </c>
      <c r="O65" s="101">
        <f t="shared" si="3"/>
        <v>0</v>
      </c>
    </row>
    <row r="66" spans="1:15" ht="15" customHeight="1">
      <c r="A66" s="239"/>
      <c r="B66" s="239"/>
      <c r="C66" s="99" t="s">
        <v>841</v>
      </c>
      <c r="D66" s="508" t="s">
        <v>399</v>
      </c>
      <c r="E66" s="502"/>
      <c r="F66" s="510" t="s">
        <v>933</v>
      </c>
      <c r="G66" s="91">
        <v>2000</v>
      </c>
      <c r="H66" s="91">
        <v>0</v>
      </c>
      <c r="I66" s="91">
        <v>2000</v>
      </c>
      <c r="J66" s="101">
        <v>817</v>
      </c>
      <c r="K66" s="101"/>
      <c r="L66" s="101">
        <f t="shared" si="0"/>
        <v>817</v>
      </c>
      <c r="M66" s="101">
        <f t="shared" si="1"/>
        <v>2817</v>
      </c>
      <c r="N66" s="101">
        <f t="shared" si="2"/>
        <v>0</v>
      </c>
      <c r="O66" s="101">
        <f t="shared" si="3"/>
        <v>2817</v>
      </c>
    </row>
    <row r="67" spans="1:15" ht="15" customHeight="1">
      <c r="A67" s="239"/>
      <c r="B67" s="239"/>
      <c r="C67" s="99" t="s">
        <v>842</v>
      </c>
      <c r="D67" s="493" t="s">
        <v>400</v>
      </c>
      <c r="E67" s="134"/>
      <c r="F67" s="510" t="s">
        <v>933</v>
      </c>
      <c r="G67" s="91">
        <v>6700</v>
      </c>
      <c r="H67" s="91">
        <v>0</v>
      </c>
      <c r="I67" s="91">
        <v>6700</v>
      </c>
      <c r="J67" s="101">
        <v>-656</v>
      </c>
      <c r="K67" s="101"/>
      <c r="L67" s="101">
        <f t="shared" si="0"/>
        <v>-656</v>
      </c>
      <c r="M67" s="101">
        <f t="shared" si="1"/>
        <v>6044</v>
      </c>
      <c r="N67" s="101">
        <f t="shared" si="2"/>
        <v>0</v>
      </c>
      <c r="O67" s="101">
        <f t="shared" si="3"/>
        <v>6044</v>
      </c>
    </row>
    <row r="68" spans="1:15" ht="15" customHeight="1">
      <c r="A68" s="239"/>
      <c r="B68" s="239"/>
      <c r="C68" s="99" t="s">
        <v>777</v>
      </c>
      <c r="D68" s="512" t="s">
        <v>401</v>
      </c>
      <c r="E68" s="502"/>
      <c r="F68" s="510" t="s">
        <v>933</v>
      </c>
      <c r="G68" s="91">
        <v>31365</v>
      </c>
      <c r="H68" s="91">
        <v>0</v>
      </c>
      <c r="I68" s="91">
        <v>31365</v>
      </c>
      <c r="J68" s="101">
        <v>1984</v>
      </c>
      <c r="K68" s="101"/>
      <c r="L68" s="101">
        <f t="shared" si="0"/>
        <v>1984</v>
      </c>
      <c r="M68" s="101">
        <f t="shared" si="1"/>
        <v>33349</v>
      </c>
      <c r="N68" s="101">
        <f t="shared" si="2"/>
        <v>0</v>
      </c>
      <c r="O68" s="101">
        <f t="shared" si="3"/>
        <v>33349</v>
      </c>
    </row>
    <row r="69" spans="1:15" ht="15" customHeight="1">
      <c r="A69" s="239"/>
      <c r="B69" s="239"/>
      <c r="C69" s="99" t="s">
        <v>778</v>
      </c>
      <c r="D69" s="513" t="s">
        <v>402</v>
      </c>
      <c r="E69" s="502"/>
      <c r="F69" s="510" t="s">
        <v>933</v>
      </c>
      <c r="G69" s="91">
        <v>16000</v>
      </c>
      <c r="H69" s="91">
        <v>0</v>
      </c>
      <c r="I69" s="91">
        <v>16000</v>
      </c>
      <c r="J69" s="101">
        <v>4274</v>
      </c>
      <c r="K69" s="101"/>
      <c r="L69" s="101">
        <f t="shared" si="0"/>
        <v>4274</v>
      </c>
      <c r="M69" s="101">
        <f t="shared" si="1"/>
        <v>20274</v>
      </c>
      <c r="N69" s="101">
        <f t="shared" si="2"/>
        <v>0</v>
      </c>
      <c r="O69" s="101">
        <f t="shared" si="3"/>
        <v>20274</v>
      </c>
    </row>
    <row r="70" spans="1:15" ht="15" customHeight="1">
      <c r="A70" s="239"/>
      <c r="B70" s="239"/>
      <c r="C70" s="99" t="s">
        <v>779</v>
      </c>
      <c r="D70" s="508" t="s">
        <v>403</v>
      </c>
      <c r="E70" s="502"/>
      <c r="F70" s="510" t="s">
        <v>933</v>
      </c>
      <c r="G70" s="91">
        <v>14992</v>
      </c>
      <c r="H70" s="91">
        <v>0</v>
      </c>
      <c r="I70" s="91">
        <v>14992</v>
      </c>
      <c r="J70" s="101">
        <v>705</v>
      </c>
      <c r="K70" s="101"/>
      <c r="L70" s="101">
        <f t="shared" si="0"/>
        <v>705</v>
      </c>
      <c r="M70" s="101">
        <f t="shared" si="1"/>
        <v>15697</v>
      </c>
      <c r="N70" s="101">
        <f t="shared" si="2"/>
        <v>0</v>
      </c>
      <c r="O70" s="101">
        <f t="shared" si="3"/>
        <v>15697</v>
      </c>
    </row>
    <row r="71" spans="1:15" ht="24.75" customHeight="1">
      <c r="A71" s="239"/>
      <c r="B71" s="239"/>
      <c r="C71" s="99" t="s">
        <v>780</v>
      </c>
      <c r="D71" s="514" t="s">
        <v>711</v>
      </c>
      <c r="E71" s="502"/>
      <c r="F71" s="510" t="s">
        <v>933</v>
      </c>
      <c r="G71" s="91">
        <v>7369</v>
      </c>
      <c r="H71" s="91">
        <v>0</v>
      </c>
      <c r="I71" s="91">
        <v>7369</v>
      </c>
      <c r="J71" s="101">
        <v>-2720</v>
      </c>
      <c r="K71" s="101"/>
      <c r="L71" s="101">
        <f t="shared" si="0"/>
        <v>-2720</v>
      </c>
      <c r="M71" s="101">
        <f t="shared" si="1"/>
        <v>4649</v>
      </c>
      <c r="N71" s="101">
        <f t="shared" si="2"/>
        <v>0</v>
      </c>
      <c r="O71" s="101">
        <f t="shared" si="3"/>
        <v>4649</v>
      </c>
    </row>
    <row r="72" spans="1:15" ht="15" customHeight="1">
      <c r="A72" s="239"/>
      <c r="B72" s="239"/>
      <c r="C72" s="99" t="s">
        <v>781</v>
      </c>
      <c r="D72" s="508" t="s">
        <v>404</v>
      </c>
      <c r="E72" s="502"/>
      <c r="F72" s="510"/>
      <c r="G72" s="91">
        <v>5000</v>
      </c>
      <c r="H72" s="91">
        <v>0</v>
      </c>
      <c r="I72" s="91">
        <v>5000</v>
      </c>
      <c r="J72" s="101"/>
      <c r="K72" s="101"/>
      <c r="L72" s="101">
        <f t="shared" si="0"/>
        <v>0</v>
      </c>
      <c r="M72" s="101">
        <f t="shared" si="1"/>
        <v>5000</v>
      </c>
      <c r="N72" s="101">
        <f t="shared" si="2"/>
        <v>0</v>
      </c>
      <c r="O72" s="101">
        <f t="shared" si="3"/>
        <v>5000</v>
      </c>
    </row>
    <row r="73" spans="1:15" ht="15" customHeight="1">
      <c r="A73" s="239"/>
      <c r="B73" s="239"/>
      <c r="C73" s="99" t="s">
        <v>782</v>
      </c>
      <c r="D73" s="508" t="s">
        <v>405</v>
      </c>
      <c r="E73" s="502"/>
      <c r="F73" s="510"/>
      <c r="G73" s="91">
        <v>4000</v>
      </c>
      <c r="H73" s="91">
        <v>0</v>
      </c>
      <c r="I73" s="91">
        <v>4000</v>
      </c>
      <c r="J73" s="101"/>
      <c r="K73" s="101"/>
      <c r="L73" s="101">
        <f t="shared" si="0"/>
        <v>0</v>
      </c>
      <c r="M73" s="101">
        <f t="shared" si="1"/>
        <v>4000</v>
      </c>
      <c r="N73" s="101">
        <f t="shared" si="2"/>
        <v>0</v>
      </c>
      <c r="O73" s="101">
        <f t="shared" si="3"/>
        <v>4000</v>
      </c>
    </row>
    <row r="74" spans="1:15" ht="15" customHeight="1">
      <c r="A74" s="239"/>
      <c r="B74" s="239"/>
      <c r="C74" s="99" t="s">
        <v>783</v>
      </c>
      <c r="D74" s="508" t="s">
        <v>406</v>
      </c>
      <c r="E74" s="502"/>
      <c r="F74" s="510" t="s">
        <v>933</v>
      </c>
      <c r="G74" s="91">
        <v>3000</v>
      </c>
      <c r="H74" s="91">
        <v>0</v>
      </c>
      <c r="I74" s="91">
        <v>3000</v>
      </c>
      <c r="J74" s="101">
        <v>2235</v>
      </c>
      <c r="K74" s="101"/>
      <c r="L74" s="101">
        <f t="shared" si="0"/>
        <v>2235</v>
      </c>
      <c r="M74" s="101">
        <f t="shared" si="1"/>
        <v>5235</v>
      </c>
      <c r="N74" s="101">
        <f t="shared" si="2"/>
        <v>0</v>
      </c>
      <c r="O74" s="101">
        <f t="shared" si="3"/>
        <v>5235</v>
      </c>
    </row>
    <row r="75" spans="1:15" ht="15" customHeight="1">
      <c r="A75" s="239"/>
      <c r="B75" s="239"/>
      <c r="C75" s="99" t="s">
        <v>784</v>
      </c>
      <c r="D75" s="508" t="s">
        <v>407</v>
      </c>
      <c r="E75" s="134"/>
      <c r="F75" s="511"/>
      <c r="G75" s="91">
        <v>5500</v>
      </c>
      <c r="H75" s="91">
        <v>0</v>
      </c>
      <c r="I75" s="91">
        <v>5500</v>
      </c>
      <c r="J75" s="101"/>
      <c r="K75" s="101"/>
      <c r="L75" s="101">
        <f t="shared" si="0"/>
        <v>0</v>
      </c>
      <c r="M75" s="101">
        <f t="shared" si="1"/>
        <v>5500</v>
      </c>
      <c r="N75" s="101">
        <f t="shared" si="2"/>
        <v>0</v>
      </c>
      <c r="O75" s="101">
        <f t="shared" si="3"/>
        <v>5500</v>
      </c>
    </row>
    <row r="76" spans="1:15" ht="15" customHeight="1">
      <c r="A76" s="239"/>
      <c r="B76" s="239"/>
      <c r="C76" s="99" t="s">
        <v>785</v>
      </c>
      <c r="D76" s="508" t="s">
        <v>408</v>
      </c>
      <c r="E76" s="502"/>
      <c r="F76" s="510"/>
      <c r="G76" s="91">
        <v>2000</v>
      </c>
      <c r="H76" s="91">
        <v>0</v>
      </c>
      <c r="I76" s="91">
        <v>2000</v>
      </c>
      <c r="J76" s="101"/>
      <c r="K76" s="101"/>
      <c r="L76" s="101">
        <f aca="true" t="shared" si="5" ref="L76:L145">SUM(J76:K76)</f>
        <v>0</v>
      </c>
      <c r="M76" s="101">
        <f aca="true" t="shared" si="6" ref="M76:M145">SUM(G76+J76)</f>
        <v>2000</v>
      </c>
      <c r="N76" s="101">
        <f aca="true" t="shared" si="7" ref="N76:N145">SUM(H76+K76)</f>
        <v>0</v>
      </c>
      <c r="O76" s="101">
        <f aca="true" t="shared" si="8" ref="O76:O145">SUM(M76:N76)</f>
        <v>2000</v>
      </c>
    </row>
    <row r="77" spans="1:15" ht="15" customHeight="1">
      <c r="A77" s="239"/>
      <c r="B77" s="239"/>
      <c r="C77" s="99" t="s">
        <v>786</v>
      </c>
      <c r="D77" s="508" t="s">
        <v>409</v>
      </c>
      <c r="E77" s="502"/>
      <c r="F77" s="510" t="s">
        <v>933</v>
      </c>
      <c r="G77" s="91">
        <v>5000</v>
      </c>
      <c r="H77" s="91">
        <v>0</v>
      </c>
      <c r="I77" s="91">
        <v>5000</v>
      </c>
      <c r="J77" s="101">
        <v>2720</v>
      </c>
      <c r="K77" s="101"/>
      <c r="L77" s="101">
        <f t="shared" si="5"/>
        <v>2720</v>
      </c>
      <c r="M77" s="101">
        <f t="shared" si="6"/>
        <v>7720</v>
      </c>
      <c r="N77" s="101">
        <f t="shared" si="7"/>
        <v>0</v>
      </c>
      <c r="O77" s="101">
        <f t="shared" si="8"/>
        <v>7720</v>
      </c>
    </row>
    <row r="78" spans="1:15" ht="15" customHeight="1">
      <c r="A78" s="239"/>
      <c r="B78" s="239"/>
      <c r="C78" s="99" t="s">
        <v>787</v>
      </c>
      <c r="D78" s="515" t="s">
        <v>410</v>
      </c>
      <c r="E78" s="502"/>
      <c r="F78" s="503"/>
      <c r="G78" s="91">
        <v>12548</v>
      </c>
      <c r="H78" s="91">
        <v>0</v>
      </c>
      <c r="I78" s="91">
        <v>12548</v>
      </c>
      <c r="J78" s="101"/>
      <c r="K78" s="101"/>
      <c r="L78" s="101">
        <f t="shared" si="5"/>
        <v>0</v>
      </c>
      <c r="M78" s="101">
        <f t="shared" si="6"/>
        <v>12548</v>
      </c>
      <c r="N78" s="101">
        <f t="shared" si="7"/>
        <v>0</v>
      </c>
      <c r="O78" s="101">
        <f t="shared" si="8"/>
        <v>12548</v>
      </c>
    </row>
    <row r="79" spans="1:15" ht="15" customHeight="1">
      <c r="A79" s="239"/>
      <c r="B79" s="239"/>
      <c r="C79" s="99" t="s">
        <v>788</v>
      </c>
      <c r="D79" s="508" t="s">
        <v>916</v>
      </c>
      <c r="E79" s="502"/>
      <c r="F79" s="503"/>
      <c r="G79" s="91">
        <v>15000</v>
      </c>
      <c r="H79" s="91">
        <v>0</v>
      </c>
      <c r="I79" s="91">
        <v>15000</v>
      </c>
      <c r="J79" s="101"/>
      <c r="K79" s="101"/>
      <c r="L79" s="101">
        <f t="shared" si="5"/>
        <v>0</v>
      </c>
      <c r="M79" s="101">
        <f t="shared" si="6"/>
        <v>15000</v>
      </c>
      <c r="N79" s="101">
        <f t="shared" si="7"/>
        <v>0</v>
      </c>
      <c r="O79" s="101">
        <f t="shared" si="8"/>
        <v>15000</v>
      </c>
    </row>
    <row r="80" spans="1:15" ht="15" customHeight="1">
      <c r="A80" s="239"/>
      <c r="B80" s="239"/>
      <c r="C80" s="99" t="s">
        <v>789</v>
      </c>
      <c r="D80" s="508" t="s">
        <v>772</v>
      </c>
      <c r="E80" s="502"/>
      <c r="F80" s="503" t="s">
        <v>933</v>
      </c>
      <c r="G80" s="91">
        <v>6999</v>
      </c>
      <c r="H80" s="91">
        <v>0</v>
      </c>
      <c r="I80" s="91">
        <v>6999</v>
      </c>
      <c r="J80" s="101">
        <v>331</v>
      </c>
      <c r="K80" s="101"/>
      <c r="L80" s="101">
        <f t="shared" si="5"/>
        <v>331</v>
      </c>
      <c r="M80" s="101">
        <f t="shared" si="6"/>
        <v>7330</v>
      </c>
      <c r="N80" s="101">
        <f t="shared" si="7"/>
        <v>0</v>
      </c>
      <c r="O80" s="101">
        <f t="shared" si="8"/>
        <v>7330</v>
      </c>
    </row>
    <row r="81" spans="1:15" ht="15" customHeight="1">
      <c r="A81" s="239"/>
      <c r="B81" s="239"/>
      <c r="C81" s="99" t="s">
        <v>790</v>
      </c>
      <c r="D81" s="508" t="s">
        <v>411</v>
      </c>
      <c r="E81" s="509"/>
      <c r="F81" s="510"/>
      <c r="G81" s="91">
        <v>5000</v>
      </c>
      <c r="H81" s="91">
        <v>0</v>
      </c>
      <c r="I81" s="91">
        <v>5000</v>
      </c>
      <c r="J81" s="101"/>
      <c r="K81" s="101"/>
      <c r="L81" s="101">
        <f t="shared" si="5"/>
        <v>0</v>
      </c>
      <c r="M81" s="101">
        <f t="shared" si="6"/>
        <v>5000</v>
      </c>
      <c r="N81" s="101">
        <f t="shared" si="7"/>
        <v>0</v>
      </c>
      <c r="O81" s="101">
        <f t="shared" si="8"/>
        <v>5000</v>
      </c>
    </row>
    <row r="82" spans="1:15" ht="15" customHeight="1">
      <c r="A82" s="239"/>
      <c r="B82" s="239"/>
      <c r="C82" s="99" t="s">
        <v>791</v>
      </c>
      <c r="D82" s="508" t="s">
        <v>412</v>
      </c>
      <c r="E82" s="509"/>
      <c r="F82" s="510"/>
      <c r="G82" s="91">
        <v>1000</v>
      </c>
      <c r="H82" s="91">
        <v>0</v>
      </c>
      <c r="I82" s="91">
        <v>1000</v>
      </c>
      <c r="J82" s="101"/>
      <c r="K82" s="101"/>
      <c r="L82" s="101">
        <f t="shared" si="5"/>
        <v>0</v>
      </c>
      <c r="M82" s="101">
        <f t="shared" si="6"/>
        <v>1000</v>
      </c>
      <c r="N82" s="101">
        <f t="shared" si="7"/>
        <v>0</v>
      </c>
      <c r="O82" s="101">
        <f t="shared" si="8"/>
        <v>1000</v>
      </c>
    </row>
    <row r="83" spans="1:15" ht="15" customHeight="1">
      <c r="A83" s="239"/>
      <c r="B83" s="239"/>
      <c r="C83" s="99" t="s">
        <v>792</v>
      </c>
      <c r="D83" s="508" t="s">
        <v>413</v>
      </c>
      <c r="E83" s="509"/>
      <c r="F83" s="510"/>
      <c r="G83" s="91">
        <v>10000</v>
      </c>
      <c r="H83" s="91">
        <v>0</v>
      </c>
      <c r="I83" s="91">
        <v>10000</v>
      </c>
      <c r="J83" s="101"/>
      <c r="K83" s="101"/>
      <c r="L83" s="101">
        <f t="shared" si="5"/>
        <v>0</v>
      </c>
      <c r="M83" s="101">
        <f t="shared" si="6"/>
        <v>10000</v>
      </c>
      <c r="N83" s="101">
        <f t="shared" si="7"/>
        <v>0</v>
      </c>
      <c r="O83" s="101">
        <f t="shared" si="8"/>
        <v>10000</v>
      </c>
    </row>
    <row r="84" spans="1:15" ht="15" customHeight="1">
      <c r="A84" s="239"/>
      <c r="B84" s="239"/>
      <c r="C84" s="99" t="s">
        <v>246</v>
      </c>
      <c r="D84" s="508" t="s">
        <v>274</v>
      </c>
      <c r="E84" s="509"/>
      <c r="F84" s="510" t="s">
        <v>933</v>
      </c>
      <c r="G84" s="91"/>
      <c r="H84" s="91"/>
      <c r="I84" s="91"/>
      <c r="J84" s="101">
        <v>3965</v>
      </c>
      <c r="K84" s="101"/>
      <c r="L84" s="101">
        <f t="shared" si="5"/>
        <v>3965</v>
      </c>
      <c r="M84" s="101">
        <f t="shared" si="6"/>
        <v>3965</v>
      </c>
      <c r="N84" s="101"/>
      <c r="O84" s="101">
        <f t="shared" si="8"/>
        <v>3965</v>
      </c>
    </row>
    <row r="85" spans="1:15" ht="12.75" customHeight="1">
      <c r="A85" s="239"/>
      <c r="B85" s="239"/>
      <c r="C85" s="239"/>
      <c r="D85" s="159" t="s">
        <v>151</v>
      </c>
      <c r="E85" s="502"/>
      <c r="F85" s="503"/>
      <c r="G85" s="91">
        <v>0</v>
      </c>
      <c r="H85" s="91">
        <v>0</v>
      </c>
      <c r="I85" s="91">
        <v>0</v>
      </c>
      <c r="J85" s="101"/>
      <c r="K85" s="101"/>
      <c r="L85" s="101">
        <f t="shared" si="5"/>
        <v>0</v>
      </c>
      <c r="M85" s="101">
        <f t="shared" si="6"/>
        <v>0</v>
      </c>
      <c r="N85" s="101">
        <f t="shared" si="7"/>
        <v>0</v>
      </c>
      <c r="O85" s="101">
        <f t="shared" si="8"/>
        <v>0</v>
      </c>
    </row>
    <row r="86" spans="1:15" ht="12.75" customHeight="1">
      <c r="A86" s="239"/>
      <c r="B86" s="239"/>
      <c r="C86" s="99" t="s">
        <v>794</v>
      </c>
      <c r="D86" s="508" t="s">
        <v>773</v>
      </c>
      <c r="E86" s="502"/>
      <c r="F86" s="503"/>
      <c r="G86" s="91">
        <v>2000</v>
      </c>
      <c r="H86" s="91">
        <v>0</v>
      </c>
      <c r="I86" s="91">
        <v>2000</v>
      </c>
      <c r="J86" s="101"/>
      <c r="K86" s="101"/>
      <c r="L86" s="101">
        <f t="shared" si="5"/>
        <v>0</v>
      </c>
      <c r="M86" s="101">
        <f t="shared" si="6"/>
        <v>2000</v>
      </c>
      <c r="N86" s="101">
        <f t="shared" si="7"/>
        <v>0</v>
      </c>
      <c r="O86" s="101">
        <f t="shared" si="8"/>
        <v>2000</v>
      </c>
    </row>
    <row r="87" spans="1:15" ht="12.75" customHeight="1">
      <c r="A87" s="239"/>
      <c r="B87" s="239"/>
      <c r="C87" s="99" t="s">
        <v>795</v>
      </c>
      <c r="D87" s="508" t="s">
        <v>414</v>
      </c>
      <c r="E87" s="502"/>
      <c r="F87" s="503" t="s">
        <v>933</v>
      </c>
      <c r="G87" s="91">
        <v>818</v>
      </c>
      <c r="H87" s="91">
        <v>0</v>
      </c>
      <c r="I87" s="91">
        <v>818</v>
      </c>
      <c r="J87" s="101">
        <v>-818</v>
      </c>
      <c r="K87" s="101"/>
      <c r="L87" s="101">
        <f t="shared" si="5"/>
        <v>-818</v>
      </c>
      <c r="M87" s="101">
        <f t="shared" si="6"/>
        <v>0</v>
      </c>
      <c r="N87" s="101">
        <f t="shared" si="7"/>
        <v>0</v>
      </c>
      <c r="O87" s="101">
        <f t="shared" si="8"/>
        <v>0</v>
      </c>
    </row>
    <row r="88" spans="1:15" ht="24.75" customHeight="1">
      <c r="A88" s="239"/>
      <c r="B88" s="239"/>
      <c r="C88" s="99" t="s">
        <v>796</v>
      </c>
      <c r="D88" s="516" t="s">
        <v>710</v>
      </c>
      <c r="E88" s="502"/>
      <c r="F88" s="503"/>
      <c r="G88" s="91">
        <v>933</v>
      </c>
      <c r="H88" s="91">
        <v>0</v>
      </c>
      <c r="I88" s="91">
        <v>933</v>
      </c>
      <c r="J88" s="101"/>
      <c r="K88" s="101"/>
      <c r="L88" s="101">
        <f t="shared" si="5"/>
        <v>0</v>
      </c>
      <c r="M88" s="101">
        <f t="shared" si="6"/>
        <v>933</v>
      </c>
      <c r="N88" s="101">
        <f t="shared" si="7"/>
        <v>0</v>
      </c>
      <c r="O88" s="101">
        <f t="shared" si="8"/>
        <v>933</v>
      </c>
    </row>
    <row r="89" spans="1:15" ht="12.75" customHeight="1">
      <c r="A89" s="239"/>
      <c r="B89" s="239"/>
      <c r="C89" s="99" t="s">
        <v>797</v>
      </c>
      <c r="D89" s="517" t="s">
        <v>915</v>
      </c>
      <c r="E89" s="502"/>
      <c r="F89" s="503"/>
      <c r="G89" s="91">
        <v>4500</v>
      </c>
      <c r="H89" s="91">
        <v>0</v>
      </c>
      <c r="I89" s="91">
        <v>4500</v>
      </c>
      <c r="J89" s="101"/>
      <c r="K89" s="101"/>
      <c r="L89" s="101">
        <f t="shared" si="5"/>
        <v>0</v>
      </c>
      <c r="M89" s="101">
        <f t="shared" si="6"/>
        <v>4500</v>
      </c>
      <c r="N89" s="101">
        <f t="shared" si="7"/>
        <v>0</v>
      </c>
      <c r="O89" s="101">
        <f t="shared" si="8"/>
        <v>4500</v>
      </c>
    </row>
    <row r="90" spans="1:15" ht="24.75" customHeight="1">
      <c r="A90" s="239"/>
      <c r="B90" s="239"/>
      <c r="C90" s="99" t="s">
        <v>798</v>
      </c>
      <c r="D90" s="517" t="s">
        <v>774</v>
      </c>
      <c r="E90" s="502"/>
      <c r="F90" s="503"/>
      <c r="G90" s="91">
        <v>2000</v>
      </c>
      <c r="H90" s="91">
        <v>0</v>
      </c>
      <c r="I90" s="91">
        <v>2000</v>
      </c>
      <c r="J90" s="101"/>
      <c r="K90" s="101"/>
      <c r="L90" s="101">
        <f t="shared" si="5"/>
        <v>0</v>
      </c>
      <c r="M90" s="101">
        <f t="shared" si="6"/>
        <v>2000</v>
      </c>
      <c r="N90" s="101">
        <f t="shared" si="7"/>
        <v>0</v>
      </c>
      <c r="O90" s="101">
        <f t="shared" si="8"/>
        <v>2000</v>
      </c>
    </row>
    <row r="91" spans="1:15" ht="12.75" customHeight="1">
      <c r="A91" s="239"/>
      <c r="B91" s="239"/>
      <c r="C91" s="99" t="s">
        <v>799</v>
      </c>
      <c r="D91" s="517" t="s">
        <v>775</v>
      </c>
      <c r="E91" s="502"/>
      <c r="F91" s="510"/>
      <c r="G91" s="91">
        <v>273</v>
      </c>
      <c r="H91" s="91">
        <v>0</v>
      </c>
      <c r="I91" s="91">
        <v>273</v>
      </c>
      <c r="J91" s="101"/>
      <c r="K91" s="101"/>
      <c r="L91" s="101">
        <f t="shared" si="5"/>
        <v>0</v>
      </c>
      <c r="M91" s="101">
        <f t="shared" si="6"/>
        <v>273</v>
      </c>
      <c r="N91" s="101">
        <f t="shared" si="7"/>
        <v>0</v>
      </c>
      <c r="O91" s="101">
        <f t="shared" si="8"/>
        <v>273</v>
      </c>
    </row>
    <row r="92" spans="1:15" ht="12.75" customHeight="1">
      <c r="A92" s="239"/>
      <c r="B92" s="239"/>
      <c r="C92" s="99" t="s">
        <v>800</v>
      </c>
      <c r="D92" s="516" t="s">
        <v>793</v>
      </c>
      <c r="E92" s="502"/>
      <c r="F92" s="510"/>
      <c r="G92" s="91">
        <v>1000</v>
      </c>
      <c r="H92" s="91">
        <v>0</v>
      </c>
      <c r="I92" s="91">
        <v>1000</v>
      </c>
      <c r="J92" s="101"/>
      <c r="K92" s="101"/>
      <c r="L92" s="101">
        <f t="shared" si="5"/>
        <v>0</v>
      </c>
      <c r="M92" s="101">
        <f t="shared" si="6"/>
        <v>1000</v>
      </c>
      <c r="N92" s="101">
        <f t="shared" si="7"/>
        <v>0</v>
      </c>
      <c r="O92" s="101">
        <f t="shared" si="8"/>
        <v>1000</v>
      </c>
    </row>
    <row r="93" spans="1:15" ht="12.75" customHeight="1">
      <c r="A93" s="239"/>
      <c r="B93" s="239"/>
      <c r="C93" s="99" t="s">
        <v>801</v>
      </c>
      <c r="D93" s="518" t="s">
        <v>415</v>
      </c>
      <c r="E93" s="502"/>
      <c r="F93" s="510"/>
      <c r="G93" s="91">
        <v>27597</v>
      </c>
      <c r="H93" s="91">
        <v>0</v>
      </c>
      <c r="I93" s="91">
        <v>27597</v>
      </c>
      <c r="J93" s="101"/>
      <c r="K93" s="101"/>
      <c r="L93" s="101">
        <f t="shared" si="5"/>
        <v>0</v>
      </c>
      <c r="M93" s="101">
        <f t="shared" si="6"/>
        <v>27597</v>
      </c>
      <c r="N93" s="101">
        <f t="shared" si="7"/>
        <v>0</v>
      </c>
      <c r="O93" s="101">
        <f t="shared" si="8"/>
        <v>27597</v>
      </c>
    </row>
    <row r="94" spans="1:15" ht="12.75" customHeight="1">
      <c r="A94" s="239"/>
      <c r="B94" s="239"/>
      <c r="C94" s="99" t="s">
        <v>802</v>
      </c>
      <c r="D94" s="518" t="s">
        <v>1081</v>
      </c>
      <c r="E94" s="502"/>
      <c r="F94" s="510"/>
      <c r="G94" s="91">
        <v>1395</v>
      </c>
      <c r="H94" s="91">
        <v>0</v>
      </c>
      <c r="I94" s="91">
        <v>1395</v>
      </c>
      <c r="J94" s="101"/>
      <c r="K94" s="101"/>
      <c r="L94" s="101">
        <f t="shared" si="5"/>
        <v>0</v>
      </c>
      <c r="M94" s="101">
        <f t="shared" si="6"/>
        <v>1395</v>
      </c>
      <c r="N94" s="101">
        <f t="shared" si="7"/>
        <v>0</v>
      </c>
      <c r="O94" s="101">
        <f t="shared" si="8"/>
        <v>1395</v>
      </c>
    </row>
    <row r="95" spans="1:15" ht="24.75" customHeight="1">
      <c r="A95" s="239"/>
      <c r="B95" s="239"/>
      <c r="C95" s="99" t="s">
        <v>803</v>
      </c>
      <c r="D95" s="519" t="s">
        <v>920</v>
      </c>
      <c r="E95" s="502"/>
      <c r="F95" s="510"/>
      <c r="G95" s="91">
        <v>2336</v>
      </c>
      <c r="H95" s="91">
        <v>0</v>
      </c>
      <c r="I95" s="91">
        <v>2336</v>
      </c>
      <c r="J95" s="101"/>
      <c r="K95" s="101"/>
      <c r="L95" s="101">
        <f t="shared" si="5"/>
        <v>0</v>
      </c>
      <c r="M95" s="101">
        <f t="shared" si="6"/>
        <v>2336</v>
      </c>
      <c r="N95" s="101">
        <f t="shared" si="7"/>
        <v>0</v>
      </c>
      <c r="O95" s="101">
        <f t="shared" si="8"/>
        <v>2336</v>
      </c>
    </row>
    <row r="96" spans="1:15" ht="12.75" customHeight="1">
      <c r="A96" s="239"/>
      <c r="B96" s="239"/>
      <c r="C96" s="99" t="s">
        <v>804</v>
      </c>
      <c r="D96" s="519" t="s">
        <v>918</v>
      </c>
      <c r="E96" s="502"/>
      <c r="F96" s="510"/>
      <c r="G96" s="91">
        <v>2000</v>
      </c>
      <c r="H96" s="91">
        <v>0</v>
      </c>
      <c r="I96" s="91">
        <v>2000</v>
      </c>
      <c r="J96" s="101"/>
      <c r="K96" s="101"/>
      <c r="L96" s="101">
        <f t="shared" si="5"/>
        <v>0</v>
      </c>
      <c r="M96" s="101">
        <f t="shared" si="6"/>
        <v>2000</v>
      </c>
      <c r="N96" s="101">
        <f t="shared" si="7"/>
        <v>0</v>
      </c>
      <c r="O96" s="101">
        <f t="shared" si="8"/>
        <v>2000</v>
      </c>
    </row>
    <row r="97" spans="1:15" ht="12.75" customHeight="1">
      <c r="A97" s="239"/>
      <c r="B97" s="239"/>
      <c r="C97" s="99" t="s">
        <v>805</v>
      </c>
      <c r="D97" s="519" t="s">
        <v>919</v>
      </c>
      <c r="E97" s="502"/>
      <c r="F97" s="510"/>
      <c r="G97" s="91">
        <v>1000</v>
      </c>
      <c r="H97" s="91">
        <v>0</v>
      </c>
      <c r="I97" s="91">
        <v>1000</v>
      </c>
      <c r="J97" s="101"/>
      <c r="K97" s="101"/>
      <c r="L97" s="101">
        <f t="shared" si="5"/>
        <v>0</v>
      </c>
      <c r="M97" s="101">
        <f t="shared" si="6"/>
        <v>1000</v>
      </c>
      <c r="N97" s="101">
        <f t="shared" si="7"/>
        <v>0</v>
      </c>
      <c r="O97" s="101">
        <f t="shared" si="8"/>
        <v>1000</v>
      </c>
    </row>
    <row r="98" spans="1:15" ht="12.75" customHeight="1">
      <c r="A98" s="239"/>
      <c r="B98" s="239"/>
      <c r="C98" s="99" t="s">
        <v>934</v>
      </c>
      <c r="D98" s="540" t="s">
        <v>935</v>
      </c>
      <c r="E98" s="502"/>
      <c r="F98" s="510"/>
      <c r="G98" s="91">
        <v>404</v>
      </c>
      <c r="H98" s="91"/>
      <c r="I98" s="91">
        <v>404</v>
      </c>
      <c r="J98" s="101"/>
      <c r="K98" s="101"/>
      <c r="L98" s="101">
        <v>404</v>
      </c>
      <c r="M98" s="101">
        <f t="shared" si="6"/>
        <v>404</v>
      </c>
      <c r="N98" s="101"/>
      <c r="O98" s="101">
        <f t="shared" si="8"/>
        <v>404</v>
      </c>
    </row>
    <row r="99" spans="1:15" ht="12.75" customHeight="1">
      <c r="A99" s="239"/>
      <c r="B99" s="239"/>
      <c r="C99" s="139" t="s">
        <v>851</v>
      </c>
      <c r="D99" s="168" t="s">
        <v>704</v>
      </c>
      <c r="E99" s="428"/>
      <c r="F99" s="648"/>
      <c r="G99" s="91">
        <v>0</v>
      </c>
      <c r="H99" s="91">
        <v>0</v>
      </c>
      <c r="I99" s="91">
        <v>0</v>
      </c>
      <c r="J99" s="101"/>
      <c r="K99" s="101"/>
      <c r="L99" s="101">
        <f t="shared" si="5"/>
        <v>0</v>
      </c>
      <c r="M99" s="101">
        <f t="shared" si="6"/>
        <v>0</v>
      </c>
      <c r="N99" s="101">
        <f t="shared" si="7"/>
        <v>0</v>
      </c>
      <c r="O99" s="101">
        <f t="shared" si="8"/>
        <v>0</v>
      </c>
    </row>
    <row r="100" spans="1:15" ht="15" customHeight="1">
      <c r="A100" s="239"/>
      <c r="B100" s="239"/>
      <c r="C100" s="144" t="s">
        <v>871</v>
      </c>
      <c r="D100" s="520" t="s">
        <v>806</v>
      </c>
      <c r="E100" s="428"/>
      <c r="F100" s="648"/>
      <c r="G100" s="91">
        <v>3000</v>
      </c>
      <c r="H100" s="91">
        <v>0</v>
      </c>
      <c r="I100" s="91">
        <v>3000</v>
      </c>
      <c r="J100" s="101"/>
      <c r="K100" s="101"/>
      <c r="L100" s="101">
        <f t="shared" si="5"/>
        <v>0</v>
      </c>
      <c r="M100" s="101">
        <f t="shared" si="6"/>
        <v>3000</v>
      </c>
      <c r="N100" s="101">
        <f t="shared" si="7"/>
        <v>0</v>
      </c>
      <c r="O100" s="101">
        <f t="shared" si="8"/>
        <v>3000</v>
      </c>
    </row>
    <row r="101" spans="1:15" ht="24.75" customHeight="1">
      <c r="A101" s="239"/>
      <c r="B101" s="239"/>
      <c r="C101" s="144" t="s">
        <v>872</v>
      </c>
      <c r="D101" s="489" t="s">
        <v>416</v>
      </c>
      <c r="E101" s="670"/>
      <c r="F101" s="678"/>
      <c r="G101" s="91">
        <v>1000</v>
      </c>
      <c r="H101" s="91">
        <v>0</v>
      </c>
      <c r="I101" s="91">
        <v>1000</v>
      </c>
      <c r="J101" s="101"/>
      <c r="K101" s="101"/>
      <c r="L101" s="101">
        <f t="shared" si="5"/>
        <v>0</v>
      </c>
      <c r="M101" s="101">
        <f t="shared" si="6"/>
        <v>1000</v>
      </c>
      <c r="N101" s="101">
        <f t="shared" si="7"/>
        <v>0</v>
      </c>
      <c r="O101" s="101">
        <f t="shared" si="8"/>
        <v>1000</v>
      </c>
    </row>
    <row r="102" spans="1:15" ht="15" customHeight="1">
      <c r="A102" s="239"/>
      <c r="B102" s="239"/>
      <c r="C102" s="144" t="s">
        <v>873</v>
      </c>
      <c r="D102" s="489" t="s">
        <v>417</v>
      </c>
      <c r="E102" s="428"/>
      <c r="F102" s="648" t="s">
        <v>933</v>
      </c>
      <c r="G102" s="91">
        <v>1000</v>
      </c>
      <c r="H102" s="91">
        <v>0</v>
      </c>
      <c r="I102" s="91">
        <v>1000</v>
      </c>
      <c r="J102" s="101">
        <v>-1000</v>
      </c>
      <c r="K102" s="101"/>
      <c r="L102" s="101">
        <f t="shared" si="5"/>
        <v>-1000</v>
      </c>
      <c r="M102" s="101">
        <f t="shared" si="6"/>
        <v>0</v>
      </c>
      <c r="N102" s="101">
        <f t="shared" si="7"/>
        <v>0</v>
      </c>
      <c r="O102" s="101">
        <f t="shared" si="8"/>
        <v>0</v>
      </c>
    </row>
    <row r="103" spans="1:15" ht="12.75" customHeight="1">
      <c r="A103" s="239"/>
      <c r="B103" s="239"/>
      <c r="C103" s="137" t="s">
        <v>882</v>
      </c>
      <c r="D103" s="521" t="s">
        <v>883</v>
      </c>
      <c r="E103" s="502"/>
      <c r="F103" s="510"/>
      <c r="G103" s="91">
        <v>0</v>
      </c>
      <c r="H103" s="91">
        <v>0</v>
      </c>
      <c r="I103" s="91">
        <v>0</v>
      </c>
      <c r="J103" s="101"/>
      <c r="K103" s="101"/>
      <c r="L103" s="101">
        <f t="shared" si="5"/>
        <v>0</v>
      </c>
      <c r="M103" s="101">
        <f t="shared" si="6"/>
        <v>0</v>
      </c>
      <c r="N103" s="101">
        <f t="shared" si="7"/>
        <v>0</v>
      </c>
      <c r="O103" s="101">
        <f t="shared" si="8"/>
        <v>0</v>
      </c>
    </row>
    <row r="104" spans="1:15" ht="12.75" customHeight="1">
      <c r="A104" s="239"/>
      <c r="B104" s="239"/>
      <c r="C104" s="137" t="s">
        <v>1059</v>
      </c>
      <c r="D104" s="489" t="s">
        <v>418</v>
      </c>
      <c r="E104" s="502"/>
      <c r="F104" s="510"/>
      <c r="G104" s="91">
        <v>1000</v>
      </c>
      <c r="H104" s="91">
        <v>0</v>
      </c>
      <c r="I104" s="91">
        <v>1000</v>
      </c>
      <c r="J104" s="101"/>
      <c r="K104" s="101"/>
      <c r="L104" s="101">
        <f t="shared" si="5"/>
        <v>0</v>
      </c>
      <c r="M104" s="101">
        <f t="shared" si="6"/>
        <v>1000</v>
      </c>
      <c r="N104" s="101">
        <f t="shared" si="7"/>
        <v>0</v>
      </c>
      <c r="O104" s="101">
        <f t="shared" si="8"/>
        <v>1000</v>
      </c>
    </row>
    <row r="105" spans="1:15" ht="12.75" customHeight="1">
      <c r="A105" s="239"/>
      <c r="B105" s="239"/>
      <c r="C105" s="137" t="s">
        <v>1060</v>
      </c>
      <c r="D105" s="489" t="s">
        <v>419</v>
      </c>
      <c r="E105" s="502"/>
      <c r="F105" s="510"/>
      <c r="G105" s="91">
        <v>300</v>
      </c>
      <c r="H105" s="91">
        <v>0</v>
      </c>
      <c r="I105" s="91">
        <v>300</v>
      </c>
      <c r="J105" s="101"/>
      <c r="K105" s="101"/>
      <c r="L105" s="101">
        <f t="shared" si="5"/>
        <v>0</v>
      </c>
      <c r="M105" s="101">
        <f t="shared" si="6"/>
        <v>300</v>
      </c>
      <c r="N105" s="101">
        <f t="shared" si="7"/>
        <v>0</v>
      </c>
      <c r="O105" s="101">
        <f t="shared" si="8"/>
        <v>300</v>
      </c>
    </row>
    <row r="106" spans="1:15" ht="12.75" customHeight="1">
      <c r="A106" s="239"/>
      <c r="B106" s="239"/>
      <c r="C106" s="137" t="s">
        <v>200</v>
      </c>
      <c r="D106" s="522" t="s">
        <v>420</v>
      </c>
      <c r="E106" s="502"/>
      <c r="F106" s="510"/>
      <c r="G106" s="91">
        <v>2000</v>
      </c>
      <c r="H106" s="91">
        <v>0</v>
      </c>
      <c r="I106" s="91">
        <v>2000</v>
      </c>
      <c r="J106" s="101"/>
      <c r="K106" s="101"/>
      <c r="L106" s="101">
        <f t="shared" si="5"/>
        <v>0</v>
      </c>
      <c r="M106" s="101">
        <f t="shared" si="6"/>
        <v>2000</v>
      </c>
      <c r="N106" s="101">
        <f t="shared" si="7"/>
        <v>0</v>
      </c>
      <c r="O106" s="101">
        <f t="shared" si="8"/>
        <v>2000</v>
      </c>
    </row>
    <row r="107" spans="1:15" ht="12.75" customHeight="1">
      <c r="A107" s="239"/>
      <c r="B107" s="239"/>
      <c r="C107" s="139" t="s">
        <v>884</v>
      </c>
      <c r="D107" s="434" t="s">
        <v>885</v>
      </c>
      <c r="E107" s="502"/>
      <c r="F107" s="510"/>
      <c r="G107" s="91">
        <v>0</v>
      </c>
      <c r="H107" s="91">
        <v>0</v>
      </c>
      <c r="I107" s="91">
        <v>0</v>
      </c>
      <c r="J107" s="101"/>
      <c r="K107" s="101"/>
      <c r="L107" s="101">
        <f t="shared" si="5"/>
        <v>0</v>
      </c>
      <c r="M107" s="101">
        <f t="shared" si="6"/>
        <v>0</v>
      </c>
      <c r="N107" s="101">
        <f t="shared" si="7"/>
        <v>0</v>
      </c>
      <c r="O107" s="101">
        <f t="shared" si="8"/>
        <v>0</v>
      </c>
    </row>
    <row r="108" spans="1:15" ht="12.75" customHeight="1">
      <c r="A108" s="239"/>
      <c r="B108" s="239"/>
      <c r="C108" s="239" t="s">
        <v>886</v>
      </c>
      <c r="D108" s="489" t="s">
        <v>421</v>
      </c>
      <c r="E108" s="502"/>
      <c r="F108" s="510"/>
      <c r="G108" s="91">
        <v>916</v>
      </c>
      <c r="H108" s="91">
        <v>0</v>
      </c>
      <c r="I108" s="91">
        <v>916</v>
      </c>
      <c r="J108" s="101"/>
      <c r="K108" s="101"/>
      <c r="L108" s="101">
        <f t="shared" si="5"/>
        <v>0</v>
      </c>
      <c r="M108" s="101">
        <f t="shared" si="6"/>
        <v>916</v>
      </c>
      <c r="N108" s="101">
        <f t="shared" si="7"/>
        <v>0</v>
      </c>
      <c r="O108" s="101">
        <f t="shared" si="8"/>
        <v>916</v>
      </c>
    </row>
    <row r="109" spans="1:15" ht="12.75" customHeight="1">
      <c r="A109" s="239"/>
      <c r="B109" s="239"/>
      <c r="C109" s="239" t="s">
        <v>887</v>
      </c>
      <c r="D109" s="489" t="s">
        <v>422</v>
      </c>
      <c r="E109" s="502"/>
      <c r="F109" s="510" t="s">
        <v>547</v>
      </c>
      <c r="G109" s="91">
        <v>1200</v>
      </c>
      <c r="H109" s="91">
        <v>0</v>
      </c>
      <c r="I109" s="91">
        <v>1200</v>
      </c>
      <c r="J109" s="101">
        <v>3700</v>
      </c>
      <c r="K109" s="101"/>
      <c r="L109" s="101">
        <f t="shared" si="5"/>
        <v>3700</v>
      </c>
      <c r="M109" s="101">
        <f t="shared" si="6"/>
        <v>4900</v>
      </c>
      <c r="N109" s="101">
        <f t="shared" si="7"/>
        <v>0</v>
      </c>
      <c r="O109" s="101">
        <f t="shared" si="8"/>
        <v>4900</v>
      </c>
    </row>
    <row r="110" spans="1:15" ht="12.75" customHeight="1">
      <c r="A110" s="239"/>
      <c r="B110" s="239"/>
      <c r="C110" s="239" t="s">
        <v>888</v>
      </c>
      <c r="D110" s="489" t="s">
        <v>423</v>
      </c>
      <c r="E110" s="502"/>
      <c r="F110" s="510" t="s">
        <v>933</v>
      </c>
      <c r="G110" s="91">
        <v>400</v>
      </c>
      <c r="H110" s="91">
        <v>0</v>
      </c>
      <c r="I110" s="91">
        <v>400</v>
      </c>
      <c r="J110" s="101">
        <v>-400</v>
      </c>
      <c r="K110" s="101"/>
      <c r="L110" s="101">
        <f t="shared" si="5"/>
        <v>-400</v>
      </c>
      <c r="M110" s="101">
        <f t="shared" si="6"/>
        <v>0</v>
      </c>
      <c r="N110" s="101">
        <f t="shared" si="7"/>
        <v>0</v>
      </c>
      <c r="O110" s="101">
        <f t="shared" si="8"/>
        <v>0</v>
      </c>
    </row>
    <row r="111" spans="1:15" ht="12.75" customHeight="1">
      <c r="A111" s="239"/>
      <c r="B111" s="239"/>
      <c r="C111" s="239" t="s">
        <v>889</v>
      </c>
      <c r="D111" s="523" t="s">
        <v>424</v>
      </c>
      <c r="E111" s="502"/>
      <c r="F111" s="510"/>
      <c r="G111" s="91">
        <v>796</v>
      </c>
      <c r="H111" s="91">
        <v>0</v>
      </c>
      <c r="I111" s="91">
        <v>796</v>
      </c>
      <c r="J111" s="101"/>
      <c r="K111" s="101"/>
      <c r="L111" s="101">
        <f t="shared" si="5"/>
        <v>0</v>
      </c>
      <c r="M111" s="101">
        <f t="shared" si="6"/>
        <v>796</v>
      </c>
      <c r="N111" s="101">
        <f t="shared" si="7"/>
        <v>0</v>
      </c>
      <c r="O111" s="101">
        <f t="shared" si="8"/>
        <v>796</v>
      </c>
    </row>
    <row r="112" spans="1:15" ht="12.75" customHeight="1">
      <c r="A112" s="239"/>
      <c r="B112" s="239"/>
      <c r="C112" s="239" t="s">
        <v>936</v>
      </c>
      <c r="D112" s="541" t="s">
        <v>937</v>
      </c>
      <c r="E112" s="502"/>
      <c r="F112" s="510"/>
      <c r="G112" s="91">
        <v>432</v>
      </c>
      <c r="H112" s="91"/>
      <c r="I112" s="91">
        <v>432</v>
      </c>
      <c r="J112" s="101"/>
      <c r="K112" s="101"/>
      <c r="L112" s="101">
        <f t="shared" si="5"/>
        <v>0</v>
      </c>
      <c r="M112" s="101">
        <f t="shared" si="6"/>
        <v>432</v>
      </c>
      <c r="N112" s="101"/>
      <c r="O112" s="101">
        <f t="shared" si="8"/>
        <v>432</v>
      </c>
    </row>
    <row r="113" spans="1:15" ht="12.75" customHeight="1">
      <c r="A113" s="121"/>
      <c r="B113" s="121"/>
      <c r="C113" s="121"/>
      <c r="D113" s="442" t="s">
        <v>827</v>
      </c>
      <c r="E113" s="669"/>
      <c r="F113" s="679"/>
      <c r="G113" s="94">
        <f aca="true" t="shared" si="9" ref="G113:O113">SUM(G36:G112)</f>
        <v>298473</v>
      </c>
      <c r="H113" s="94">
        <f t="shared" si="9"/>
        <v>0</v>
      </c>
      <c r="I113" s="94">
        <f t="shared" si="9"/>
        <v>298473</v>
      </c>
      <c r="J113" s="94">
        <f t="shared" si="9"/>
        <v>4881</v>
      </c>
      <c r="K113" s="94">
        <f t="shared" si="9"/>
        <v>0</v>
      </c>
      <c r="L113" s="94">
        <f t="shared" si="9"/>
        <v>5285</v>
      </c>
      <c r="M113" s="94">
        <f t="shared" si="9"/>
        <v>303354</v>
      </c>
      <c r="N113" s="94">
        <f t="shared" si="9"/>
        <v>0</v>
      </c>
      <c r="O113" s="94">
        <f t="shared" si="9"/>
        <v>303354</v>
      </c>
    </row>
    <row r="114" spans="1:15" ht="12.75" customHeight="1">
      <c r="A114" s="95">
        <v>1</v>
      </c>
      <c r="B114" s="95">
        <v>16</v>
      </c>
      <c r="C114" s="95"/>
      <c r="D114" s="160" t="s">
        <v>425</v>
      </c>
      <c r="E114" s="670"/>
      <c r="F114" s="678"/>
      <c r="G114" s="91">
        <v>0</v>
      </c>
      <c r="H114" s="91">
        <v>0</v>
      </c>
      <c r="I114" s="91">
        <v>0</v>
      </c>
      <c r="J114" s="96"/>
      <c r="K114" s="96"/>
      <c r="L114" s="101">
        <f t="shared" si="5"/>
        <v>0</v>
      </c>
      <c r="M114" s="101">
        <f t="shared" si="6"/>
        <v>0</v>
      </c>
      <c r="N114" s="101">
        <f t="shared" si="7"/>
        <v>0</v>
      </c>
      <c r="O114" s="101">
        <f t="shared" si="8"/>
        <v>0</v>
      </c>
    </row>
    <row r="115" spans="1:15" ht="12.75" customHeight="1">
      <c r="A115" s="95"/>
      <c r="B115" s="95"/>
      <c r="C115" s="139" t="s">
        <v>850</v>
      </c>
      <c r="D115" s="168" t="s">
        <v>855</v>
      </c>
      <c r="E115" s="670"/>
      <c r="F115" s="678"/>
      <c r="G115" s="91">
        <v>0</v>
      </c>
      <c r="H115" s="91"/>
      <c r="I115" s="91">
        <v>0</v>
      </c>
      <c r="J115" s="96"/>
      <c r="K115" s="96"/>
      <c r="L115" s="101">
        <f t="shared" si="5"/>
        <v>0</v>
      </c>
      <c r="M115" s="101">
        <f t="shared" si="6"/>
        <v>0</v>
      </c>
      <c r="N115" s="101"/>
      <c r="O115" s="101">
        <f t="shared" si="8"/>
        <v>0</v>
      </c>
    </row>
    <row r="116" spans="1:15" ht="12.75" customHeight="1">
      <c r="A116" s="95"/>
      <c r="B116" s="95"/>
      <c r="C116" s="95" t="s">
        <v>856</v>
      </c>
      <c r="D116" s="493" t="s">
        <v>712</v>
      </c>
      <c r="E116" s="502"/>
      <c r="F116" s="510" t="s">
        <v>933</v>
      </c>
      <c r="G116" s="91">
        <v>22000</v>
      </c>
      <c r="H116" s="91"/>
      <c r="I116" s="91">
        <v>22000</v>
      </c>
      <c r="J116" s="101">
        <v>56</v>
      </c>
      <c r="K116" s="101"/>
      <c r="L116" s="101">
        <f t="shared" si="5"/>
        <v>56</v>
      </c>
      <c r="M116" s="101">
        <f t="shared" si="6"/>
        <v>22056</v>
      </c>
      <c r="N116" s="101"/>
      <c r="O116" s="101">
        <f t="shared" si="8"/>
        <v>22056</v>
      </c>
    </row>
    <row r="117" spans="1:15" ht="12.75" customHeight="1">
      <c r="A117" s="95"/>
      <c r="B117" s="95"/>
      <c r="C117" s="95" t="s">
        <v>857</v>
      </c>
      <c r="D117" s="508" t="s">
        <v>426</v>
      </c>
      <c r="E117" s="502"/>
      <c r="F117" s="510"/>
      <c r="G117" s="91">
        <v>5000</v>
      </c>
      <c r="H117" s="91"/>
      <c r="I117" s="91">
        <v>5000</v>
      </c>
      <c r="J117" s="101"/>
      <c r="K117" s="101"/>
      <c r="L117" s="101">
        <f t="shared" si="5"/>
        <v>0</v>
      </c>
      <c r="M117" s="101">
        <f t="shared" si="6"/>
        <v>5000</v>
      </c>
      <c r="N117" s="101"/>
      <c r="O117" s="101">
        <f t="shared" si="8"/>
        <v>5000</v>
      </c>
    </row>
    <row r="118" spans="1:15" ht="12.75" customHeight="1">
      <c r="A118" s="95"/>
      <c r="B118" s="95"/>
      <c r="C118" s="139" t="s">
        <v>851</v>
      </c>
      <c r="D118" s="434" t="s">
        <v>704</v>
      </c>
      <c r="E118" s="670"/>
      <c r="F118" s="678"/>
      <c r="G118" s="91">
        <v>0</v>
      </c>
      <c r="H118" s="91"/>
      <c r="I118" s="91">
        <v>0</v>
      </c>
      <c r="J118" s="96"/>
      <c r="K118" s="96"/>
      <c r="L118" s="101">
        <f t="shared" si="5"/>
        <v>0</v>
      </c>
      <c r="M118" s="101">
        <f t="shared" si="6"/>
        <v>0</v>
      </c>
      <c r="N118" s="101"/>
      <c r="O118" s="101">
        <f t="shared" si="8"/>
        <v>0</v>
      </c>
    </row>
    <row r="119" spans="1:15" ht="12.75" customHeight="1">
      <c r="A119" s="95"/>
      <c r="B119" s="95"/>
      <c r="C119" s="95" t="s">
        <v>427</v>
      </c>
      <c r="D119" s="489" t="s">
        <v>428</v>
      </c>
      <c r="E119" s="670"/>
      <c r="F119" s="678"/>
      <c r="G119" s="91">
        <v>2000</v>
      </c>
      <c r="H119" s="91"/>
      <c r="I119" s="91">
        <v>2000</v>
      </c>
      <c r="J119" s="96"/>
      <c r="K119" s="96"/>
      <c r="L119" s="101">
        <f t="shared" si="5"/>
        <v>0</v>
      </c>
      <c r="M119" s="101">
        <f t="shared" si="6"/>
        <v>2000</v>
      </c>
      <c r="N119" s="101"/>
      <c r="O119" s="101">
        <f t="shared" si="8"/>
        <v>2000</v>
      </c>
    </row>
    <row r="120" spans="1:15" ht="12.75" customHeight="1">
      <c r="A120" s="95"/>
      <c r="B120" s="95"/>
      <c r="C120" s="139" t="s">
        <v>852</v>
      </c>
      <c r="D120" s="168" t="s">
        <v>705</v>
      </c>
      <c r="E120" s="670"/>
      <c r="F120" s="678"/>
      <c r="G120" s="91">
        <v>0</v>
      </c>
      <c r="H120" s="91"/>
      <c r="I120" s="91">
        <v>0</v>
      </c>
      <c r="J120" s="96"/>
      <c r="K120" s="96"/>
      <c r="L120" s="101">
        <f t="shared" si="5"/>
        <v>0</v>
      </c>
      <c r="M120" s="101">
        <f t="shared" si="6"/>
        <v>0</v>
      </c>
      <c r="N120" s="101"/>
      <c r="O120" s="101">
        <f t="shared" si="8"/>
        <v>0</v>
      </c>
    </row>
    <row r="121" spans="1:15" ht="12.75" customHeight="1">
      <c r="A121" s="95"/>
      <c r="B121" s="95"/>
      <c r="C121" s="139" t="s">
        <v>938</v>
      </c>
      <c r="D121" s="258" t="s">
        <v>322</v>
      </c>
      <c r="E121" s="670"/>
      <c r="F121" s="678" t="s">
        <v>933</v>
      </c>
      <c r="G121" s="91">
        <v>4534</v>
      </c>
      <c r="H121" s="91"/>
      <c r="I121" s="91">
        <v>4534</v>
      </c>
      <c r="J121" s="96">
        <v>450</v>
      </c>
      <c r="K121" s="96"/>
      <c r="L121" s="101">
        <f t="shared" si="5"/>
        <v>450</v>
      </c>
      <c r="M121" s="101">
        <f t="shared" si="6"/>
        <v>4984</v>
      </c>
      <c r="N121" s="101"/>
      <c r="O121" s="101">
        <f t="shared" si="8"/>
        <v>4984</v>
      </c>
    </row>
    <row r="122" spans="1:15" ht="12.75" customHeight="1">
      <c r="A122" s="95"/>
      <c r="B122" s="95"/>
      <c r="C122" s="139"/>
      <c r="D122" s="159" t="s">
        <v>151</v>
      </c>
      <c r="E122" s="670"/>
      <c r="F122" s="678"/>
      <c r="G122" s="91"/>
      <c r="H122" s="91"/>
      <c r="I122" s="91"/>
      <c r="J122" s="96"/>
      <c r="K122" s="96"/>
      <c r="L122" s="101"/>
      <c r="M122" s="101"/>
      <c r="N122" s="101"/>
      <c r="O122" s="101"/>
    </row>
    <row r="123" spans="1:15" ht="12.75" customHeight="1">
      <c r="A123" s="95"/>
      <c r="B123" s="95"/>
      <c r="C123" s="95" t="s">
        <v>429</v>
      </c>
      <c r="D123" s="524" t="s">
        <v>553</v>
      </c>
      <c r="E123" s="670"/>
      <c r="F123" s="678"/>
      <c r="G123" s="91">
        <v>0</v>
      </c>
      <c r="H123" s="91"/>
      <c r="I123" s="91">
        <v>0</v>
      </c>
      <c r="J123" s="96"/>
      <c r="K123" s="96"/>
      <c r="L123" s="101">
        <f t="shared" si="5"/>
        <v>0</v>
      </c>
      <c r="M123" s="101">
        <f t="shared" si="6"/>
        <v>0</v>
      </c>
      <c r="N123" s="101"/>
      <c r="O123" s="101">
        <f t="shared" si="8"/>
        <v>0</v>
      </c>
    </row>
    <row r="124" spans="1:15" ht="12.75" customHeight="1">
      <c r="A124" s="95"/>
      <c r="B124" s="95"/>
      <c r="C124" s="542" t="s">
        <v>884</v>
      </c>
      <c r="D124" s="434" t="s">
        <v>885</v>
      </c>
      <c r="E124" s="670"/>
      <c r="F124" s="678"/>
      <c r="G124" s="91"/>
      <c r="H124" s="91"/>
      <c r="I124" s="91"/>
      <c r="J124" s="96"/>
      <c r="K124" s="96"/>
      <c r="L124" s="101"/>
      <c r="M124" s="101"/>
      <c r="N124" s="101"/>
      <c r="O124" s="101"/>
    </row>
    <row r="125" spans="1:15" ht="12.75" customHeight="1">
      <c r="A125" s="95"/>
      <c r="B125" s="95"/>
      <c r="C125" s="99" t="s">
        <v>939</v>
      </c>
      <c r="D125" s="543" t="s">
        <v>940</v>
      </c>
      <c r="E125" s="670"/>
      <c r="F125" s="678" t="s">
        <v>547</v>
      </c>
      <c r="G125" s="91">
        <v>15153</v>
      </c>
      <c r="H125" s="91"/>
      <c r="I125" s="91">
        <v>15153</v>
      </c>
      <c r="J125" s="96"/>
      <c r="K125" s="96"/>
      <c r="L125" s="101">
        <f t="shared" si="5"/>
        <v>0</v>
      </c>
      <c r="M125" s="101">
        <f t="shared" si="6"/>
        <v>15153</v>
      </c>
      <c r="N125" s="101"/>
      <c r="O125" s="101">
        <f t="shared" si="8"/>
        <v>15153</v>
      </c>
    </row>
    <row r="126" spans="1:15" ht="12.75" customHeight="1">
      <c r="A126" s="95"/>
      <c r="B126" s="95"/>
      <c r="C126" s="99"/>
      <c r="D126" s="543" t="s">
        <v>151</v>
      </c>
      <c r="E126" s="670"/>
      <c r="F126" s="678"/>
      <c r="G126" s="91"/>
      <c r="H126" s="91"/>
      <c r="I126" s="91"/>
      <c r="J126" s="96"/>
      <c r="K126" s="96"/>
      <c r="L126" s="101"/>
      <c r="M126" s="101"/>
      <c r="N126" s="101"/>
      <c r="O126" s="101"/>
    </row>
    <row r="127" spans="1:15" ht="12.75" customHeight="1">
      <c r="A127" s="95"/>
      <c r="B127" s="95"/>
      <c r="C127" s="99" t="s">
        <v>941</v>
      </c>
      <c r="D127" s="240" t="s">
        <v>942</v>
      </c>
      <c r="E127" s="670"/>
      <c r="F127" s="678"/>
      <c r="G127" s="91">
        <v>0</v>
      </c>
      <c r="H127" s="91">
        <v>2519</v>
      </c>
      <c r="I127" s="91">
        <v>2519</v>
      </c>
      <c r="J127" s="96">
        <v>3362</v>
      </c>
      <c r="K127" s="96">
        <v>-608</v>
      </c>
      <c r="L127" s="101">
        <f t="shared" si="5"/>
        <v>2754</v>
      </c>
      <c r="M127" s="101">
        <f t="shared" si="6"/>
        <v>3362</v>
      </c>
      <c r="N127" s="101">
        <f t="shared" si="7"/>
        <v>1911</v>
      </c>
      <c r="O127" s="101">
        <f t="shared" si="8"/>
        <v>5273</v>
      </c>
    </row>
    <row r="128" spans="1:15" ht="12.75" customHeight="1">
      <c r="A128" s="121"/>
      <c r="B128" s="121"/>
      <c r="C128" s="329"/>
      <c r="D128" s="525" t="s">
        <v>475</v>
      </c>
      <c r="E128" s="671"/>
      <c r="F128" s="680"/>
      <c r="G128" s="526">
        <f>SUM(G115:G127)</f>
        <v>48687</v>
      </c>
      <c r="H128" s="526">
        <f aca="true" t="shared" si="10" ref="H128:O128">SUM(H115:H127)</f>
        <v>2519</v>
      </c>
      <c r="I128" s="526">
        <f t="shared" si="10"/>
        <v>51206</v>
      </c>
      <c r="J128" s="526">
        <f t="shared" si="10"/>
        <v>3868</v>
      </c>
      <c r="K128" s="526">
        <f t="shared" si="10"/>
        <v>-608</v>
      </c>
      <c r="L128" s="526">
        <f t="shared" si="10"/>
        <v>3260</v>
      </c>
      <c r="M128" s="526">
        <f t="shared" si="10"/>
        <v>52555</v>
      </c>
      <c r="N128" s="526">
        <f t="shared" si="10"/>
        <v>1911</v>
      </c>
      <c r="O128" s="526">
        <f t="shared" si="10"/>
        <v>54466</v>
      </c>
    </row>
    <row r="129" spans="1:15" ht="12.75" customHeight="1">
      <c r="A129" s="239">
        <v>1</v>
      </c>
      <c r="B129" s="239">
        <v>17</v>
      </c>
      <c r="C129" s="234"/>
      <c r="D129" s="521" t="s">
        <v>904</v>
      </c>
      <c r="E129" s="672"/>
      <c r="F129" s="681"/>
      <c r="G129" s="91">
        <v>0</v>
      </c>
      <c r="H129" s="91">
        <v>0</v>
      </c>
      <c r="I129" s="91">
        <v>0</v>
      </c>
      <c r="J129" s="527"/>
      <c r="K129" s="527"/>
      <c r="L129" s="101">
        <f t="shared" si="5"/>
        <v>0</v>
      </c>
      <c r="M129" s="101">
        <f t="shared" si="6"/>
        <v>0</v>
      </c>
      <c r="N129" s="101">
        <f t="shared" si="7"/>
        <v>0</v>
      </c>
      <c r="O129" s="101">
        <f t="shared" si="8"/>
        <v>0</v>
      </c>
    </row>
    <row r="130" spans="1:15" ht="24.75" customHeight="1">
      <c r="A130" s="239"/>
      <c r="B130" s="239"/>
      <c r="C130" s="231" t="s">
        <v>702</v>
      </c>
      <c r="D130" s="180" t="s">
        <v>695</v>
      </c>
      <c r="E130" s="673"/>
      <c r="F130" s="681"/>
      <c r="G130" s="91">
        <v>27000</v>
      </c>
      <c r="H130" s="91">
        <v>0</v>
      </c>
      <c r="I130" s="91">
        <v>27000</v>
      </c>
      <c r="J130" s="528"/>
      <c r="K130" s="528"/>
      <c r="L130" s="101">
        <f t="shared" si="5"/>
        <v>0</v>
      </c>
      <c r="M130" s="101">
        <f t="shared" si="6"/>
        <v>27000</v>
      </c>
      <c r="N130" s="101">
        <f t="shared" si="7"/>
        <v>0</v>
      </c>
      <c r="O130" s="101">
        <f t="shared" si="8"/>
        <v>27000</v>
      </c>
    </row>
    <row r="131" spans="1:15" ht="36" customHeight="1">
      <c r="A131" s="239"/>
      <c r="B131" s="239"/>
      <c r="C131" s="231" t="s">
        <v>846</v>
      </c>
      <c r="D131" s="180" t="s">
        <v>697</v>
      </c>
      <c r="E131" s="673"/>
      <c r="F131" s="681"/>
      <c r="G131" s="91">
        <v>0</v>
      </c>
      <c r="H131" s="91">
        <v>53133</v>
      </c>
      <c r="I131" s="91">
        <v>53133</v>
      </c>
      <c r="J131" s="528"/>
      <c r="K131" s="528"/>
      <c r="L131" s="101">
        <f t="shared" si="5"/>
        <v>0</v>
      </c>
      <c r="M131" s="101">
        <f t="shared" si="6"/>
        <v>0</v>
      </c>
      <c r="N131" s="101">
        <f t="shared" si="7"/>
        <v>53133</v>
      </c>
      <c r="O131" s="101">
        <f t="shared" si="8"/>
        <v>53133</v>
      </c>
    </row>
    <row r="132" spans="1:15" ht="15" customHeight="1">
      <c r="A132" s="239"/>
      <c r="B132" s="239"/>
      <c r="C132" s="231" t="s">
        <v>848</v>
      </c>
      <c r="D132" s="180" t="s">
        <v>943</v>
      </c>
      <c r="E132" s="673"/>
      <c r="F132" s="681"/>
      <c r="G132" s="91">
        <v>3635</v>
      </c>
      <c r="H132" s="91">
        <v>0</v>
      </c>
      <c r="I132" s="91">
        <v>3635</v>
      </c>
      <c r="J132" s="528"/>
      <c r="K132" s="528"/>
      <c r="L132" s="101">
        <v>3635</v>
      </c>
      <c r="M132" s="101">
        <f t="shared" si="6"/>
        <v>3635</v>
      </c>
      <c r="N132" s="101">
        <f t="shared" si="7"/>
        <v>0</v>
      </c>
      <c r="O132" s="101">
        <f t="shared" si="8"/>
        <v>3635</v>
      </c>
    </row>
    <row r="133" spans="1:15" ht="15" customHeight="1">
      <c r="A133" s="239"/>
      <c r="B133" s="239"/>
      <c r="C133" s="231" t="s">
        <v>850</v>
      </c>
      <c r="D133" s="180" t="s">
        <v>9</v>
      </c>
      <c r="E133" s="673"/>
      <c r="F133" s="681"/>
      <c r="G133" s="91"/>
      <c r="H133" s="91">
        <v>15000</v>
      </c>
      <c r="I133" s="91">
        <v>15000</v>
      </c>
      <c r="J133" s="528"/>
      <c r="K133" s="528"/>
      <c r="L133" s="101">
        <v>15000</v>
      </c>
      <c r="M133" s="101"/>
      <c r="N133" s="101">
        <f t="shared" si="7"/>
        <v>15000</v>
      </c>
      <c r="O133" s="101">
        <f t="shared" si="8"/>
        <v>15000</v>
      </c>
    </row>
    <row r="134" spans="1:15" ht="12.75" customHeight="1">
      <c r="A134" s="121"/>
      <c r="B134" s="121"/>
      <c r="C134" s="329"/>
      <c r="D134" s="525" t="s">
        <v>447</v>
      </c>
      <c r="E134" s="671"/>
      <c r="F134" s="680"/>
      <c r="G134" s="526">
        <f>SUM(G130:G133)</f>
        <v>30635</v>
      </c>
      <c r="H134" s="526">
        <f aca="true" t="shared" si="11" ref="H134:O134">SUM(H130:H133)</f>
        <v>68133</v>
      </c>
      <c r="I134" s="526">
        <f t="shared" si="11"/>
        <v>98768</v>
      </c>
      <c r="J134" s="526">
        <f t="shared" si="11"/>
        <v>0</v>
      </c>
      <c r="K134" s="526">
        <f t="shared" si="11"/>
        <v>0</v>
      </c>
      <c r="L134" s="526">
        <f t="shared" si="11"/>
        <v>18635</v>
      </c>
      <c r="M134" s="526">
        <f t="shared" si="11"/>
        <v>30635</v>
      </c>
      <c r="N134" s="526">
        <f t="shared" si="11"/>
        <v>68133</v>
      </c>
      <c r="O134" s="526">
        <f t="shared" si="11"/>
        <v>98768</v>
      </c>
    </row>
    <row r="135" spans="1:15" ht="12.75" customHeight="1">
      <c r="A135" s="239">
        <v>1</v>
      </c>
      <c r="B135" s="239">
        <v>19</v>
      </c>
      <c r="C135" s="234"/>
      <c r="D135" s="529" t="s">
        <v>905</v>
      </c>
      <c r="E135" s="672"/>
      <c r="F135" s="681"/>
      <c r="G135" s="91">
        <v>0</v>
      </c>
      <c r="H135" s="91">
        <v>0</v>
      </c>
      <c r="I135" s="91">
        <v>0</v>
      </c>
      <c r="J135" s="527"/>
      <c r="K135" s="527"/>
      <c r="L135" s="101">
        <f t="shared" si="5"/>
        <v>0</v>
      </c>
      <c r="M135" s="101">
        <f t="shared" si="6"/>
        <v>0</v>
      </c>
      <c r="N135" s="101">
        <f t="shared" si="7"/>
        <v>0</v>
      </c>
      <c r="O135" s="101">
        <f t="shared" si="8"/>
        <v>0</v>
      </c>
    </row>
    <row r="136" spans="1:15" ht="12.75" customHeight="1">
      <c r="A136" s="239"/>
      <c r="B136" s="239"/>
      <c r="C136" s="234" t="s">
        <v>702</v>
      </c>
      <c r="D136" s="246" t="s">
        <v>430</v>
      </c>
      <c r="E136" s="672"/>
      <c r="F136" s="681"/>
      <c r="G136" s="91">
        <v>0</v>
      </c>
      <c r="H136" s="91">
        <v>6000</v>
      </c>
      <c r="I136" s="91">
        <v>6000</v>
      </c>
      <c r="J136" s="530"/>
      <c r="K136" s="530"/>
      <c r="L136" s="101">
        <f t="shared" si="5"/>
        <v>0</v>
      </c>
      <c r="M136" s="101">
        <f t="shared" si="6"/>
        <v>0</v>
      </c>
      <c r="N136" s="101">
        <f t="shared" si="7"/>
        <v>6000</v>
      </c>
      <c r="O136" s="101">
        <f t="shared" si="8"/>
        <v>6000</v>
      </c>
    </row>
    <row r="137" spans="1:15" ht="12.75" customHeight="1">
      <c r="A137" s="239"/>
      <c r="B137" s="239"/>
      <c r="C137" s="234" t="s">
        <v>846</v>
      </c>
      <c r="D137" s="246" t="s">
        <v>431</v>
      </c>
      <c r="E137" s="672"/>
      <c r="F137" s="681"/>
      <c r="G137" s="91">
        <v>0</v>
      </c>
      <c r="H137" s="91">
        <v>2000</v>
      </c>
      <c r="I137" s="91">
        <v>2000</v>
      </c>
      <c r="J137" s="530"/>
      <c r="K137" s="530"/>
      <c r="L137" s="101">
        <f t="shared" si="5"/>
        <v>0</v>
      </c>
      <c r="M137" s="101">
        <f t="shared" si="6"/>
        <v>0</v>
      </c>
      <c r="N137" s="101">
        <f t="shared" si="7"/>
        <v>2000</v>
      </c>
      <c r="O137" s="101">
        <f t="shared" si="8"/>
        <v>2000</v>
      </c>
    </row>
    <row r="138" spans="1:15" ht="12.75" customHeight="1">
      <c r="A138" s="121"/>
      <c r="B138" s="121"/>
      <c r="C138" s="329"/>
      <c r="D138" s="525" t="s">
        <v>906</v>
      </c>
      <c r="E138" s="671"/>
      <c r="F138" s="680"/>
      <c r="G138" s="526">
        <f>SUM(G136:G137)</f>
        <v>0</v>
      </c>
      <c r="H138" s="526">
        <f aca="true" t="shared" si="12" ref="H138:O138">SUM(H136:H137)</f>
        <v>8000</v>
      </c>
      <c r="I138" s="526">
        <f t="shared" si="12"/>
        <v>8000</v>
      </c>
      <c r="J138" s="526">
        <f t="shared" si="12"/>
        <v>0</v>
      </c>
      <c r="K138" s="526">
        <f t="shared" si="12"/>
        <v>0</v>
      </c>
      <c r="L138" s="526">
        <f t="shared" si="12"/>
        <v>0</v>
      </c>
      <c r="M138" s="526">
        <f t="shared" si="12"/>
        <v>0</v>
      </c>
      <c r="N138" s="526">
        <f t="shared" si="12"/>
        <v>8000</v>
      </c>
      <c r="O138" s="526">
        <f t="shared" si="12"/>
        <v>8000</v>
      </c>
    </row>
    <row r="139" spans="1:15" ht="12.75" customHeight="1">
      <c r="A139" s="90">
        <v>1</v>
      </c>
      <c r="B139" s="90">
        <v>30</v>
      </c>
      <c r="C139" s="90"/>
      <c r="D139" s="247" t="s">
        <v>452</v>
      </c>
      <c r="E139" s="674"/>
      <c r="F139" s="682"/>
      <c r="G139" s="91">
        <v>0</v>
      </c>
      <c r="H139" s="91">
        <v>0</v>
      </c>
      <c r="I139" s="91">
        <v>0</v>
      </c>
      <c r="J139" s="91"/>
      <c r="K139" s="91"/>
      <c r="L139" s="101">
        <f t="shared" si="5"/>
        <v>0</v>
      </c>
      <c r="M139" s="101">
        <f t="shared" si="6"/>
        <v>0</v>
      </c>
      <c r="N139" s="101">
        <f t="shared" si="7"/>
        <v>0</v>
      </c>
      <c r="O139" s="101">
        <f t="shared" si="8"/>
        <v>0</v>
      </c>
    </row>
    <row r="140" spans="1:15" ht="12.75" customHeight="1">
      <c r="A140" s="90"/>
      <c r="B140" s="90"/>
      <c r="C140" s="90" t="s">
        <v>702</v>
      </c>
      <c r="D140" s="158" t="s">
        <v>807</v>
      </c>
      <c r="E140" s="675"/>
      <c r="F140" s="682" t="s">
        <v>1023</v>
      </c>
      <c r="G140" s="91">
        <v>15703</v>
      </c>
      <c r="H140" s="91">
        <v>0</v>
      </c>
      <c r="I140" s="91">
        <v>15703</v>
      </c>
      <c r="J140" s="91">
        <v>-6565</v>
      </c>
      <c r="K140" s="91"/>
      <c r="L140" s="101">
        <f t="shared" si="5"/>
        <v>-6565</v>
      </c>
      <c r="M140" s="101">
        <f t="shared" si="6"/>
        <v>9138</v>
      </c>
      <c r="N140" s="101">
        <f t="shared" si="7"/>
        <v>0</v>
      </c>
      <c r="O140" s="101">
        <f t="shared" si="8"/>
        <v>9138</v>
      </c>
    </row>
    <row r="141" spans="1:15" ht="12.75" customHeight="1">
      <c r="A141" s="90"/>
      <c r="B141" s="90"/>
      <c r="C141" s="90" t="s">
        <v>846</v>
      </c>
      <c r="D141" s="158" t="s">
        <v>432</v>
      </c>
      <c r="E141" s="675"/>
      <c r="F141" s="682"/>
      <c r="G141" s="91">
        <v>8190</v>
      </c>
      <c r="H141" s="91">
        <v>0</v>
      </c>
      <c r="I141" s="91">
        <v>8190</v>
      </c>
      <c r="J141" s="91"/>
      <c r="K141" s="91"/>
      <c r="L141" s="101">
        <f t="shared" si="5"/>
        <v>0</v>
      </c>
      <c r="M141" s="101">
        <f t="shared" si="6"/>
        <v>8190</v>
      </c>
      <c r="N141" s="101">
        <f t="shared" si="7"/>
        <v>0</v>
      </c>
      <c r="O141" s="101">
        <f t="shared" si="8"/>
        <v>8190</v>
      </c>
    </row>
    <row r="142" spans="1:15" ht="12.75" customHeight="1">
      <c r="A142" s="90"/>
      <c r="B142" s="90"/>
      <c r="C142" s="90" t="s">
        <v>848</v>
      </c>
      <c r="D142" s="158" t="s">
        <v>434</v>
      </c>
      <c r="E142" s="675"/>
      <c r="F142" s="682" t="s">
        <v>1023</v>
      </c>
      <c r="G142" s="91">
        <v>30000</v>
      </c>
      <c r="H142" s="91">
        <v>0</v>
      </c>
      <c r="I142" s="91">
        <v>30000</v>
      </c>
      <c r="J142" s="91">
        <v>-30000</v>
      </c>
      <c r="K142" s="91"/>
      <c r="L142" s="101">
        <f t="shared" si="5"/>
        <v>-30000</v>
      </c>
      <c r="M142" s="101">
        <f t="shared" si="6"/>
        <v>0</v>
      </c>
      <c r="N142" s="101">
        <f t="shared" si="7"/>
        <v>0</v>
      </c>
      <c r="O142" s="101">
        <f t="shared" si="8"/>
        <v>0</v>
      </c>
    </row>
    <row r="143" spans="1:15" ht="12.75" customHeight="1">
      <c r="A143" s="98"/>
      <c r="B143" s="98"/>
      <c r="C143" s="98"/>
      <c r="D143" s="175" t="s">
        <v>453</v>
      </c>
      <c r="E143" s="676"/>
      <c r="F143" s="683"/>
      <c r="G143" s="531">
        <f>SUM(G140:G142)</f>
        <v>53893</v>
      </c>
      <c r="H143" s="531">
        <f aca="true" t="shared" si="13" ref="H143:O143">SUM(H140:H142)</f>
        <v>0</v>
      </c>
      <c r="I143" s="531">
        <f t="shared" si="13"/>
        <v>53893</v>
      </c>
      <c r="J143" s="531">
        <f t="shared" si="13"/>
        <v>-36565</v>
      </c>
      <c r="K143" s="531">
        <f t="shared" si="13"/>
        <v>0</v>
      </c>
      <c r="L143" s="531">
        <f t="shared" si="13"/>
        <v>-36565</v>
      </c>
      <c r="M143" s="531">
        <f t="shared" si="13"/>
        <v>17328</v>
      </c>
      <c r="N143" s="531">
        <f t="shared" si="13"/>
        <v>0</v>
      </c>
      <c r="O143" s="531">
        <f t="shared" si="13"/>
        <v>17328</v>
      </c>
    </row>
    <row r="144" spans="1:15" ht="12.75" customHeight="1">
      <c r="A144" s="98"/>
      <c r="B144" s="98"/>
      <c r="C144" s="98"/>
      <c r="D144" s="478" t="s">
        <v>358</v>
      </c>
      <c r="E144" s="676"/>
      <c r="F144" s="683"/>
      <c r="G144" s="531">
        <f aca="true" t="shared" si="14" ref="G144:O144">SUM(G34+G113+G128+G134+G138+G143)</f>
        <v>515260</v>
      </c>
      <c r="H144" s="531">
        <f t="shared" si="14"/>
        <v>83580</v>
      </c>
      <c r="I144" s="531">
        <f t="shared" si="14"/>
        <v>598840</v>
      </c>
      <c r="J144" s="531">
        <f t="shared" si="14"/>
        <v>28034</v>
      </c>
      <c r="K144" s="531">
        <f t="shared" si="14"/>
        <v>3992</v>
      </c>
      <c r="L144" s="531">
        <f t="shared" si="14"/>
        <v>51065</v>
      </c>
      <c r="M144" s="531">
        <f t="shared" si="14"/>
        <v>543294</v>
      </c>
      <c r="N144" s="531">
        <f t="shared" si="14"/>
        <v>87572</v>
      </c>
      <c r="O144" s="531">
        <f t="shared" si="14"/>
        <v>630866</v>
      </c>
    </row>
    <row r="145" spans="1:15" ht="12.75" customHeight="1">
      <c r="A145" s="532">
        <v>2</v>
      </c>
      <c r="B145" s="97"/>
      <c r="C145" s="97"/>
      <c r="D145" s="372" t="s">
        <v>528</v>
      </c>
      <c r="E145" s="677"/>
      <c r="F145" s="684"/>
      <c r="G145" s="533">
        <v>45368</v>
      </c>
      <c r="H145" s="533"/>
      <c r="I145" s="101">
        <f>SUM(G145:H145)</f>
        <v>45368</v>
      </c>
      <c r="J145" s="579">
        <f>'táj.2.'!J32</f>
        <v>41861</v>
      </c>
      <c r="K145" s="579"/>
      <c r="L145" s="101">
        <f t="shared" si="5"/>
        <v>41861</v>
      </c>
      <c r="M145" s="101">
        <f t="shared" si="6"/>
        <v>87229</v>
      </c>
      <c r="N145" s="101">
        <f t="shared" si="7"/>
        <v>0</v>
      </c>
      <c r="O145" s="101">
        <f t="shared" si="8"/>
        <v>87229</v>
      </c>
    </row>
    <row r="146" spans="1:15" ht="12.75" customHeight="1">
      <c r="A146" s="93"/>
      <c r="B146" s="93"/>
      <c r="C146" s="93"/>
      <c r="D146" s="175" t="s">
        <v>455</v>
      </c>
      <c r="E146" s="676"/>
      <c r="F146" s="683"/>
      <c r="G146" s="531">
        <f>SUM(G144+G145)</f>
        <v>560628</v>
      </c>
      <c r="H146" s="531">
        <f aca="true" t="shared" si="15" ref="H146:O146">SUM(H144+H145)</f>
        <v>83580</v>
      </c>
      <c r="I146" s="531">
        <f t="shared" si="15"/>
        <v>644208</v>
      </c>
      <c r="J146" s="531">
        <f t="shared" si="15"/>
        <v>69895</v>
      </c>
      <c r="K146" s="531">
        <f t="shared" si="15"/>
        <v>3992</v>
      </c>
      <c r="L146" s="531">
        <f t="shared" si="15"/>
        <v>92926</v>
      </c>
      <c r="M146" s="531">
        <f t="shared" si="15"/>
        <v>630523</v>
      </c>
      <c r="N146" s="531">
        <f t="shared" si="15"/>
        <v>87572</v>
      </c>
      <c r="O146" s="531">
        <f t="shared" si="15"/>
        <v>718095</v>
      </c>
    </row>
    <row r="147" spans="1:15" ht="13.5" customHeight="1">
      <c r="A147" s="118" t="s">
        <v>435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ht="13.5" customHeight="1">
      <c r="A148" s="69"/>
      <c r="B148" s="69"/>
      <c r="C148" s="69"/>
      <c r="D148" s="67"/>
      <c r="E148" s="67"/>
      <c r="F148" s="67"/>
      <c r="G148" s="68"/>
      <c r="H148" s="70"/>
      <c r="I148" s="70"/>
      <c r="J148" s="70"/>
      <c r="K148" s="70"/>
      <c r="L148" s="70"/>
      <c r="M148" s="69"/>
      <c r="N148" s="69"/>
      <c r="O148" s="69"/>
    </row>
    <row r="149" spans="1:3" ht="12">
      <c r="A149" s="71"/>
      <c r="B149" s="72"/>
      <c r="C149" s="72"/>
    </row>
    <row r="150" spans="1:3" ht="12">
      <c r="A150" s="72"/>
      <c r="B150" s="72"/>
      <c r="C150" s="72"/>
    </row>
    <row r="151" spans="1:3" ht="12">
      <c r="A151" s="72"/>
      <c r="B151" s="72"/>
      <c r="C151" s="72"/>
    </row>
  </sheetData>
  <sheetProtection/>
  <mergeCells count="5">
    <mergeCell ref="D28:E28"/>
    <mergeCell ref="G1:I1"/>
    <mergeCell ref="J1:L1"/>
    <mergeCell ref="M1:O1"/>
    <mergeCell ref="F1:F2"/>
  </mergeCells>
  <printOptions horizontalCentered="1" verticalCentered="1"/>
  <pageMargins left="0.03937007874015748" right="0.03937007874015748" top="0.8267716535433072" bottom="0.7874015748031497" header="0.31496062992125984" footer="0.2362204724409449"/>
  <pageSetup horizontalDpi="600" verticalDpi="600" orientation="landscape" paperSize="9" scale="86" r:id="rId1"/>
  <headerFooter alignWithMargins="0">
    <oddHeader>&amp;C&amp;"Times New Roman,Félkövér dőlt"Zalaegerszeg Megyei Jogú Város Önkormányzatának
2013.évi  felújítási kiadásai célonként&amp;R&amp;"Times New Roman,Félkövér dőlt"8. számú melléklet
Adatok  ezer Ft-ban</oddHeader>
    <oddFooter>&amp;L** kgy=közgyűlési hatáskör
      pm=polgármesteri hatáskör
      biz.=bizottsági hatáskör
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50390625" style="77" customWidth="1"/>
    <col min="2" max="2" width="7.875" style="77" customWidth="1"/>
    <col min="3" max="3" width="40.625" style="74" customWidth="1"/>
    <col min="4" max="5" width="12.50390625" style="74" customWidth="1"/>
    <col min="6" max="6" width="11.125" style="74" customWidth="1"/>
    <col min="7" max="7" width="10.625" style="74" customWidth="1"/>
    <col min="8" max="8" width="11.375" style="74" customWidth="1"/>
    <col min="9" max="9" width="10.00390625" style="74" customWidth="1"/>
    <col min="10" max="10" width="12.50390625" style="74" customWidth="1"/>
    <col min="11" max="11" width="11.375" style="74" customWidth="1"/>
    <col min="12" max="12" width="10.625" style="74" customWidth="1"/>
    <col min="13" max="13" width="9.50390625" style="74" customWidth="1"/>
    <col min="14" max="14" width="10.00390625" style="74" customWidth="1"/>
    <col min="15" max="15" width="11.875" style="74" customWidth="1"/>
    <col min="16" max="16" width="10.00390625" style="74" bestFit="1" customWidth="1"/>
    <col min="17" max="16384" width="9.375" style="74" customWidth="1"/>
  </cols>
  <sheetData>
    <row r="1" spans="1:15" ht="12.75" customHeight="1" thickBot="1">
      <c r="A1" s="867" t="s">
        <v>483</v>
      </c>
      <c r="B1" s="870" t="s">
        <v>484</v>
      </c>
      <c r="C1" s="864" t="s">
        <v>533</v>
      </c>
      <c r="D1" s="864" t="s">
        <v>573</v>
      </c>
      <c r="E1" s="864" t="s">
        <v>68</v>
      </c>
      <c r="F1" s="877" t="s">
        <v>556</v>
      </c>
      <c r="G1" s="878"/>
      <c r="H1" s="332"/>
      <c r="I1" s="883" t="s">
        <v>557</v>
      </c>
      <c r="J1" s="884"/>
      <c r="K1" s="885"/>
      <c r="L1" s="877" t="s">
        <v>558</v>
      </c>
      <c r="M1" s="878"/>
      <c r="N1" s="864" t="s">
        <v>559</v>
      </c>
      <c r="O1" s="864" t="s">
        <v>560</v>
      </c>
    </row>
    <row r="2" spans="1:18" ht="27.75" customHeight="1" thickBot="1">
      <c r="A2" s="868"/>
      <c r="B2" s="871"/>
      <c r="C2" s="873"/>
      <c r="D2" s="875"/>
      <c r="E2" s="865"/>
      <c r="F2" s="879"/>
      <c r="G2" s="880"/>
      <c r="H2" s="881" t="s">
        <v>561</v>
      </c>
      <c r="I2" s="886" t="s">
        <v>562</v>
      </c>
      <c r="J2" s="888" t="s">
        <v>909</v>
      </c>
      <c r="K2" s="870" t="s">
        <v>563</v>
      </c>
      <c r="L2" s="879"/>
      <c r="M2" s="880"/>
      <c r="N2" s="873"/>
      <c r="O2" s="873"/>
      <c r="P2" s="73"/>
      <c r="Q2" s="73"/>
      <c r="R2" s="73"/>
    </row>
    <row r="3" spans="1:18" ht="11.25" customHeight="1">
      <c r="A3" s="869"/>
      <c r="B3" s="872"/>
      <c r="C3" s="874"/>
      <c r="D3" s="876"/>
      <c r="E3" s="866"/>
      <c r="F3" s="253" t="s">
        <v>926</v>
      </c>
      <c r="G3" s="253" t="s">
        <v>927</v>
      </c>
      <c r="H3" s="882"/>
      <c r="I3" s="887"/>
      <c r="J3" s="889"/>
      <c r="K3" s="890"/>
      <c r="L3" s="253" t="s">
        <v>926</v>
      </c>
      <c r="M3" s="253" t="s">
        <v>927</v>
      </c>
      <c r="N3" s="873"/>
      <c r="O3" s="873"/>
      <c r="P3" s="73"/>
      <c r="Q3" s="73"/>
      <c r="R3" s="73"/>
    </row>
    <row r="4" spans="1:18" ht="15" customHeight="1">
      <c r="A4" s="279">
        <v>2</v>
      </c>
      <c r="B4" s="279">
        <v>1</v>
      </c>
      <c r="C4" s="333" t="s">
        <v>902</v>
      </c>
      <c r="D4" s="349">
        <v>1188163</v>
      </c>
      <c r="E4" s="349">
        <f>46337+'táj.1.'!M4</f>
        <v>45345</v>
      </c>
      <c r="F4" s="278">
        <f>11153+'táj.1.'!D4</f>
        <v>11181</v>
      </c>
      <c r="G4" s="278">
        <f>0+'táj.1.'!E4</f>
        <v>0</v>
      </c>
      <c r="H4" s="334">
        <f>1127802+'táj.1.'!F4</f>
        <v>1122804</v>
      </c>
      <c r="I4" s="334">
        <f>0+'táj.1.'!G4</f>
        <v>0</v>
      </c>
      <c r="J4" s="335">
        <f>0+'táj.1.'!H4</f>
        <v>3961</v>
      </c>
      <c r="K4" s="334">
        <f>0+'táj.1.'!I4</f>
        <v>0</v>
      </c>
      <c r="L4" s="278">
        <f>2600+'táj.1.'!J4</f>
        <v>2617</v>
      </c>
      <c r="M4" s="278">
        <f>0+'táj.1.'!K4</f>
        <v>0</v>
      </c>
      <c r="N4" s="336">
        <f>92945+'táj.1.'!L4</f>
        <v>92945</v>
      </c>
      <c r="O4" s="336">
        <f aca="true" t="shared" si="0" ref="O4:O32">SUM(F4:N4)</f>
        <v>1233508</v>
      </c>
      <c r="P4" s="73"/>
      <c r="Q4" s="73"/>
      <c r="R4" s="73"/>
    </row>
    <row r="5" spans="1:15" s="75" customFormat="1" ht="14.25" customHeight="1">
      <c r="A5" s="337">
        <v>2</v>
      </c>
      <c r="B5" s="337">
        <v>2</v>
      </c>
      <c r="C5" s="333" t="s">
        <v>168</v>
      </c>
      <c r="D5" s="349">
        <v>497197</v>
      </c>
      <c r="E5" s="349">
        <f>63682+'táj.1.'!M5</f>
        <v>-497197</v>
      </c>
      <c r="F5" s="278">
        <f>214839+'táj.1.'!D5</f>
        <v>0</v>
      </c>
      <c r="G5" s="278">
        <f>0+'táj.1.'!E5</f>
        <v>0</v>
      </c>
      <c r="H5" s="334">
        <f>292434+'táj.1.'!F5</f>
        <v>0</v>
      </c>
      <c r="I5" s="334">
        <f>0+'táj.1.'!G5</f>
        <v>0</v>
      </c>
      <c r="J5" s="335">
        <f>1374+'táj.1.'!H5</f>
        <v>0</v>
      </c>
      <c r="K5" s="334">
        <f>0+'táj.1.'!I5</f>
        <v>0</v>
      </c>
      <c r="L5" s="278">
        <f>0+'táj.1.'!J5</f>
        <v>0</v>
      </c>
      <c r="M5" s="278">
        <f>0+'táj.1.'!K5</f>
        <v>0</v>
      </c>
      <c r="N5" s="336">
        <f>52232+'táj.1.'!L5</f>
        <v>0</v>
      </c>
      <c r="O5" s="338">
        <f t="shared" si="0"/>
        <v>0</v>
      </c>
    </row>
    <row r="6" spans="1:15" s="75" customFormat="1" ht="16.5" customHeight="1">
      <c r="A6" s="337">
        <v>2</v>
      </c>
      <c r="B6" s="337">
        <v>3</v>
      </c>
      <c r="C6" s="333" t="s">
        <v>87</v>
      </c>
      <c r="D6" s="349">
        <f>SUM(D7:D14)</f>
        <v>2034364</v>
      </c>
      <c r="E6" s="349">
        <f aca="true" t="shared" si="1" ref="E6:O6">SUM(E7:E14)</f>
        <v>939204</v>
      </c>
      <c r="F6" s="349">
        <f t="shared" si="1"/>
        <v>622055</v>
      </c>
      <c r="G6" s="349">
        <f t="shared" si="1"/>
        <v>375</v>
      </c>
      <c r="H6" s="349">
        <f t="shared" si="1"/>
        <v>1978465</v>
      </c>
      <c r="I6" s="349">
        <f t="shared" si="1"/>
        <v>231745</v>
      </c>
      <c r="J6" s="349">
        <f t="shared" si="1"/>
        <v>76615</v>
      </c>
      <c r="K6" s="349">
        <f t="shared" si="1"/>
        <v>8131</v>
      </c>
      <c r="L6" s="349">
        <f t="shared" si="1"/>
        <v>0</v>
      </c>
      <c r="M6" s="349">
        <f t="shared" si="1"/>
        <v>0</v>
      </c>
      <c r="N6" s="349">
        <f t="shared" si="1"/>
        <v>56182</v>
      </c>
      <c r="O6" s="349">
        <f t="shared" si="1"/>
        <v>2973568</v>
      </c>
    </row>
    <row r="7" spans="1:15" s="75" customFormat="1" ht="15" customHeight="1">
      <c r="A7" s="337"/>
      <c r="B7" s="339" t="s">
        <v>853</v>
      </c>
      <c r="C7" s="285" t="s">
        <v>169</v>
      </c>
      <c r="D7" s="284">
        <v>339145</v>
      </c>
      <c r="E7" s="351">
        <f>6787+'táj.1.'!M7</f>
        <v>16170</v>
      </c>
      <c r="F7" s="352">
        <f>104824+'táj.1.'!D7</f>
        <v>104824</v>
      </c>
      <c r="G7" s="352">
        <f>0+'táj.1.'!E7</f>
        <v>0</v>
      </c>
      <c r="H7" s="353">
        <f>233380+'táj.1.'!F7</f>
        <v>238620</v>
      </c>
      <c r="I7" s="353">
        <f>0+'táj.1.'!G7</f>
        <v>0</v>
      </c>
      <c r="J7" s="351">
        <f>2989+'táj.1.'!H7</f>
        <v>2989</v>
      </c>
      <c r="K7" s="353">
        <f>2000+'táj.1.'!I7</f>
        <v>6143</v>
      </c>
      <c r="L7" s="352">
        <f>0+'táj.1.'!J7</f>
        <v>0</v>
      </c>
      <c r="M7" s="352">
        <f>0+'táj.1.'!K7</f>
        <v>0</v>
      </c>
      <c r="N7" s="340">
        <f>2739+'táj.1.'!L7</f>
        <v>2739</v>
      </c>
      <c r="O7" s="340">
        <f t="shared" si="0"/>
        <v>355315</v>
      </c>
    </row>
    <row r="8" spans="1:15" s="75" customFormat="1" ht="25.5">
      <c r="A8" s="337"/>
      <c r="B8" s="339" t="s">
        <v>854</v>
      </c>
      <c r="C8" s="638" t="s">
        <v>170</v>
      </c>
      <c r="D8" s="284">
        <v>96603</v>
      </c>
      <c r="E8" s="351">
        <f>8553+'táj.1.'!M8</f>
        <v>-96603</v>
      </c>
      <c r="F8" s="352">
        <f>0+'táj.1.'!D8</f>
        <v>0</v>
      </c>
      <c r="G8" s="352">
        <f>0+'táj.1.'!E8</f>
        <v>0</v>
      </c>
      <c r="H8" s="353">
        <f>98193+'táj.1.'!F8</f>
        <v>0</v>
      </c>
      <c r="I8" s="353">
        <f>0+'táj.1.'!G8</f>
        <v>0</v>
      </c>
      <c r="J8" s="351">
        <f>3716+'táj.1.'!H8</f>
        <v>0</v>
      </c>
      <c r="K8" s="353">
        <f>0+'táj.1.'!I8</f>
        <v>0</v>
      </c>
      <c r="L8" s="352">
        <f>0+'táj.1.'!J8</f>
        <v>0</v>
      </c>
      <c r="M8" s="352">
        <f>0+'táj.1.'!K8</f>
        <v>0</v>
      </c>
      <c r="N8" s="340">
        <f>3247+'táj.1.'!L8</f>
        <v>0</v>
      </c>
      <c r="O8" s="340">
        <f t="shared" si="0"/>
        <v>0</v>
      </c>
    </row>
    <row r="9" spans="1:15" s="75" customFormat="1" ht="17.25" customHeight="1">
      <c r="A9" s="337"/>
      <c r="B9" s="339" t="s">
        <v>876</v>
      </c>
      <c r="C9" s="285" t="s">
        <v>171</v>
      </c>
      <c r="D9" s="284">
        <v>266362</v>
      </c>
      <c r="E9" s="351">
        <f>60358+'táj.1.'!M9</f>
        <v>59899</v>
      </c>
      <c r="F9" s="352">
        <f>470+'táj.1.'!D9</f>
        <v>3000</v>
      </c>
      <c r="G9" s="352">
        <f>0+'táj.1.'!E9</f>
        <v>0</v>
      </c>
      <c r="H9" s="353">
        <f>53714+'táj.1.'!F9</f>
        <v>50725</v>
      </c>
      <c r="I9" s="353">
        <f>231745+'táj.1.'!G9</f>
        <v>231745</v>
      </c>
      <c r="J9" s="351">
        <f>0+'táj.1.'!H9</f>
        <v>0</v>
      </c>
      <c r="K9" s="353">
        <f>0+'táj.1.'!I9</f>
        <v>0</v>
      </c>
      <c r="L9" s="352">
        <f>0+'táj.1.'!J9</f>
        <v>0</v>
      </c>
      <c r="M9" s="352">
        <f>0+'táj.1.'!K9</f>
        <v>0</v>
      </c>
      <c r="N9" s="340">
        <f>40791+'táj.1.'!L9</f>
        <v>40791</v>
      </c>
      <c r="O9" s="340">
        <f t="shared" si="0"/>
        <v>326261</v>
      </c>
    </row>
    <row r="10" spans="1:15" s="75" customFormat="1" ht="15" customHeight="1">
      <c r="A10" s="337"/>
      <c r="B10" s="339" t="s">
        <v>523</v>
      </c>
      <c r="C10" s="285" t="s">
        <v>172</v>
      </c>
      <c r="D10" s="284">
        <v>0</v>
      </c>
      <c r="E10" s="351">
        <f>0+'táj.1.'!M10</f>
        <v>235203</v>
      </c>
      <c r="F10" s="352">
        <f>0+'táj.1.'!D10</f>
        <v>34391</v>
      </c>
      <c r="G10" s="352">
        <f>0+'táj.1.'!E10</f>
        <v>0</v>
      </c>
      <c r="H10" s="353">
        <f>0+'táj.1.'!F10</f>
        <v>197499</v>
      </c>
      <c r="I10" s="353">
        <f>0+'táj.1.'!G10</f>
        <v>0</v>
      </c>
      <c r="J10" s="351">
        <f>0+'táj.1.'!H10</f>
        <v>1214</v>
      </c>
      <c r="K10" s="353">
        <f>0+'táj.1.'!I10</f>
        <v>0</v>
      </c>
      <c r="L10" s="352">
        <f>0+'táj.1.'!J10</f>
        <v>0</v>
      </c>
      <c r="M10" s="352">
        <f>0+'táj.1.'!K10</f>
        <v>0</v>
      </c>
      <c r="N10" s="340">
        <f>0+'táj.1.'!L10</f>
        <v>2099</v>
      </c>
      <c r="O10" s="340">
        <f t="shared" si="0"/>
        <v>235203</v>
      </c>
    </row>
    <row r="11" spans="1:15" s="75" customFormat="1" ht="15" customHeight="1">
      <c r="A11" s="337"/>
      <c r="B11" s="339" t="s">
        <v>31</v>
      </c>
      <c r="C11" s="285" t="s">
        <v>173</v>
      </c>
      <c r="D11" s="284">
        <v>0</v>
      </c>
      <c r="E11" s="351">
        <f>0+'táj.1.'!M11</f>
        <v>230286</v>
      </c>
      <c r="F11" s="352">
        <f>0+'táj.1.'!D11</f>
        <v>27284</v>
      </c>
      <c r="G11" s="352">
        <f>0+'táj.1.'!E11</f>
        <v>0</v>
      </c>
      <c r="H11" s="353">
        <f>0+'táj.1.'!F11</f>
        <v>198186</v>
      </c>
      <c r="I11" s="353">
        <f>0+'táj.1.'!G11</f>
        <v>0</v>
      </c>
      <c r="J11" s="351">
        <f>0+'táj.1.'!H11</f>
        <v>92</v>
      </c>
      <c r="K11" s="353">
        <f>0+'táj.1.'!I11</f>
        <v>1988</v>
      </c>
      <c r="L11" s="352">
        <f>0+'táj.1.'!J11</f>
        <v>0</v>
      </c>
      <c r="M11" s="352">
        <f>0+'táj.1.'!K11</f>
        <v>0</v>
      </c>
      <c r="N11" s="340">
        <f>0+'táj.1.'!L11</f>
        <v>2736</v>
      </c>
      <c r="O11" s="340">
        <f t="shared" si="0"/>
        <v>230286</v>
      </c>
    </row>
    <row r="12" spans="1:15" s="75" customFormat="1" ht="15" customHeight="1">
      <c r="A12" s="337"/>
      <c r="B12" s="339" t="s">
        <v>32</v>
      </c>
      <c r="C12" s="285" t="s">
        <v>174</v>
      </c>
      <c r="D12" s="284">
        <v>0</v>
      </c>
      <c r="E12" s="351">
        <f>0+'táj.1.'!M12</f>
        <v>206934</v>
      </c>
      <c r="F12" s="352">
        <f>0+'táj.1.'!D12</f>
        <v>25452</v>
      </c>
      <c r="G12" s="352">
        <f>0+'táj.1.'!E12</f>
        <v>0</v>
      </c>
      <c r="H12" s="353">
        <f>0+'táj.1.'!F12</f>
        <v>178632</v>
      </c>
      <c r="I12" s="353">
        <f>0+'táj.1.'!G12</f>
        <v>0</v>
      </c>
      <c r="J12" s="351">
        <f>0+'táj.1.'!H12</f>
        <v>258</v>
      </c>
      <c r="K12" s="353">
        <f>0+'táj.1.'!I12</f>
        <v>0</v>
      </c>
      <c r="L12" s="352">
        <f>0+'táj.1.'!J12</f>
        <v>0</v>
      </c>
      <c r="M12" s="352">
        <f>0+'táj.1.'!K12</f>
        <v>0</v>
      </c>
      <c r="N12" s="340">
        <f>0+'táj.1.'!L12</f>
        <v>2592</v>
      </c>
      <c r="O12" s="340">
        <f t="shared" si="0"/>
        <v>206934</v>
      </c>
    </row>
    <row r="13" spans="1:15" s="75" customFormat="1" ht="15" customHeight="1">
      <c r="A13" s="337"/>
      <c r="B13" s="339" t="s">
        <v>33</v>
      </c>
      <c r="C13" s="285" t="s">
        <v>175</v>
      </c>
      <c r="D13" s="284">
        <v>0</v>
      </c>
      <c r="E13" s="351">
        <f>0+'táj.1.'!M13</f>
        <v>225955</v>
      </c>
      <c r="F13" s="352">
        <f>0+'táj.1.'!D13</f>
        <v>24908</v>
      </c>
      <c r="G13" s="352">
        <f>0+'táj.1.'!E13</f>
        <v>0</v>
      </c>
      <c r="H13" s="353">
        <f>0+'táj.1.'!F13</f>
        <v>198641</v>
      </c>
      <c r="I13" s="353">
        <f>0+'táj.1.'!G13</f>
        <v>0</v>
      </c>
      <c r="J13" s="351">
        <f>0+'táj.1.'!H13</f>
        <v>0</v>
      </c>
      <c r="K13" s="353">
        <f>0+'táj.1.'!I13</f>
        <v>0</v>
      </c>
      <c r="L13" s="352">
        <f>0+'táj.1.'!J13</f>
        <v>0</v>
      </c>
      <c r="M13" s="352">
        <f>0+'táj.1.'!K13</f>
        <v>0</v>
      </c>
      <c r="N13" s="340">
        <f>0+'táj.1.'!L13</f>
        <v>2406</v>
      </c>
      <c r="O13" s="340">
        <f t="shared" si="0"/>
        <v>225955</v>
      </c>
    </row>
    <row r="14" spans="1:15" s="75" customFormat="1" ht="12" customHeight="1">
      <c r="A14" s="337"/>
      <c r="B14" s="339" t="s">
        <v>34</v>
      </c>
      <c r="C14" s="285" t="s">
        <v>176</v>
      </c>
      <c r="D14" s="284">
        <v>1332254</v>
      </c>
      <c r="E14" s="351">
        <f>16910+'táj.1.'!M14</f>
        <v>61360</v>
      </c>
      <c r="F14" s="352">
        <f>402196+'táj.1.'!D14</f>
        <v>402196</v>
      </c>
      <c r="G14" s="352">
        <f>0+'táj.1.'!E14</f>
        <v>375</v>
      </c>
      <c r="H14" s="353">
        <f>872087+'táj.1.'!F14</f>
        <v>916162</v>
      </c>
      <c r="I14" s="353">
        <f>0+'táj.1.'!G14</f>
        <v>0</v>
      </c>
      <c r="J14" s="351">
        <f>72062+'táj.1.'!H14</f>
        <v>72062</v>
      </c>
      <c r="K14" s="353">
        <f>0+'táj.1.'!I14</f>
        <v>0</v>
      </c>
      <c r="L14" s="352">
        <f>0+'táj.1.'!J14</f>
        <v>0</v>
      </c>
      <c r="M14" s="352">
        <f>0+'táj.1.'!K14</f>
        <v>0</v>
      </c>
      <c r="N14" s="340">
        <f>2819+'táj.1.'!L14</f>
        <v>2819</v>
      </c>
      <c r="O14" s="340">
        <f t="shared" si="0"/>
        <v>1393614</v>
      </c>
    </row>
    <row r="15" spans="1:15" s="75" customFormat="1" ht="15" customHeight="1">
      <c r="A15" s="337">
        <v>2</v>
      </c>
      <c r="B15" s="337">
        <v>4</v>
      </c>
      <c r="C15" s="252" t="s">
        <v>488</v>
      </c>
      <c r="D15" s="283">
        <f>SUM(D16:D20)</f>
        <v>850235</v>
      </c>
      <c r="E15" s="283">
        <f aca="true" t="shared" si="2" ref="E15:N15">SUM(E16:E20)</f>
        <v>-831933</v>
      </c>
      <c r="F15" s="283">
        <f t="shared" si="2"/>
        <v>352</v>
      </c>
      <c r="G15" s="283">
        <f t="shared" si="2"/>
        <v>0</v>
      </c>
      <c r="H15" s="283">
        <f t="shared" si="2"/>
        <v>9871</v>
      </c>
      <c r="I15" s="283">
        <f t="shared" si="2"/>
        <v>0</v>
      </c>
      <c r="J15" s="283">
        <f t="shared" si="2"/>
        <v>0</v>
      </c>
      <c r="K15" s="283">
        <f t="shared" si="2"/>
        <v>0</v>
      </c>
      <c r="L15" s="283">
        <f t="shared" si="2"/>
        <v>0</v>
      </c>
      <c r="M15" s="283">
        <f t="shared" si="2"/>
        <v>0</v>
      </c>
      <c r="N15" s="283">
        <f t="shared" si="2"/>
        <v>8079</v>
      </c>
      <c r="O15" s="283">
        <f>SUM(O16:O20)</f>
        <v>18302</v>
      </c>
    </row>
    <row r="16" spans="1:15" s="75" customFormat="1" ht="14.25" customHeight="1">
      <c r="A16" s="337"/>
      <c r="B16" s="339" t="s">
        <v>856</v>
      </c>
      <c r="C16" s="285" t="s">
        <v>177</v>
      </c>
      <c r="D16" s="284">
        <v>207494</v>
      </c>
      <c r="E16" s="351">
        <f>18121+'táj.1.'!M16</f>
        <v>-207494</v>
      </c>
      <c r="F16" s="352">
        <f>32924+'táj.1.'!D16</f>
        <v>0</v>
      </c>
      <c r="G16" s="352">
        <f>0+'táj.1.'!E16</f>
        <v>0</v>
      </c>
      <c r="H16" s="353">
        <f>185480+'táj.1.'!F16</f>
        <v>0</v>
      </c>
      <c r="I16" s="353">
        <f>0+'táj.1.'!G16</f>
        <v>0</v>
      </c>
      <c r="J16" s="351">
        <f>5112+'táj.1.'!H16</f>
        <v>0</v>
      </c>
      <c r="K16" s="353">
        <f>0+'táj.1.'!I16</f>
        <v>0</v>
      </c>
      <c r="L16" s="352">
        <f>0+'táj.1.'!J16</f>
        <v>0</v>
      </c>
      <c r="M16" s="352">
        <f>0+'táj.1.'!K16</f>
        <v>0</v>
      </c>
      <c r="N16" s="340">
        <f>2099+'táj.1.'!L16</f>
        <v>0</v>
      </c>
      <c r="O16" s="340">
        <f t="shared" si="0"/>
        <v>0</v>
      </c>
    </row>
    <row r="17" spans="1:15" s="75" customFormat="1" ht="15" customHeight="1">
      <c r="A17" s="337"/>
      <c r="B17" s="339" t="s">
        <v>857</v>
      </c>
      <c r="C17" s="285" t="s">
        <v>178</v>
      </c>
      <c r="D17" s="284">
        <v>205632</v>
      </c>
      <c r="E17" s="351">
        <f>18878+'táj.1.'!M17</f>
        <v>-205632</v>
      </c>
      <c r="F17" s="352">
        <f>27284+'táj.1.'!D17</f>
        <v>0</v>
      </c>
      <c r="G17" s="352">
        <f>0+'táj.1.'!E17</f>
        <v>0</v>
      </c>
      <c r="H17" s="353">
        <f>190349+'táj.1.'!F17</f>
        <v>0</v>
      </c>
      <c r="I17" s="353">
        <f>0+'táj.1.'!G17</f>
        <v>0</v>
      </c>
      <c r="J17" s="351">
        <f>4141+'táj.1.'!H17</f>
        <v>0</v>
      </c>
      <c r="K17" s="353">
        <f>0+'táj.1.'!I17</f>
        <v>0</v>
      </c>
      <c r="L17" s="352">
        <f>0+'táj.1.'!J17</f>
        <v>0</v>
      </c>
      <c r="M17" s="352">
        <f>0+'táj.1.'!K17</f>
        <v>0</v>
      </c>
      <c r="N17" s="340">
        <f>2736+'táj.1.'!L17</f>
        <v>0</v>
      </c>
      <c r="O17" s="340">
        <f t="shared" si="0"/>
        <v>0</v>
      </c>
    </row>
    <row r="18" spans="1:15" s="75" customFormat="1" ht="15.75" customHeight="1">
      <c r="A18" s="337"/>
      <c r="B18" s="339" t="s">
        <v>858</v>
      </c>
      <c r="C18" s="285" t="s">
        <v>179</v>
      </c>
      <c r="D18" s="284">
        <v>169219</v>
      </c>
      <c r="E18" s="351">
        <f>13309+'táj.1.'!M18</f>
        <v>-169219</v>
      </c>
      <c r="F18" s="352">
        <f>20986+'táj.1.'!D18</f>
        <v>0</v>
      </c>
      <c r="G18" s="352">
        <f>0+'táj.1.'!E18</f>
        <v>0</v>
      </c>
      <c r="H18" s="353">
        <f>156040+'táj.1.'!F18</f>
        <v>0</v>
      </c>
      <c r="I18" s="353">
        <f>0+'táj.1.'!G18</f>
        <v>0</v>
      </c>
      <c r="J18" s="351">
        <f>2910+'táj.1.'!H18</f>
        <v>0</v>
      </c>
      <c r="K18" s="353">
        <f>0+'táj.1.'!I18</f>
        <v>0</v>
      </c>
      <c r="L18" s="352">
        <f>0+'táj.1.'!J18</f>
        <v>0</v>
      </c>
      <c r="M18" s="352">
        <f>0+'táj.1.'!K18</f>
        <v>0</v>
      </c>
      <c r="N18" s="340">
        <f>2592+'táj.1.'!L18</f>
        <v>0</v>
      </c>
      <c r="O18" s="340">
        <f t="shared" si="0"/>
        <v>0</v>
      </c>
    </row>
    <row r="19" spans="1:15" s="75" customFormat="1" ht="16.5" customHeight="1">
      <c r="A19" s="337"/>
      <c r="B19" s="339" t="s">
        <v>859</v>
      </c>
      <c r="C19" s="285" t="s">
        <v>175</v>
      </c>
      <c r="D19" s="284">
        <v>207492</v>
      </c>
      <c r="E19" s="351">
        <f>17570+'táj.1.'!M19</f>
        <v>-207492</v>
      </c>
      <c r="F19" s="352">
        <f>24908+'táj.1.'!D19</f>
        <v>0</v>
      </c>
      <c r="G19" s="352">
        <f>0+'táj.1.'!E19</f>
        <v>0</v>
      </c>
      <c r="H19" s="353">
        <f>193941+'táj.1.'!F19</f>
        <v>0</v>
      </c>
      <c r="I19" s="353">
        <f>0+'táj.1.'!G19</f>
        <v>0</v>
      </c>
      <c r="J19" s="351">
        <f>3807+'táj.1.'!H19</f>
        <v>0</v>
      </c>
      <c r="K19" s="353">
        <f>0+'táj.1.'!I19</f>
        <v>0</v>
      </c>
      <c r="L19" s="352">
        <f>0+'táj.1.'!J19</f>
        <v>0</v>
      </c>
      <c r="M19" s="352">
        <f>0+'táj.1.'!K19</f>
        <v>0</v>
      </c>
      <c r="N19" s="340">
        <f>2406+'táj.1.'!L19</f>
        <v>0</v>
      </c>
      <c r="O19" s="340">
        <f t="shared" si="0"/>
        <v>0</v>
      </c>
    </row>
    <row r="20" spans="1:15" s="75" customFormat="1" ht="13.5" customHeight="1">
      <c r="A20" s="337"/>
      <c r="B20" s="339" t="s">
        <v>860</v>
      </c>
      <c r="C20" s="285" t="s">
        <v>163</v>
      </c>
      <c r="D20" s="284">
        <v>60398</v>
      </c>
      <c r="E20" s="351">
        <f>-34598+'táj.1.'!M20</f>
        <v>-42096</v>
      </c>
      <c r="F20" s="352">
        <f>0+'táj.1.'!D20</f>
        <v>352</v>
      </c>
      <c r="G20" s="352">
        <f>0+'táj.1.'!E20</f>
        <v>0</v>
      </c>
      <c r="H20" s="353">
        <f>17721+'táj.1.'!F20</f>
        <v>9871</v>
      </c>
      <c r="I20" s="353">
        <f>0+'táj.1.'!G20</f>
        <v>0</v>
      </c>
      <c r="J20" s="351">
        <f>0+'táj.1.'!H20</f>
        <v>0</v>
      </c>
      <c r="K20" s="353">
        <f>0+'táj.1.'!I20</f>
        <v>0</v>
      </c>
      <c r="L20" s="352">
        <f>0+'táj.1.'!J20</f>
        <v>0</v>
      </c>
      <c r="M20" s="352">
        <f>0+'táj.1.'!K20</f>
        <v>0</v>
      </c>
      <c r="N20" s="340">
        <f>8079+'táj.1.'!L20</f>
        <v>8079</v>
      </c>
      <c r="O20" s="340">
        <f t="shared" si="0"/>
        <v>18302</v>
      </c>
    </row>
    <row r="21" spans="1:15" s="75" customFormat="1" ht="13.5" customHeight="1">
      <c r="A21" s="341">
        <v>2</v>
      </c>
      <c r="B21" s="341">
        <v>5</v>
      </c>
      <c r="C21" s="252" t="s">
        <v>564</v>
      </c>
      <c r="D21" s="283">
        <v>93058</v>
      </c>
      <c r="E21" s="349">
        <f>3607+'táj.1.'!M21</f>
        <v>-35135</v>
      </c>
      <c r="F21" s="278">
        <f>21239+'táj.1.'!D21</f>
        <v>12766</v>
      </c>
      <c r="G21" s="278">
        <f>0+'táj.1.'!E21</f>
        <v>0</v>
      </c>
      <c r="H21" s="334">
        <f>29382+'táj.1.'!F21</f>
        <v>21866</v>
      </c>
      <c r="I21" s="334">
        <f>0+'táj.1.'!G21</f>
        <v>0</v>
      </c>
      <c r="J21" s="335">
        <f>40765+'táj.1.'!H21</f>
        <v>18658</v>
      </c>
      <c r="K21" s="334">
        <f>1772+'táj.1.'!I21</f>
        <v>1926</v>
      </c>
      <c r="L21" s="278">
        <f>0+'táj.1.'!J21</f>
        <v>0</v>
      </c>
      <c r="M21" s="278">
        <f>800+'táj.1.'!K21</f>
        <v>0</v>
      </c>
      <c r="N21" s="336">
        <f>2707+'táj.1.'!L21</f>
        <v>2707</v>
      </c>
      <c r="O21" s="338">
        <f t="shared" si="0"/>
        <v>57923</v>
      </c>
    </row>
    <row r="22" spans="1:15" s="75" customFormat="1" ht="13.5" customHeight="1">
      <c r="A22" s="341">
        <v>2</v>
      </c>
      <c r="B22" s="341">
        <v>6</v>
      </c>
      <c r="C22" s="252" t="s">
        <v>565</v>
      </c>
      <c r="D22" s="283">
        <v>77936</v>
      </c>
      <c r="E22" s="349">
        <f>1932+'táj.1.'!M22</f>
        <v>-32012</v>
      </c>
      <c r="F22" s="278">
        <f>20554+'táj.1.'!D22</f>
        <v>14072</v>
      </c>
      <c r="G22" s="278">
        <f>0+'táj.1.'!E22</f>
        <v>0</v>
      </c>
      <c r="H22" s="334">
        <f>56768+'táj.1.'!F22</f>
        <v>30676</v>
      </c>
      <c r="I22" s="334">
        <f>0+'táj.1.'!G22</f>
        <v>0</v>
      </c>
      <c r="J22" s="335">
        <f>2257+'táj.1.'!H22</f>
        <v>887</v>
      </c>
      <c r="K22" s="334">
        <f>0+'táj.1.'!I22</f>
        <v>0</v>
      </c>
      <c r="L22" s="278">
        <f>0+'táj.1.'!J22</f>
        <v>0</v>
      </c>
      <c r="M22" s="278">
        <f>0+'táj.1.'!K22</f>
        <v>0</v>
      </c>
      <c r="N22" s="336">
        <f>289+'táj.1.'!L22</f>
        <v>289</v>
      </c>
      <c r="O22" s="338">
        <f t="shared" si="0"/>
        <v>45924</v>
      </c>
    </row>
    <row r="23" spans="1:15" s="75" customFormat="1" ht="25.5" customHeight="1">
      <c r="A23" s="341">
        <v>2</v>
      </c>
      <c r="B23" s="341">
        <v>7</v>
      </c>
      <c r="C23" s="580" t="s">
        <v>182</v>
      </c>
      <c r="D23" s="283">
        <v>69724</v>
      </c>
      <c r="E23" s="349">
        <f>14784+'táj.1.'!M23</f>
        <v>69498</v>
      </c>
      <c r="F23" s="278">
        <f>28980+'táj.1.'!D23</f>
        <v>38002</v>
      </c>
      <c r="G23" s="278">
        <f>0+'táj.1.'!E23</f>
        <v>0</v>
      </c>
      <c r="H23" s="334">
        <f>48568+'táj.1.'!F23</f>
        <v>58583</v>
      </c>
      <c r="I23" s="334">
        <f>0+'táj.1.'!G23</f>
        <v>0</v>
      </c>
      <c r="J23" s="335">
        <f>4300+'táj.1.'!H23</f>
        <v>33724</v>
      </c>
      <c r="K23" s="334">
        <f>0+'táj.1.'!I23</f>
        <v>5453</v>
      </c>
      <c r="L23" s="278">
        <f>0+'táj.1.'!J23</f>
        <v>0</v>
      </c>
      <c r="M23" s="278">
        <f>0+'táj.1.'!K23</f>
        <v>800</v>
      </c>
      <c r="N23" s="336">
        <f>2660+'táj.1.'!L23</f>
        <v>2660</v>
      </c>
      <c r="O23" s="338">
        <f t="shared" si="0"/>
        <v>139222</v>
      </c>
    </row>
    <row r="24" spans="1:15" s="75" customFormat="1" ht="15.75" customHeight="1">
      <c r="A24" s="267">
        <v>2</v>
      </c>
      <c r="B24" s="267">
        <v>8</v>
      </c>
      <c r="C24" s="133" t="s">
        <v>566</v>
      </c>
      <c r="D24" s="348">
        <f>SUM(D25:D26)</f>
        <v>204182</v>
      </c>
      <c r="E24" s="348">
        <f aca="true" t="shared" si="3" ref="E24:N24">SUM(E25:E26)</f>
        <v>45685</v>
      </c>
      <c r="F24" s="348">
        <f t="shared" si="3"/>
        <v>54017</v>
      </c>
      <c r="G24" s="348">
        <f t="shared" si="3"/>
        <v>2100</v>
      </c>
      <c r="H24" s="348">
        <f t="shared" si="3"/>
        <v>155394</v>
      </c>
      <c r="I24" s="348">
        <f t="shared" si="3"/>
        <v>0</v>
      </c>
      <c r="J24" s="348">
        <f t="shared" si="3"/>
        <v>26938</v>
      </c>
      <c r="K24" s="348">
        <f t="shared" si="3"/>
        <v>0</v>
      </c>
      <c r="L24" s="348">
        <f t="shared" si="3"/>
        <v>0</v>
      </c>
      <c r="M24" s="348">
        <f t="shared" si="3"/>
        <v>0</v>
      </c>
      <c r="N24" s="348">
        <f t="shared" si="3"/>
        <v>11418</v>
      </c>
      <c r="O24" s="348">
        <f>SUM(O25:O26)</f>
        <v>249867</v>
      </c>
    </row>
    <row r="25" spans="1:15" s="75" customFormat="1" ht="13.5" customHeight="1">
      <c r="A25" s="267"/>
      <c r="B25" s="266" t="s">
        <v>567</v>
      </c>
      <c r="C25" s="285" t="s">
        <v>180</v>
      </c>
      <c r="D25" s="284">
        <v>191427</v>
      </c>
      <c r="E25" s="351">
        <f>20428+'táj.1.'!M25</f>
        <v>39025</v>
      </c>
      <c r="F25" s="352">
        <f>53326+'táj.1.'!D25</f>
        <v>53326</v>
      </c>
      <c r="G25" s="352">
        <f>0+'táj.1.'!E25</f>
        <v>0</v>
      </c>
      <c r="H25" s="353">
        <f>140929+'táj.1.'!F25</f>
        <v>143122</v>
      </c>
      <c r="I25" s="353">
        <f>0+'táj.1.'!G25</f>
        <v>0</v>
      </c>
      <c r="J25" s="351">
        <f>8734+'táj.1.'!H25</f>
        <v>25138</v>
      </c>
      <c r="K25" s="353">
        <f>0+'táj.1.'!I25</f>
        <v>0</v>
      </c>
      <c r="L25" s="352">
        <f>0+'táj.1.'!J25</f>
        <v>0</v>
      </c>
      <c r="M25" s="352">
        <f>0+'táj.1.'!K25</f>
        <v>0</v>
      </c>
      <c r="N25" s="340">
        <f>8866+'táj.1.'!L25</f>
        <v>8866</v>
      </c>
      <c r="O25" s="340">
        <f t="shared" si="0"/>
        <v>230452</v>
      </c>
    </row>
    <row r="26" spans="1:15" s="75" customFormat="1" ht="16.5" customHeight="1">
      <c r="A26" s="267"/>
      <c r="B26" s="266" t="s">
        <v>568</v>
      </c>
      <c r="C26" s="285" t="s">
        <v>181</v>
      </c>
      <c r="D26" s="284">
        <v>12755</v>
      </c>
      <c r="E26" s="351">
        <f>4415+'táj.1.'!M26</f>
        <v>6660</v>
      </c>
      <c r="F26" s="352">
        <f>691+'táj.1.'!D26</f>
        <v>691</v>
      </c>
      <c r="G26" s="352">
        <f>0+'táj.1.'!E26</f>
        <v>2100</v>
      </c>
      <c r="H26" s="353">
        <f>12127+'táj.1.'!F26</f>
        <v>12272</v>
      </c>
      <c r="I26" s="353">
        <f>0+'táj.1.'!G26</f>
        <v>0</v>
      </c>
      <c r="J26" s="351">
        <f>1800+'táj.1.'!H26</f>
        <v>1800</v>
      </c>
      <c r="K26" s="353">
        <f>0+'táj.1.'!I26</f>
        <v>0</v>
      </c>
      <c r="L26" s="352">
        <f>0+'táj.1.'!J26</f>
        <v>0</v>
      </c>
      <c r="M26" s="352">
        <f>0+'táj.1.'!K26</f>
        <v>0</v>
      </c>
      <c r="N26" s="340">
        <f>2552+'táj.1.'!L26</f>
        <v>2552</v>
      </c>
      <c r="O26" s="340">
        <f t="shared" si="0"/>
        <v>19415</v>
      </c>
    </row>
    <row r="27" spans="1:15" s="75" customFormat="1" ht="13.5" customHeight="1">
      <c r="A27" s="267">
        <v>2</v>
      </c>
      <c r="B27" s="267">
        <v>9</v>
      </c>
      <c r="C27" s="102" t="s">
        <v>569</v>
      </c>
      <c r="D27" s="103">
        <v>163611</v>
      </c>
      <c r="E27" s="349">
        <f>171125+'táj.1.'!M27</f>
        <v>181530</v>
      </c>
      <c r="F27" s="278">
        <f>13027+'táj.1.'!D27</f>
        <v>13027</v>
      </c>
      <c r="G27" s="278">
        <f>0+'táj.1.'!E27</f>
        <v>150</v>
      </c>
      <c r="H27" s="334">
        <f>300373+'táj.1.'!F27</f>
        <v>304046</v>
      </c>
      <c r="I27" s="334">
        <f>0+'táj.1.'!G27</f>
        <v>0</v>
      </c>
      <c r="J27" s="335">
        <f>20527+'táj.1.'!H27</f>
        <v>27109</v>
      </c>
      <c r="K27" s="334">
        <f>0+'táj.1.'!I27</f>
        <v>0</v>
      </c>
      <c r="L27" s="278">
        <f>0+'táj.1.'!J27</f>
        <v>0</v>
      </c>
      <c r="M27" s="278">
        <f>0+'táj.1.'!K27</f>
        <v>0</v>
      </c>
      <c r="N27" s="336">
        <f>809+'táj.1.'!L27</f>
        <v>809</v>
      </c>
      <c r="O27" s="338">
        <f t="shared" si="0"/>
        <v>345141</v>
      </c>
    </row>
    <row r="28" spans="1:15" s="75" customFormat="1" ht="11.25" customHeight="1">
      <c r="A28" s="267">
        <v>2</v>
      </c>
      <c r="B28" s="267">
        <v>10</v>
      </c>
      <c r="C28" s="102" t="s">
        <v>570</v>
      </c>
      <c r="D28" s="103">
        <v>200000</v>
      </c>
      <c r="E28" s="349">
        <f>56025+'táj.1.'!M28</f>
        <v>153545</v>
      </c>
      <c r="F28" s="278">
        <f>98900+'táj.1.'!D28</f>
        <v>98900</v>
      </c>
      <c r="G28" s="278">
        <f>0+'táj.1.'!E28</f>
        <v>0</v>
      </c>
      <c r="H28" s="334">
        <f>102419+'táj.1.'!F28</f>
        <v>101073</v>
      </c>
      <c r="I28" s="334">
        <f>0+'táj.1.'!G28</f>
        <v>0</v>
      </c>
      <c r="J28" s="335">
        <f>23940+'táj.1.'!H28</f>
        <v>82594</v>
      </c>
      <c r="K28" s="334">
        <f>23955+'táj.1.'!I28</f>
        <v>50067</v>
      </c>
      <c r="L28" s="278">
        <f>0+'táj.1.'!J28</f>
        <v>14100</v>
      </c>
      <c r="M28" s="278">
        <f>0+'táj.1.'!K28</f>
        <v>0</v>
      </c>
      <c r="N28" s="336">
        <f>6811+'táj.1.'!L28</f>
        <v>6811</v>
      </c>
      <c r="O28" s="338">
        <f t="shared" si="0"/>
        <v>353545</v>
      </c>
    </row>
    <row r="29" spans="1:15" s="75" customFormat="1" ht="12.75">
      <c r="A29" s="267">
        <v>2</v>
      </c>
      <c r="B29" s="267">
        <v>11</v>
      </c>
      <c r="C29" s="102" t="s">
        <v>575</v>
      </c>
      <c r="D29" s="103">
        <v>561466</v>
      </c>
      <c r="E29" s="349">
        <f>15814+'táj.1.'!M29</f>
        <v>18931</v>
      </c>
      <c r="F29" s="278">
        <f>169700+'táj.1.'!D29</f>
        <v>169700</v>
      </c>
      <c r="G29" s="278">
        <f>54000+'táj.1.'!E29</f>
        <v>54200</v>
      </c>
      <c r="H29" s="334">
        <f>299408+'táj.1.'!F29</f>
        <v>301325</v>
      </c>
      <c r="I29" s="334">
        <f>0+'táj.1.'!G29</f>
        <v>0</v>
      </c>
      <c r="J29" s="335">
        <f>2000+'táj.1.'!H29</f>
        <v>3000</v>
      </c>
      <c r="K29" s="334">
        <f>0+'táj.1.'!I29</f>
        <v>0</v>
      </c>
      <c r="L29" s="278">
        <f>0+'táj.1.'!J29</f>
        <v>0</v>
      </c>
      <c r="M29" s="278">
        <f>0+'táj.1.'!K29</f>
        <v>0</v>
      </c>
      <c r="N29" s="336">
        <f>52172+'táj.1.'!L29</f>
        <v>52172</v>
      </c>
      <c r="O29" s="350">
        <f t="shared" si="0"/>
        <v>580397</v>
      </c>
    </row>
    <row r="30" spans="1:15" s="75" customFormat="1" ht="12.75">
      <c r="A30" s="267">
        <v>2</v>
      </c>
      <c r="B30" s="267">
        <v>12</v>
      </c>
      <c r="C30" s="102" t="s">
        <v>574</v>
      </c>
      <c r="D30" s="103">
        <v>101364</v>
      </c>
      <c r="E30" s="349">
        <f>3235+'táj.1.'!M30</f>
        <v>3645</v>
      </c>
      <c r="F30" s="278">
        <f>16446+'táj.1.'!D30</f>
        <v>16446</v>
      </c>
      <c r="G30" s="278">
        <f>5600+'táj.1.'!E30</f>
        <v>5600</v>
      </c>
      <c r="H30" s="334">
        <f>67577+'táj.1.'!F30</f>
        <v>67987</v>
      </c>
      <c r="I30" s="334">
        <f>0+'táj.1.'!G30</f>
        <v>0</v>
      </c>
      <c r="J30" s="335">
        <f>3400+'táj.1.'!H30</f>
        <v>3400</v>
      </c>
      <c r="K30" s="334">
        <f>0+'táj.1.'!I30</f>
        <v>0</v>
      </c>
      <c r="L30" s="278">
        <f>0+'táj.1.'!J30</f>
        <v>0</v>
      </c>
      <c r="M30" s="278">
        <f>0+'táj.1.'!K30</f>
        <v>0</v>
      </c>
      <c r="N30" s="336">
        <f>11576+'táj.1.'!L30</f>
        <v>11576</v>
      </c>
      <c r="O30" s="350">
        <f t="shared" si="0"/>
        <v>105009</v>
      </c>
    </row>
    <row r="31" spans="1:15" s="75" customFormat="1" ht="12.75" customHeight="1">
      <c r="A31" s="267">
        <v>2</v>
      </c>
      <c r="B31" s="267">
        <v>13</v>
      </c>
      <c r="C31" s="102" t="s">
        <v>571</v>
      </c>
      <c r="D31" s="103">
        <v>101745</v>
      </c>
      <c r="E31" s="349">
        <f>5294+'táj.1.'!M31</f>
        <v>7788</v>
      </c>
      <c r="F31" s="278">
        <f>11124+'táj.1.'!D31</f>
        <v>13374</v>
      </c>
      <c r="G31" s="278">
        <f>0+'táj.1.'!E31</f>
        <v>0</v>
      </c>
      <c r="H31" s="334">
        <f>81239+'táj.1.'!F31</f>
        <v>81483</v>
      </c>
      <c r="I31" s="334">
        <f>0+'táj.1.'!G31</f>
        <v>0</v>
      </c>
      <c r="J31" s="335">
        <f>0+'táj.1.'!H31</f>
        <v>0</v>
      </c>
      <c r="K31" s="334">
        <f>0+'táj.1.'!I31</f>
        <v>0</v>
      </c>
      <c r="L31" s="278">
        <f>0+'táj.1.'!J31</f>
        <v>0</v>
      </c>
      <c r="M31" s="278">
        <f>0+'táj.1.'!K31</f>
        <v>0</v>
      </c>
      <c r="N31" s="336">
        <f>14676+'táj.1.'!L31</f>
        <v>14676</v>
      </c>
      <c r="O31" s="338">
        <f t="shared" si="0"/>
        <v>109533</v>
      </c>
    </row>
    <row r="32" spans="1:15" s="75" customFormat="1" ht="14.25" customHeight="1">
      <c r="A32" s="267">
        <v>2</v>
      </c>
      <c r="B32" s="267">
        <v>14</v>
      </c>
      <c r="C32" s="102" t="s">
        <v>489</v>
      </c>
      <c r="D32" s="103">
        <v>90900</v>
      </c>
      <c r="E32" s="349">
        <f>8763+'táj.1.'!M32</f>
        <v>9112</v>
      </c>
      <c r="F32" s="278">
        <f>90900+'táj.1.'!D32</f>
        <v>90900</v>
      </c>
      <c r="G32" s="278">
        <f>0+'táj.1.'!E32</f>
        <v>0</v>
      </c>
      <c r="H32" s="334">
        <f>200+'táj.1.'!F32</f>
        <v>349</v>
      </c>
      <c r="I32" s="334">
        <f>0+'táj.1.'!G32</f>
        <v>0</v>
      </c>
      <c r="J32" s="335">
        <f>300+'táj.1.'!H32</f>
        <v>300</v>
      </c>
      <c r="K32" s="334">
        <f>0+'táj.1.'!I32</f>
        <v>0</v>
      </c>
      <c r="L32" s="278">
        <f>0+'táj.1.'!J32</f>
        <v>0</v>
      </c>
      <c r="M32" s="278">
        <f>0+'táj.1.'!K32</f>
        <v>200</v>
      </c>
      <c r="N32" s="336">
        <f>8263+'táj.1.'!L32</f>
        <v>8263</v>
      </c>
      <c r="O32" s="338">
        <f t="shared" si="0"/>
        <v>100012</v>
      </c>
    </row>
    <row r="33" spans="1:15" s="75" customFormat="1" ht="12" customHeight="1">
      <c r="A33" s="104"/>
      <c r="B33" s="104"/>
      <c r="C33" s="105" t="s">
        <v>534</v>
      </c>
      <c r="D33" s="106">
        <f>SUM(D4+D5+D6+D15+D21+D22+D23+D24+D27+D28+D29+D30+D31+D32)</f>
        <v>6233945</v>
      </c>
      <c r="E33" s="106">
        <f aca="true" t="shared" si="4" ref="E33:O33">SUM(E4+E5+E6+E15+E21+E22+E23+E24+E27+E28+E29+E30+E31+E32)</f>
        <v>78006</v>
      </c>
      <c r="F33" s="106">
        <f t="shared" si="4"/>
        <v>1154792</v>
      </c>
      <c r="G33" s="106">
        <f t="shared" si="4"/>
        <v>62425</v>
      </c>
      <c r="H33" s="106">
        <f t="shared" si="4"/>
        <v>4233922</v>
      </c>
      <c r="I33" s="106">
        <f t="shared" si="4"/>
        <v>231745</v>
      </c>
      <c r="J33" s="106">
        <f t="shared" si="4"/>
        <v>277186</v>
      </c>
      <c r="K33" s="106">
        <f t="shared" si="4"/>
        <v>65577</v>
      </c>
      <c r="L33" s="106">
        <f t="shared" si="4"/>
        <v>16717</v>
      </c>
      <c r="M33" s="106">
        <f t="shared" si="4"/>
        <v>1000</v>
      </c>
      <c r="N33" s="106">
        <f t="shared" si="4"/>
        <v>268587</v>
      </c>
      <c r="O33" s="106">
        <f t="shared" si="4"/>
        <v>6311951</v>
      </c>
    </row>
    <row r="34" spans="1:2" s="75" customFormat="1" ht="12.75">
      <c r="A34" s="76"/>
      <c r="B34" s="76"/>
    </row>
    <row r="35" spans="1:2" s="75" customFormat="1" ht="12.75">
      <c r="A35" s="76"/>
      <c r="B35" s="76"/>
    </row>
    <row r="36" spans="1:2" s="75" customFormat="1" ht="12.75">
      <c r="A36" s="76"/>
      <c r="B36" s="76"/>
    </row>
    <row r="37" spans="1:2" s="75" customFormat="1" ht="12.75">
      <c r="A37" s="76"/>
      <c r="B37" s="76"/>
    </row>
    <row r="38" spans="1:2" s="75" customFormat="1" ht="12.75">
      <c r="A38" s="76"/>
      <c r="B38" s="76"/>
    </row>
    <row r="39" spans="1:2" s="75" customFormat="1" ht="12.75">
      <c r="A39" s="76"/>
      <c r="B39" s="76"/>
    </row>
    <row r="40" spans="1:2" s="75" customFormat="1" ht="12.75">
      <c r="A40" s="76"/>
      <c r="B40" s="76"/>
    </row>
    <row r="41" spans="1:2" s="75" customFormat="1" ht="12.75">
      <c r="A41" s="76"/>
      <c r="B41" s="76"/>
    </row>
    <row r="42" spans="1:2" s="75" customFormat="1" ht="12.75">
      <c r="A42" s="76"/>
      <c r="B42" s="76"/>
    </row>
    <row r="43" spans="1:2" s="75" customFormat="1" ht="12.75">
      <c r="A43" s="76"/>
      <c r="B43" s="76"/>
    </row>
    <row r="44" spans="1:2" s="75" customFormat="1" ht="12.75">
      <c r="A44" s="76"/>
      <c r="B44" s="76"/>
    </row>
    <row r="45" spans="1:2" s="75" customFormat="1" ht="12.75">
      <c r="A45" s="76"/>
      <c r="B45" s="76"/>
    </row>
    <row r="46" spans="1:2" s="75" customFormat="1" ht="12.75">
      <c r="A46" s="76"/>
      <c r="B46" s="76"/>
    </row>
    <row r="47" spans="1:2" s="75" customFormat="1" ht="12.75">
      <c r="A47" s="76"/>
      <c r="B47" s="76"/>
    </row>
    <row r="48" spans="1:2" s="75" customFormat="1" ht="12.75">
      <c r="A48" s="76"/>
      <c r="B48" s="76"/>
    </row>
    <row r="49" spans="1:2" s="75" customFormat="1" ht="12.75">
      <c r="A49" s="76"/>
      <c r="B49" s="76"/>
    </row>
    <row r="50" spans="1:2" s="75" customFormat="1" ht="12.75">
      <c r="A50" s="76"/>
      <c r="B50" s="76"/>
    </row>
    <row r="51" spans="1:2" s="75" customFormat="1" ht="12.75">
      <c r="A51" s="76"/>
      <c r="B51" s="76"/>
    </row>
    <row r="52" spans="1:2" s="75" customFormat="1" ht="12.75">
      <c r="A52" s="76"/>
      <c r="B52" s="76"/>
    </row>
    <row r="53" spans="1:2" s="75" customFormat="1" ht="12.75">
      <c r="A53" s="76"/>
      <c r="B53" s="76"/>
    </row>
    <row r="54" spans="1:2" s="75" customFormat="1" ht="12.75">
      <c r="A54" s="76"/>
      <c r="B54" s="76"/>
    </row>
    <row r="55" spans="1:2" s="75" customFormat="1" ht="12.75">
      <c r="A55" s="76"/>
      <c r="B55" s="76"/>
    </row>
    <row r="56" spans="1:2" s="75" customFormat="1" ht="12.75">
      <c r="A56" s="76"/>
      <c r="B56" s="76"/>
    </row>
    <row r="57" spans="1:2" s="75" customFormat="1" ht="12.75">
      <c r="A57" s="76"/>
      <c r="B57" s="76"/>
    </row>
    <row r="58" spans="1:2" s="75" customFormat="1" ht="12.75">
      <c r="A58" s="76"/>
      <c r="B58" s="76"/>
    </row>
    <row r="59" spans="1:2" s="75" customFormat="1" ht="12.75">
      <c r="A59" s="76"/>
      <c r="B59" s="76"/>
    </row>
    <row r="60" spans="1:2" s="75" customFormat="1" ht="12.75">
      <c r="A60" s="76"/>
      <c r="B60" s="76"/>
    </row>
    <row r="61" spans="1:2" s="75" customFormat="1" ht="12.75">
      <c r="A61" s="76"/>
      <c r="B61" s="76"/>
    </row>
    <row r="62" spans="1:2" s="75" customFormat="1" ht="12.75">
      <c r="A62" s="76"/>
      <c r="B62" s="76"/>
    </row>
    <row r="63" spans="1:2" s="75" customFormat="1" ht="12.75">
      <c r="A63" s="76"/>
      <c r="B63" s="76"/>
    </row>
    <row r="64" spans="1:2" s="75" customFormat="1" ht="12.75">
      <c r="A64" s="76"/>
      <c r="B64" s="76"/>
    </row>
    <row r="65" spans="1:2" s="75" customFormat="1" ht="12.75">
      <c r="A65" s="76"/>
      <c r="B65" s="76"/>
    </row>
    <row r="66" spans="1:2" s="75" customFormat="1" ht="12.75">
      <c r="A66" s="76"/>
      <c r="B66" s="76"/>
    </row>
    <row r="67" spans="1:2" s="75" customFormat="1" ht="12.75">
      <c r="A67" s="76"/>
      <c r="B67" s="76"/>
    </row>
    <row r="68" spans="1:2" s="75" customFormat="1" ht="12.75">
      <c r="A68" s="76"/>
      <c r="B68" s="76"/>
    </row>
    <row r="69" spans="1:2" s="75" customFormat="1" ht="12.75">
      <c r="A69" s="76"/>
      <c r="B69" s="76"/>
    </row>
    <row r="70" spans="1:2" s="75" customFormat="1" ht="12.75">
      <c r="A70" s="76"/>
      <c r="B70" s="76"/>
    </row>
    <row r="71" spans="1:2" s="75" customFormat="1" ht="12.75">
      <c r="A71" s="76"/>
      <c r="B71" s="76"/>
    </row>
    <row r="72" spans="1:2" s="75" customFormat="1" ht="12.75">
      <c r="A72" s="76"/>
      <c r="B72" s="76"/>
    </row>
    <row r="73" spans="1:2" s="75" customFormat="1" ht="12.75">
      <c r="A73" s="76"/>
      <c r="B73" s="76"/>
    </row>
    <row r="74" spans="1:2" s="75" customFormat="1" ht="12.75">
      <c r="A74" s="76"/>
      <c r="B74" s="76"/>
    </row>
    <row r="75" spans="1:2" s="75" customFormat="1" ht="12.75">
      <c r="A75" s="76"/>
      <c r="B75" s="76"/>
    </row>
    <row r="76" spans="1:2" s="75" customFormat="1" ht="12.75">
      <c r="A76" s="76"/>
      <c r="B76" s="76"/>
    </row>
  </sheetData>
  <sheetProtection/>
  <mergeCells count="14">
    <mergeCell ref="I2:I3"/>
    <mergeCell ref="J2:J3"/>
    <mergeCell ref="N1:N3"/>
    <mergeCell ref="K2:K3"/>
    <mergeCell ref="E1:E3"/>
    <mergeCell ref="A1:A3"/>
    <mergeCell ref="B1:B3"/>
    <mergeCell ref="C1:C3"/>
    <mergeCell ref="D1:D3"/>
    <mergeCell ref="O1:O3"/>
    <mergeCell ref="L1:M2"/>
    <mergeCell ref="F1:G2"/>
    <mergeCell ref="H2:H3"/>
    <mergeCell ref="I1:K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MEGYEI JOGÚ VÁROS &amp;"Times New Roman,Dőlt"ÖNKORMÁNYZATA ÁLTAL IRÁNYÍTOTT KÖLTSÉGVETÉSI SZERVEK
2013. ÉVI  BEVÉTELI ELŐIRÁNYZATAI&amp;R&amp;"Times New Roman,Dőlt"&amp;9 9.számú melléklet
Adatok: eFt-ban</oddHeader>
    <oddFooter>&amp;C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2013-09-23T11:52:11Z</cp:lastPrinted>
  <dcterms:created xsi:type="dcterms:W3CDTF">2002-12-30T13:12:46Z</dcterms:created>
  <dcterms:modified xsi:type="dcterms:W3CDTF">2013-09-25T13:08:15Z</dcterms:modified>
  <cp:category/>
  <cp:version/>
  <cp:contentType/>
  <cp:contentStatus/>
</cp:coreProperties>
</file>