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activeTab="0"/>
  </bookViews>
  <sheets>
    <sheet name="bor." sheetId="1" r:id="rId1"/>
    <sheet name="1.mell. -mérleg (2)" sheetId="2" r:id="rId2"/>
    <sheet name="2.mell - bevétel (2)" sheetId="3" r:id="rId3"/>
    <sheet name="3.mell. - bevét.Köá (1)" sheetId="4" r:id="rId4"/>
    <sheet name="4.mell. - kiadás (2)" sheetId="5" r:id="rId5"/>
    <sheet name="5.mell. - kiadás.köá. (2)" sheetId="6" r:id="rId6"/>
    <sheet name="6.mell - átadások (2)" sheetId="7" r:id="rId7"/>
    <sheet name="7.mell. - ellátottak jutt. (2)" sheetId="8" r:id="rId8"/>
    <sheet name="8.mell. - beruházások" sheetId="9" r:id="rId9"/>
    <sheet name="9.mell.-felújítások (2)" sheetId="10" r:id="rId10"/>
    <sheet name="10.mell. - közgazd.mérleg (2)" sheetId="11" r:id="rId11"/>
    <sheet name="11.mell. -ei.felh.ütemt. (2)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tartalék (2)" sheetId="18" r:id="rId18"/>
    <sheet name="18.mell.bevétel+" sheetId="19" r:id="rId19"/>
    <sheet name="19.mell.ktgvszerv tám." sheetId="20" r:id="rId20"/>
  </sheets>
  <definedNames>
    <definedName name="_xlnm.Print_Titles" localSheetId="2">'2.mell - bevétel (2)'!$12:$14</definedName>
    <definedName name="_xlnm.Print_Area" localSheetId="2">'2.mell - bevétel (2)'!$A$3:$I$118</definedName>
  </definedNames>
  <calcPr fullCalcOnLoad="1"/>
</workbook>
</file>

<file path=xl/sharedStrings.xml><?xml version="1.0" encoding="utf-8"?>
<sst xmlns="http://schemas.openxmlformats.org/spreadsheetml/2006/main" count="1194" uniqueCount="637">
  <si>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</si>
  <si>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</si>
  <si>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</si>
  <si>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</si>
  <si>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</si>
  <si>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</si>
  <si>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</si>
  <si>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TÁMOGATÁSOK ÖSSZESEN: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</si>
  <si>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</si>
  <si>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</si>
  <si>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</si>
  <si>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</si>
  <si>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</si>
  <si>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</si>
  <si>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</si>
  <si>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</si>
  <si>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</si>
  <si>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</si>
  <si>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</si>
  <si>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</si>
  <si>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</si>
  <si>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</si>
  <si>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</si>
  <si>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</si>
  <si>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</si>
  <si>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</si>
  <si>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Hímzőszakkör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</si>
  <si>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</si>
  <si>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</si>
  <si>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</si>
  <si>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</si>
  <si>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</si>
  <si>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</si>
  <si>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</si>
  <si>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</si>
  <si>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</si>
  <si>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</si>
  <si>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</si>
  <si>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</si>
  <si>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</si>
  <si>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</si>
  <si>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</si>
  <si>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</si>
  <si>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</si>
  <si>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</si>
  <si>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</si>
  <si>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</si>
  <si>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</si>
  <si>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</si>
  <si>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</si>
  <si>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</si>
  <si>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</si>
  <si>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</si>
  <si>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</si>
  <si>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</si>
  <si>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</si>
  <si>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</si>
  <si>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</si>
  <si>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</si>
  <si>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</si>
  <si>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</si>
  <si>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</si>
  <si>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</si>
  <si>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2017.                                     év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</si>
  <si>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</si>
  <si>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</si>
  <si>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</si>
  <si>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</si>
  <si>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</si>
  <si>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</si>
  <si>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</si>
  <si>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</si>
  <si>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</si>
  <si>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</si>
  <si>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</si>
  <si>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</si>
  <si>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</si>
  <si>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</si>
  <si>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</si>
  <si>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</si>
  <si>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</si>
  <si>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</si>
  <si>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</si>
  <si>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</si>
  <si>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</si>
  <si>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</si>
  <si>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</si>
  <si>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</si>
  <si>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</si>
  <si>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</si>
  <si>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</si>
  <si>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</si>
  <si>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</si>
  <si>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</si>
  <si>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</si>
  <si>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</si>
  <si>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</si>
  <si>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</si>
  <si>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</si>
  <si>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</si>
  <si>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</si>
  <si>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</si>
  <si>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</si>
  <si>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</si>
  <si>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</si>
  <si>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</si>
  <si>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</si>
  <si>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</si>
  <si>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</si>
  <si>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</si>
  <si>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</si>
  <si>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</si>
  <si>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</si>
  <si>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</si>
  <si>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</si>
  <si>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</si>
  <si>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</si>
  <si>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</si>
  <si>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</si>
  <si>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</si>
  <si>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</si>
  <si>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</si>
  <si>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</si>
  <si>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</si>
  <si>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</si>
  <si>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</si>
  <si>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</si>
  <si>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</si>
  <si>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</si>
  <si>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</si>
  <si>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</si>
  <si>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</si>
  <si>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</si>
  <si>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</si>
  <si>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</si>
  <si>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</si>
  <si>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</si>
  <si>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</si>
  <si>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</si>
  <si>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</si>
  <si>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</si>
  <si>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</si>
  <si>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</si>
  <si>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</si>
  <si>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</si>
  <si>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</si>
  <si>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</si>
  <si>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</si>
  <si>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</si>
  <si>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</si>
  <si>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</si>
  <si>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</si>
  <si>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</si>
  <si>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</si>
  <si>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</si>
  <si>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</si>
  <si>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</si>
  <si>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</si>
  <si>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</si>
  <si>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</si>
  <si>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</si>
  <si>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</si>
  <si>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</si>
  <si>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</si>
  <si>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</si>
  <si>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</si>
  <si>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</si>
  <si>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</si>
  <si>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</si>
  <si>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</si>
  <si>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</si>
  <si>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</si>
  <si>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</si>
  <si>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</si>
  <si>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</si>
  <si>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</si>
  <si>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</si>
  <si>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</si>
  <si>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</si>
  <si>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</si>
  <si>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</si>
  <si>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</si>
  <si>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</si>
  <si>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</si>
  <si>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</si>
  <si>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</si>
  <si>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</si>
  <si>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</si>
  <si>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</si>
  <si>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</si>
  <si>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</si>
  <si>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</si>
  <si>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</si>
  <si>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</si>
  <si>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</si>
  <si>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</si>
  <si>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</si>
  <si>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</si>
  <si>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</si>
  <si>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</si>
  <si>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</si>
  <si>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</si>
  <si>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</si>
  <si>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</si>
  <si>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</si>
  <si>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</si>
  <si>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</si>
  <si>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</si>
  <si>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</si>
  <si>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</si>
  <si>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</si>
  <si>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</si>
  <si>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</si>
  <si>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</si>
  <si>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</si>
  <si>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</si>
  <si>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</si>
  <si>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</si>
  <si>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</si>
  <si>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</si>
  <si>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</si>
  <si>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</si>
  <si>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</si>
  <si>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</si>
  <si>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</si>
  <si>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</si>
  <si>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</si>
  <si>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</si>
  <si>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</si>
  <si>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</si>
  <si>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</si>
  <si>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</si>
  <si>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</si>
  <si>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</si>
  <si>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</si>
  <si>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</si>
  <si>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</si>
  <si>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</si>
  <si>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</si>
  <si>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</si>
  <si>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</si>
  <si>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</si>
  <si>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</si>
  <si>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</si>
  <si>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</si>
  <si>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</si>
  <si>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</si>
  <si>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</si>
  <si>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</si>
  <si>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</si>
  <si>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</si>
  <si>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</si>
  <si>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</si>
  <si>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</si>
  <si>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</si>
  <si>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</si>
  <si>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</si>
  <si>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</si>
  <si>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</si>
  <si>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</si>
  <si>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</si>
  <si>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</si>
  <si>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</si>
  <si>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</si>
  <si>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</si>
  <si>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</si>
  <si>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</si>
  <si>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</si>
  <si>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</si>
  <si>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</si>
  <si>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</si>
  <si>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</si>
  <si>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</si>
  <si>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</si>
  <si>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</si>
  <si>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</si>
  <si>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</si>
  <si>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</si>
  <si>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</si>
  <si>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</si>
  <si>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</si>
  <si>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</si>
  <si>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</si>
  <si>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</si>
  <si>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</si>
  <si>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</si>
  <si>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</si>
  <si>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</si>
  <si>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</si>
  <si>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</si>
  <si>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</si>
  <si>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</si>
  <si>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</si>
  <si>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</si>
  <si>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</si>
  <si>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</si>
  <si>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</si>
  <si>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</si>
  <si>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</si>
  <si>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</si>
  <si>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</si>
  <si>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</si>
  <si>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</si>
  <si>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</si>
  <si>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</si>
  <si>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</si>
  <si>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</si>
  <si>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</si>
  <si>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</si>
  <si>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</si>
  <si>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</si>
  <si>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</si>
  <si>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</si>
  <si>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</si>
  <si>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</si>
  <si>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</si>
  <si>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</si>
  <si>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</si>
  <si>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</si>
  <si>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</si>
  <si>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</si>
  <si>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</si>
  <si>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</si>
  <si>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</si>
  <si>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</si>
  <si>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</si>
  <si>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</si>
  <si>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</si>
  <si>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</si>
  <si>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</si>
  <si>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</si>
  <si>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</si>
  <si>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</si>
  <si>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</si>
  <si>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</si>
  <si>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</si>
  <si>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</si>
  <si>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</si>
  <si>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</si>
  <si>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</si>
  <si>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</si>
  <si>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</si>
  <si>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</si>
  <si>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</si>
  <si>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</si>
  <si>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</si>
  <si>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</si>
  <si>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</si>
  <si>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</si>
  <si>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</si>
  <si>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</si>
  <si>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</si>
  <si>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</si>
  <si>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</si>
  <si>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</si>
  <si>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</si>
  <si>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</si>
  <si>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</si>
  <si>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</si>
  <si>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</si>
  <si>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</si>
  <si>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</si>
  <si>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</si>
  <si>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</si>
  <si>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</si>
  <si>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</si>
  <si>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</si>
  <si>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</si>
  <si>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</si>
  <si>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</si>
  <si>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</si>
  <si>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</si>
  <si>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</si>
  <si>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</si>
  <si>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</si>
  <si>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</si>
  <si>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</si>
  <si>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</si>
  <si>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</si>
  <si>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</si>
  <si>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</si>
  <si>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</si>
  <si>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2018.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</si>
  <si>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</si>
  <si>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</si>
  <si>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</si>
  <si>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</si>
  <si>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</si>
  <si>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</si>
  <si>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</si>
  <si>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</si>
  <si>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</si>
  <si>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</si>
  <si>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</si>
  <si>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</si>
  <si>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</si>
  <si>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</si>
  <si>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</si>
  <si>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</si>
  <si>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</si>
  <si>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</si>
  <si>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</si>
  <si>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</si>
  <si>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</si>
  <si>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</si>
  <si>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</si>
  <si>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</si>
  <si>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</si>
  <si>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</si>
  <si>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</si>
  <si>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</si>
  <si>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</si>
  <si>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</si>
  <si>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</si>
  <si>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</si>
  <si>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</si>
  <si>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</si>
  <si>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</si>
  <si>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</si>
  <si>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</si>
  <si>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</si>
  <si>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</si>
  <si>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</si>
  <si>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</si>
  <si>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</si>
  <si>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</si>
  <si>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</si>
  <si>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</si>
  <si>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</si>
  <si>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</si>
  <si>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</si>
  <si>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</si>
  <si>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</si>
  <si>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</si>
  <si>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</si>
  <si>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</si>
  <si>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</si>
  <si>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</si>
  <si>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</si>
  <si>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</si>
  <si>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</si>
  <si>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</si>
  <si>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</si>
  <si>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</si>
  <si>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</si>
  <si>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</si>
  <si>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</si>
  <si>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14. melléklet  a  2/2015. (II. 10.) önkormányzati rendelethez</t>
  </si>
  <si>
    <t>költségvetése</t>
  </si>
  <si>
    <t>2016. év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</si>
  <si>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</si>
  <si>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</si>
  <si>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</si>
  <si>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</si>
  <si>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</si>
  <si>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</si>
  <si>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</si>
  <si>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</si>
  <si>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</si>
  <si>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</si>
  <si>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</si>
  <si>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</si>
  <si>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>Munkahelyi étkeztetés köznevelési int.(562920) (vendég)</t>
  </si>
  <si>
    <t xml:space="preserve"> egyéb működési és felhalmozási kiadásai</t>
  </si>
  <si>
    <t>2019.</t>
  </si>
  <si>
    <t>időskoruak támogatása</t>
  </si>
  <si>
    <t>Egyéb gép, berendezés, felszerelés beszerzése</t>
  </si>
  <si>
    <t>096015 Gyermekétkeztetés köznevelési intézményben</t>
  </si>
  <si>
    <t>096025 Munkahelyi étkeztetés köznevelési intézményekben</t>
  </si>
  <si>
    <t>096025Munkahelyi étkeztetés köznevelési int.(562920) (vendég)</t>
  </si>
  <si>
    <t>107051 Szociális étkeztetés (889921)</t>
  </si>
  <si>
    <t>082044Könyvtári szolgáltatások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</si>
  <si>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</si>
  <si>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</si>
  <si>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</si>
  <si>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</si>
  <si>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13. melléklet a .../2016. (II. …..) önkormányzati rendelethez</t>
  </si>
  <si>
    <t>FELÚJÍTÁSI KIADÁSOK</t>
  </si>
  <si>
    <t xml:space="preserve">Összesen: </t>
  </si>
  <si>
    <t>FELÚJÍTÁSOK ÖSSZESEN:</t>
  </si>
  <si>
    <t>Felújítási célú előzetesen felszámított le nem vonható általános forgalmi adóra</t>
  </si>
  <si>
    <t>költségvetési szerv,társadalmi szervezet</t>
  </si>
  <si>
    <t>Gjt.5.§.a.-b. pont</t>
  </si>
  <si>
    <t>TERVEZET</t>
  </si>
  <si>
    <t>2017. év</t>
  </si>
  <si>
    <t>( Ft-ban)</t>
  </si>
  <si>
    <t>2016. évről áthúzódó bérkompenzáció támogatása</t>
  </si>
  <si>
    <t>kiegészítés - I.1. jogcímhez kapcsolódóan</t>
  </si>
  <si>
    <t xml:space="preserve">2017. évi </t>
  </si>
  <si>
    <t>2017. évre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</si>
  <si>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</si>
  <si>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</si>
  <si>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</si>
  <si>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</si>
  <si>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</si>
  <si>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</si>
  <si>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</si>
  <si>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2016.ÉVBEN MEGELŐLEGEZETT ÁLLAMI TÁMOGATÁS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</si>
  <si>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</si>
  <si>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</si>
  <si>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</si>
  <si>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</si>
  <si>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</si>
  <si>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</si>
  <si>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</si>
  <si>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</si>
  <si>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</si>
  <si>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2017.évre</t>
  </si>
  <si>
    <t>2017.év</t>
  </si>
  <si>
    <t>8. melléklet a .../2017. (II. ….) önkormányzati rendelethez</t>
  </si>
  <si>
    <t xml:space="preserve"> előirányzat   (  Ft)</t>
  </si>
  <si>
    <t>12. melléklet a .../2017. (II. ....) önkormányzati rendelethez</t>
  </si>
  <si>
    <t>(2016. december 31-i állapot szerint)</t>
  </si>
  <si>
    <t>2015-2017. év</t>
  </si>
  <si>
    <t>(  Ft-ban)</t>
  </si>
  <si>
    <t>2018-2020. év</t>
  </si>
  <si>
    <t>2020.</t>
  </si>
  <si>
    <t>adósságkonszolidációban nem részerült település önkormányzatok támogatása 2016. évről</t>
  </si>
  <si>
    <t>megelőlegezett állami támogatás igénybevétele</t>
  </si>
  <si>
    <t>ADÓSSÁGKONSZOLIDÁCIÓBAN NEM RÉSZESÜLT TELEPÜLÉSI ÖNKORMÁNYZATOK 2016. ÉVRŐL ÁTHÚZÓDÓ TÁMOGATA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</si>
  <si>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</si>
  <si>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</si>
  <si>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</si>
  <si>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</si>
  <si>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</si>
  <si>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</si>
  <si>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</si>
  <si>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</si>
  <si>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</si>
  <si>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</si>
  <si>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</si>
  <si>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</si>
  <si>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</si>
  <si>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</si>
  <si>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</si>
  <si>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</si>
  <si>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</si>
  <si>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</si>
  <si>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</si>
  <si>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</si>
  <si>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</si>
  <si>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</si>
  <si>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</si>
  <si>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</si>
  <si>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</si>
  <si>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</si>
  <si>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</si>
  <si>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1. Magánszemélyek kommunális adója</t>
  </si>
  <si>
    <t>2016.</t>
  </si>
  <si>
    <t>Egyéb építmény felújítása</t>
  </si>
  <si>
    <t>045160 Közutak, hidak, alagutak üzemeltetése, fenntartása</t>
  </si>
  <si>
    <t>1.1</t>
  </si>
  <si>
    <t>(  Ft-ban )</t>
  </si>
  <si>
    <t xml:space="preserve"> 011130 Önkormányzatok és önk. hivatalok jogalkotó és ált. igaztatási tevékenysége</t>
  </si>
  <si>
    <t>Egyéb gép, berendezés,felszerelés, konyhai eszközök pótlására</t>
  </si>
  <si>
    <t>ÁLTALÁNOS TARTALÉKOK ELŐIRÁNYZATA</t>
  </si>
  <si>
    <t xml:space="preserve">Általános tartalék összege </t>
  </si>
  <si>
    <t xml:space="preserve">       - Általános tartalék</t>
  </si>
  <si>
    <t>3.1.6.</t>
  </si>
  <si>
    <t>2.1.</t>
  </si>
  <si>
    <t>5.1</t>
  </si>
  <si>
    <t>6.1</t>
  </si>
  <si>
    <t>Bursa Hungarica ösztöndíj pályázat  támogatása</t>
  </si>
  <si>
    <t>Kertészkert utca burkolatának felújítása (adósságkonszolidációban nem részesült települési önkormányzatok 2016.évi támogatásának felhasználása)</t>
  </si>
  <si>
    <t>2017. 01.01-től</t>
  </si>
  <si>
    <t xml:space="preserve">ELŐZŐ ÉVEK KÖLTSÉGVETÉSI MARADVÁNY IGÉNYBEVÉTELE </t>
  </si>
  <si>
    <t>1. melléklet  a  2/2017. (II.14.)  önkormányzati rendelethez</t>
  </si>
  <si>
    <t xml:space="preserve">előző év költségvetési maradvány igénybevétele </t>
  </si>
  <si>
    <t>Közfoglalkoztatottak támoagatása</t>
  </si>
  <si>
    <t>2017. évi bérkompenzáció</t>
  </si>
  <si>
    <t>2. melléklet  a  2/2017. (II.14.)  önkormányzati rendelethez</t>
  </si>
  <si>
    <t>ÖSSZESEN:</t>
  </si>
  <si>
    <t>Sitkei Önkormányzati Konyha összesen:</t>
  </si>
  <si>
    <t>Sitke község Önkormányzata összesen:</t>
  </si>
  <si>
    <t>Hosszabb időtartamú közfoglalkoztatás</t>
  </si>
  <si>
    <t>041233</t>
  </si>
  <si>
    <t>3. melléklet  a  2/2017. (II.14.)  önkormányzati rendelethez</t>
  </si>
  <si>
    <t>35.</t>
  </si>
  <si>
    <t>34.</t>
  </si>
  <si>
    <t>33.</t>
  </si>
  <si>
    <t>32.</t>
  </si>
  <si>
    <t>31.</t>
  </si>
  <si>
    <t>30.</t>
  </si>
  <si>
    <t>29.</t>
  </si>
  <si>
    <t>6..</t>
  </si>
  <si>
    <t>4. melléklet  a  2/2017. (II.14.)  önkormányzati rendelethez</t>
  </si>
  <si>
    <t>5. melléklet  a 2/2017. (II.14.)  önkormányzati rendelethez</t>
  </si>
  <si>
    <t>Sárvár Város Önkormányzatának a házi segítségnyújtás feladatainak ellátásáért működési támogatás ( Megállapodás alapján)</t>
  </si>
  <si>
    <t>6. melléklet  a  2/2017. (II.14.)  önkormányzati rendelethez</t>
  </si>
  <si>
    <t>Első lakáshoz jutók lakásépítésének és -vásárlásnak viszzatérítendő támogatása ( kamatmentes kölcsön)</t>
  </si>
  <si>
    <t xml:space="preserve">14. </t>
  </si>
  <si>
    <t>7. melléklet  a  2/2017. (II.14.)  önkormányzati rendelethez</t>
  </si>
  <si>
    <t>2.2.</t>
  </si>
  <si>
    <t>Konyha korszerűsítésének tervezési kiadásaira</t>
  </si>
  <si>
    <t>013350 Önkormányzati vagyonnal való gazdálodással kapcsolatos feladatok</t>
  </si>
  <si>
    <t>1.1.3</t>
  </si>
  <si>
    <t>9. melléklet a 2/2017. (II.14.)  sz. önkormányzati rendelethez</t>
  </si>
  <si>
    <t>10. melléklet a 2/2017. (II.14.)  önkormányzati rendelethez</t>
  </si>
  <si>
    <t>11. melléklet a 2/2017. (II.14.)  önkormányzati rendelethez</t>
  </si>
  <si>
    <t xml:space="preserve">- jóváhagyott 2016.évi maradvány tartalékba </t>
  </si>
  <si>
    <t>- orvosi rendelő felújításával kapcsolatos fordított ÁFA visszatérülése</t>
  </si>
  <si>
    <t>17. melléklet a 2/2017. (II.14.)  önkormányzati rendelethez</t>
  </si>
  <si>
    <t>Sitkei önkormányzati Konyha</t>
  </si>
  <si>
    <t>Sitke Község Önkormányzata</t>
  </si>
  <si>
    <t xml:space="preserve"> központi, irányító szervi támogatás </t>
  </si>
  <si>
    <t xml:space="preserve"> előző évi költségvetési  maradvány igénybevétele </t>
  </si>
  <si>
    <t xml:space="preserve"> felhalmozási bevételek összesen </t>
  </si>
  <si>
    <t xml:space="preserve"> felhalmozási célú átvett pénzeszközök </t>
  </si>
  <si>
    <t xml:space="preserve"> felhalmozási bevételek </t>
  </si>
  <si>
    <t xml:space="preserve"> felhalmozási támogatások államháztar- táson belülről </t>
  </si>
  <si>
    <t xml:space="preserve"> működési bevételek összesen </t>
  </si>
  <si>
    <t xml:space="preserve"> működési célú átvett pénz-    eszközök </t>
  </si>
  <si>
    <t xml:space="preserve"> működési bevételek </t>
  </si>
  <si>
    <t xml:space="preserve"> közhatalmi bevételek </t>
  </si>
  <si>
    <t xml:space="preserve"> működési támogatások államháztartáson belülről </t>
  </si>
  <si>
    <t xml:space="preserve"> finanszírozási bevételek </t>
  </si>
  <si>
    <t xml:space="preserve"> bevételek összesen: </t>
  </si>
  <si>
    <t>SORSZÁM</t>
  </si>
  <si>
    <t xml:space="preserve"> Ft-ban </t>
  </si>
  <si>
    <t>BEVÉTELEINEK KÖLTSÉGVETÉSI SZERVENKÉNTI ALAKULÁSA</t>
  </si>
  <si>
    <t xml:space="preserve">SITKE KÖZSÉG ÖNKORMÁNYZATA  </t>
  </si>
  <si>
    <t xml:space="preserve"> 18. melléklet a 2/2017. (II. 14.) önkormányzati rendelethez </t>
  </si>
  <si>
    <t>Sitkei Önkormányzati Konyha</t>
  </si>
  <si>
    <t>megoszlás %-a</t>
  </si>
  <si>
    <t xml:space="preserve">  Ft </t>
  </si>
  <si>
    <t>megoszlás    %-a</t>
  </si>
  <si>
    <t>megnevezése:</t>
  </si>
  <si>
    <t xml:space="preserve"> összes támogatás </t>
  </si>
  <si>
    <t>önkormányzati támogatás</t>
  </si>
  <si>
    <t>központi költségvetési támogatás</t>
  </si>
  <si>
    <t>Intézmény</t>
  </si>
  <si>
    <t xml:space="preserve"> (  Ft-ban ) </t>
  </si>
  <si>
    <t>KÖLTSÉGVETÉSI SZERVEK KÖZPONTI KÖLTSÉGVETÉSI ÉS ÖNKORMÁNYZATI TÁMOGATÁSA</t>
  </si>
  <si>
    <t xml:space="preserve"> 19. melléklet a 2/2017.(II. 14.) önkormányzati rendelethez </t>
  </si>
  <si>
    <t>15. melléklet  a  2/2015. (II. 10.) önkormányzati rendelethez</t>
  </si>
  <si>
    <t>16. melléklet  a  2/2015. (II. 10.) önkormányzati rendelethez</t>
  </si>
  <si>
    <t>Módosította: 9/2017. (V.30.)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</si>
</sst>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1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84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61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60" applyFont="1">
      <alignment/>
      <protection/>
    </xf>
    <xf numFmtId="0" fontId="12" fillId="0" borderId="0" xfId="61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60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4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5" fillId="0" borderId="0" xfId="57" applyFont="1" applyAlignment="1">
      <alignment/>
      <protection/>
    </xf>
    <xf numFmtId="41" fontId="10" fillId="0" borderId="0" xfId="57" applyNumberFormat="1" applyFont="1" applyAlignment="1">
      <alignment horizontal="centerContinuous"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horizontal="right"/>
      <protection/>
    </xf>
    <xf numFmtId="41" fontId="13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/>
      <protection/>
    </xf>
    <xf numFmtId="0" fontId="10" fillId="0" borderId="10" xfId="60" applyFont="1" applyBorder="1" applyAlignment="1">
      <alignment horizontal="center"/>
      <protection/>
    </xf>
    <xf numFmtId="0" fontId="10" fillId="0" borderId="11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0" fontId="11" fillId="0" borderId="13" xfId="60" applyFont="1" applyBorder="1">
      <alignment/>
      <protection/>
    </xf>
    <xf numFmtId="0" fontId="10" fillId="0" borderId="14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8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60" applyNumberFormat="1" applyFont="1" applyBorder="1">
      <alignment/>
      <protection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16" xfId="58" applyFont="1" applyBorder="1" applyAlignment="1">
      <alignment horizontal="left"/>
      <protection/>
    </xf>
    <xf numFmtId="0" fontId="12" fillId="0" borderId="16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0" fontId="12" fillId="0" borderId="13" xfId="58" applyFont="1" applyBorder="1" applyAlignment="1">
      <alignment horizontal="center"/>
      <protection/>
    </xf>
    <xf numFmtId="0" fontId="12" fillId="0" borderId="15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0" fontId="10" fillId="0" borderId="0" xfId="58" applyFont="1" applyAlignment="1">
      <alignment/>
      <protection/>
    </xf>
    <xf numFmtId="0" fontId="7" fillId="0" borderId="0" xfId="58" applyFont="1" applyAlignment="1">
      <alignment horizontal="centerContinuous"/>
      <protection/>
    </xf>
    <xf numFmtId="0" fontId="7" fillId="0" borderId="0" xfId="58" applyFont="1" applyAlignment="1">
      <alignment horizontal="center"/>
      <protection/>
    </xf>
    <xf numFmtId="0" fontId="4" fillId="0" borderId="17" xfId="58" applyFont="1" applyBorder="1" applyAlignment="1">
      <alignment/>
      <protection/>
    </xf>
    <xf numFmtId="0" fontId="4" fillId="0" borderId="18" xfId="58" applyFont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19" xfId="58" applyFont="1" applyBorder="1">
      <alignment/>
      <protection/>
    </xf>
    <xf numFmtId="0" fontId="4" fillId="0" borderId="12" xfId="58" applyFont="1" applyBorder="1" applyAlignment="1">
      <alignment horizontal="center"/>
      <protection/>
    </xf>
    <xf numFmtId="0" fontId="4" fillId="0" borderId="20" xfId="58" applyFont="1" applyBorder="1">
      <alignment/>
      <protection/>
    </xf>
    <xf numFmtId="0" fontId="4" fillId="0" borderId="14" xfId="58" applyFont="1" applyBorder="1" applyAlignment="1">
      <alignment horizontal="center"/>
      <protection/>
    </xf>
    <xf numFmtId="0" fontId="4" fillId="0" borderId="21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/>
      <protection/>
    </xf>
    <xf numFmtId="0" fontId="4" fillId="0" borderId="22" xfId="58" applyFont="1" applyBorder="1">
      <alignment/>
      <protection/>
    </xf>
    <xf numFmtId="0" fontId="7" fillId="0" borderId="23" xfId="58" applyFont="1" applyBorder="1" applyAlignment="1">
      <alignment horizontal="right"/>
      <protection/>
    </xf>
    <xf numFmtId="0" fontId="7" fillId="0" borderId="24" xfId="58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7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58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2" fillId="0" borderId="0" xfId="60" applyFont="1">
      <alignment/>
      <protection/>
    </xf>
    <xf numFmtId="0" fontId="10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11" fillId="0" borderId="0" xfId="58" applyFont="1">
      <alignment/>
      <protection/>
    </xf>
    <xf numFmtId="0" fontId="11" fillId="0" borderId="26" xfId="60" applyFont="1" applyBorder="1" applyAlignment="1">
      <alignment horizontal="left" wrapText="1"/>
      <protection/>
    </xf>
    <xf numFmtId="0" fontId="11" fillId="0" borderId="27" xfId="60" applyFont="1" applyBorder="1" applyAlignment="1" quotePrefix="1">
      <alignment horizontal="center" vertical="center" wrapText="1"/>
      <protection/>
    </xf>
    <xf numFmtId="0" fontId="11" fillId="0" borderId="28" xfId="61" applyFont="1" applyBorder="1">
      <alignment/>
      <protection/>
    </xf>
    <xf numFmtId="0" fontId="11" fillId="0" borderId="26" xfId="61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1" applyFont="1" applyAlignment="1">
      <alignment horizontal="center"/>
      <protection/>
    </xf>
    <xf numFmtId="0" fontId="11" fillId="0" borderId="29" xfId="60" applyFont="1" applyBorder="1" applyAlignment="1">
      <alignment horizontal="right"/>
      <protection/>
    </xf>
    <xf numFmtId="0" fontId="12" fillId="0" borderId="0" xfId="58" applyFont="1">
      <alignment/>
      <protection/>
    </xf>
    <xf numFmtId="0" fontId="18" fillId="0" borderId="0" xfId="58" applyFont="1">
      <alignment/>
      <protection/>
    </xf>
    <xf numFmtId="0" fontId="18" fillId="0" borderId="0" xfId="0" applyFont="1" applyAlignment="1">
      <alignment/>
    </xf>
    <xf numFmtId="0" fontId="6" fillId="0" borderId="11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6" fillId="0" borderId="13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0" fontId="12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0" fontId="6" fillId="0" borderId="15" xfId="58" applyFont="1" applyBorder="1" applyAlignment="1">
      <alignment horizontal="center"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/>
      <protection/>
    </xf>
    <xf numFmtId="0" fontId="12" fillId="0" borderId="0" xfId="58" applyFont="1" applyBorder="1" applyAlignment="1">
      <alignment wrapText="1"/>
      <protection/>
    </xf>
    <xf numFmtId="0" fontId="12" fillId="0" borderId="29" xfId="58" applyFont="1" applyBorder="1" applyAlignment="1">
      <alignment horizontal="right"/>
      <protection/>
    </xf>
    <xf numFmtId="0" fontId="12" fillId="0" borderId="29" xfId="58" applyFont="1" applyBorder="1" applyAlignme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6" fillId="0" borderId="0" xfId="58" applyNumberFormat="1" applyFont="1">
      <alignment/>
      <protection/>
    </xf>
    <xf numFmtId="0" fontId="6" fillId="0" borderId="30" xfId="58" applyFont="1" applyBorder="1" applyAlignment="1">
      <alignment horizontal="right"/>
      <protection/>
    </xf>
    <xf numFmtId="0" fontId="6" fillId="0" borderId="30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0" fontId="12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25" fillId="0" borderId="29" xfId="0" applyFont="1" applyBorder="1" applyAlignment="1">
      <alignment/>
    </xf>
    <xf numFmtId="0" fontId="6" fillId="0" borderId="0" xfId="59" applyFont="1">
      <alignment/>
      <protection/>
    </xf>
    <xf numFmtId="0" fontId="6" fillId="0" borderId="30" xfId="59" applyFont="1" applyBorder="1" applyAlignment="1">
      <alignment horizontal="right"/>
      <protection/>
    </xf>
    <xf numFmtId="168" fontId="6" fillId="0" borderId="0" xfId="59" applyNumberFormat="1" applyFont="1">
      <alignment/>
      <protection/>
    </xf>
    <xf numFmtId="0" fontId="12" fillId="0" borderId="0" xfId="59" applyFont="1" applyBorder="1" applyAlignment="1">
      <alignment horizontal="center" vertical="center"/>
      <protection/>
    </xf>
    <xf numFmtId="0" fontId="11" fillId="0" borderId="0" xfId="60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23" fillId="0" borderId="30" xfId="58" applyFont="1" applyBorder="1" applyAlignment="1">
      <alignment horizontal="center"/>
      <protection/>
    </xf>
    <xf numFmtId="0" fontId="7" fillId="0" borderId="30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0" fontId="26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0" fontId="23" fillId="0" borderId="0" xfId="58" applyFont="1" applyAlignment="1">
      <alignment horizontal="center"/>
      <protection/>
    </xf>
    <xf numFmtId="0" fontId="4" fillId="0" borderId="0" xfId="0" applyFont="1" applyAlignment="1">
      <alignment/>
    </xf>
    <xf numFmtId="0" fontId="11" fillId="0" borderId="0" xfId="60" applyFont="1" applyBorder="1" applyAlignment="1">
      <alignment horizontal="left" wrapText="1"/>
      <protection/>
    </xf>
    <xf numFmtId="0" fontId="4" fillId="0" borderId="30" xfId="0" applyFont="1" applyBorder="1" applyAlignment="1">
      <alignment/>
    </xf>
    <xf numFmtId="0" fontId="10" fillId="0" borderId="30" xfId="60" applyFont="1" applyBorder="1">
      <alignment/>
      <protection/>
    </xf>
    <xf numFmtId="0" fontId="22" fillId="0" borderId="0" xfId="60" applyFont="1">
      <alignment/>
      <protection/>
    </xf>
    <xf numFmtId="0" fontId="6" fillId="0" borderId="0" xfId="61" applyFont="1" applyAlignment="1">
      <alignment horizontal="centerContinuous"/>
      <protection/>
    </xf>
    <xf numFmtId="0" fontId="28" fillId="0" borderId="0" xfId="61" applyFont="1">
      <alignment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5" xfId="61" applyFont="1" applyBorder="1">
      <alignment/>
      <protection/>
    </xf>
    <xf numFmtId="0" fontId="6" fillId="0" borderId="15" xfId="61" applyFont="1" applyBorder="1" applyAlignment="1">
      <alignment horizont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0" fontId="12" fillId="0" borderId="0" xfId="61" applyFont="1" applyBorder="1">
      <alignment/>
      <protection/>
    </xf>
    <xf numFmtId="168" fontId="6" fillId="0" borderId="0" xfId="4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wrapText="1"/>
    </xf>
    <xf numFmtId="0" fontId="12" fillId="0" borderId="29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0" xfId="0" applyFont="1" applyBorder="1" applyAlignment="1">
      <alignment/>
    </xf>
    <xf numFmtId="0" fontId="6" fillId="0" borderId="34" xfId="0" applyFont="1" applyBorder="1" applyAlignment="1">
      <alignment/>
    </xf>
    <xf numFmtId="0" fontId="12" fillId="0" borderId="29" xfId="0" applyFont="1" applyBorder="1" applyAlignment="1">
      <alignment horizontal="left" wrapText="1"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centerContinuous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Continuous"/>
      <protection/>
    </xf>
    <xf numFmtId="0" fontId="6" fillId="0" borderId="30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Continuous"/>
      <protection/>
    </xf>
    <xf numFmtId="41" fontId="12" fillId="0" borderId="0" xfId="57" applyNumberFormat="1" applyFont="1">
      <alignment/>
      <protection/>
    </xf>
    <xf numFmtId="41" fontId="12" fillId="0" borderId="0" xfId="57" applyNumberFormat="1" applyFont="1" applyBorder="1" applyAlignment="1">
      <alignment horizontal="center"/>
      <protection/>
    </xf>
    <xf numFmtId="41" fontId="12" fillId="0" borderId="0" xfId="57" applyNumberFormat="1" applyFont="1" applyBorder="1">
      <alignment/>
      <protection/>
    </xf>
    <xf numFmtId="41" fontId="33" fillId="0" borderId="35" xfId="57" applyNumberFormat="1" applyFont="1" applyBorder="1" applyAlignment="1">
      <alignment horizontal="centerContinuous"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/>
      <protection/>
    </xf>
    <xf numFmtId="41" fontId="21" fillId="0" borderId="0" xfId="57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wrapText="1"/>
      <protection/>
    </xf>
    <xf numFmtId="41" fontId="12" fillId="0" borderId="35" xfId="57" applyNumberFormat="1" applyFont="1" applyBorder="1">
      <alignment/>
      <protection/>
    </xf>
    <xf numFmtId="0" fontId="21" fillId="0" borderId="0" xfId="57" applyFont="1" applyBorder="1" applyAlignment="1">
      <alignment wrapText="1"/>
      <protection/>
    </xf>
    <xf numFmtId="41" fontId="21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33" fillId="0" borderId="0" xfId="57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8" applyFont="1" applyBorder="1" applyAlignment="1">
      <alignment horizontal="center"/>
      <protection/>
    </xf>
    <xf numFmtId="168" fontId="12" fillId="0" borderId="0" xfId="61" applyNumberFormat="1" applyFont="1" applyBorder="1" applyAlignment="1">
      <alignment horizontal="right"/>
      <protection/>
    </xf>
    <xf numFmtId="168" fontId="12" fillId="0" borderId="35" xfId="61" applyNumberFormat="1" applyFont="1" applyBorder="1" applyAlignment="1">
      <alignment horizontal="right"/>
      <protection/>
    </xf>
    <xf numFmtId="168" fontId="12" fillId="0" borderId="0" xfId="61" applyNumberFormat="1" applyFont="1" applyBorder="1" applyAlignment="1">
      <alignment horizontal="center"/>
      <protection/>
    </xf>
    <xf numFmtId="168" fontId="12" fillId="0" borderId="35" xfId="61" applyNumberFormat="1" applyFont="1" applyBorder="1" applyAlignment="1">
      <alignment horizontal="center"/>
      <protection/>
    </xf>
    <xf numFmtId="168" fontId="12" fillId="0" borderId="35" xfId="40" applyNumberFormat="1" applyFont="1" applyBorder="1" applyAlignment="1">
      <alignment horizontal="right"/>
    </xf>
    <xf numFmtId="0" fontId="6" fillId="0" borderId="0" xfId="58" applyFont="1" applyBorder="1" applyAlignment="1">
      <alignment horizontal="center"/>
      <protection/>
    </xf>
    <xf numFmtId="0" fontId="6" fillId="0" borderId="36" xfId="58" applyFont="1" applyBorder="1">
      <alignment/>
      <protection/>
    </xf>
    <xf numFmtId="0" fontId="6" fillId="0" borderId="36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29" xfId="0" applyFont="1" applyBorder="1" applyAlignment="1" quotePrefix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60" applyFont="1" applyBorder="1" applyAlignment="1">
      <alignment horizontal="right"/>
      <protection/>
    </xf>
    <xf numFmtId="0" fontId="22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3" fontId="12" fillId="0" borderId="0" xfId="58" applyNumberFormat="1" applyFont="1">
      <alignment/>
      <protection/>
    </xf>
    <xf numFmtId="3" fontId="12" fillId="0" borderId="0" xfId="58" applyNumberFormat="1" applyFont="1" applyAlignment="1">
      <alignment horizontal="right"/>
      <protection/>
    </xf>
    <xf numFmtId="3" fontId="18" fillId="0" borderId="0" xfId="58" applyNumberFormat="1" applyFont="1" applyAlignment="1">
      <alignment horizontal="right"/>
      <protection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6" fillId="0" borderId="0" xfId="58" applyNumberFormat="1" applyFont="1" applyAlignment="1">
      <alignment horizontal="right"/>
      <protection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38" xfId="60" applyFont="1" applyBorder="1" applyAlignment="1" quotePrefix="1">
      <alignment horizontal="center" vertical="center" wrapText="1"/>
      <protection/>
    </xf>
    <xf numFmtId="0" fontId="11" fillId="0" borderId="39" xfId="60" applyFont="1" applyBorder="1" applyAlignment="1" quotePrefix="1">
      <alignment horizontal="center" vertical="center" wrapText="1"/>
      <protection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1" xfId="0" applyFont="1" applyBorder="1" applyAlignment="1">
      <alignment/>
    </xf>
    <xf numFmtId="3" fontId="11" fillId="0" borderId="28" xfId="60" applyNumberFormat="1" applyFont="1" applyBorder="1" applyAlignment="1">
      <alignment horizontal="right"/>
      <protection/>
    </xf>
    <xf numFmtId="3" fontId="11" fillId="0" borderId="29" xfId="60" applyNumberFormat="1" applyFont="1" applyBorder="1" applyAlignment="1">
      <alignment horizontal="right"/>
      <protection/>
    </xf>
    <xf numFmtId="3" fontId="22" fillId="0" borderId="29" xfId="60" applyNumberFormat="1" applyFont="1" applyBorder="1">
      <alignment/>
      <protection/>
    </xf>
    <xf numFmtId="3" fontId="11" fillId="0" borderId="29" xfId="60" applyNumberFormat="1" applyFont="1" applyBorder="1">
      <alignment/>
      <protection/>
    </xf>
    <xf numFmtId="3" fontId="22" fillId="0" borderId="42" xfId="60" applyNumberFormat="1" applyFont="1" applyBorder="1">
      <alignment/>
      <protection/>
    </xf>
    <xf numFmtId="3" fontId="11" fillId="0" borderId="42" xfId="60" applyNumberFormat="1" applyFont="1" applyBorder="1">
      <alignment/>
      <protection/>
    </xf>
    <xf numFmtId="3" fontId="11" fillId="0" borderId="43" xfId="60" applyNumberFormat="1" applyFont="1" applyBorder="1">
      <alignment/>
      <protection/>
    </xf>
    <xf numFmtId="3" fontId="10" fillId="0" borderId="34" xfId="60" applyNumberFormat="1" applyFont="1" applyBorder="1" applyAlignment="1">
      <alignment horizontal="right"/>
      <protection/>
    </xf>
    <xf numFmtId="3" fontId="10" fillId="0" borderId="44" xfId="60" applyNumberFormat="1" applyFont="1" applyBorder="1" applyAlignment="1">
      <alignment horizontal="right"/>
      <protection/>
    </xf>
    <xf numFmtId="0" fontId="12" fillId="0" borderId="0" xfId="58" applyFont="1" applyBorder="1" applyAlignment="1">
      <alignment horizontal="center" vertical="center"/>
      <protection/>
    </xf>
    <xf numFmtId="0" fontId="10" fillId="0" borderId="45" xfId="61" applyFont="1" applyBorder="1">
      <alignment/>
      <protection/>
    </xf>
    <xf numFmtId="0" fontId="6" fillId="0" borderId="0" xfId="0" applyFont="1" applyAlignment="1" quotePrefix="1">
      <alignment/>
    </xf>
    <xf numFmtId="0" fontId="12" fillId="0" borderId="0" xfId="0" applyFont="1" applyAlignment="1">
      <alignment horizontal="center"/>
    </xf>
    <xf numFmtId="0" fontId="12" fillId="0" borderId="0" xfId="58" applyFont="1" applyBorder="1">
      <alignment/>
      <protection/>
    </xf>
    <xf numFmtId="0" fontId="12" fillId="0" borderId="0" xfId="0" applyFont="1" applyAlignment="1">
      <alignment vertical="top"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0" xfId="60" applyFont="1" applyBorder="1" applyAlignment="1">
      <alignment horizontal="left" wrapText="1"/>
      <protection/>
    </xf>
    <xf numFmtId="0" fontId="11" fillId="0" borderId="43" xfId="60" applyFont="1" applyBorder="1" applyAlignment="1">
      <alignment horizontal="right"/>
      <protection/>
    </xf>
    <xf numFmtId="0" fontId="4" fillId="0" borderId="46" xfId="0" applyFont="1" applyBorder="1" applyAlignment="1">
      <alignment/>
    </xf>
    <xf numFmtId="0" fontId="11" fillId="0" borderId="47" xfId="61" applyFont="1" applyBorder="1">
      <alignment/>
      <protection/>
    </xf>
    <xf numFmtId="0" fontId="10" fillId="0" borderId="34" xfId="61" applyFont="1" applyBorder="1">
      <alignment/>
      <protection/>
    </xf>
    <xf numFmtId="168" fontId="4" fillId="0" borderId="48" xfId="60" applyNumberFormat="1" applyFont="1" applyBorder="1" applyAlignment="1">
      <alignment/>
      <protection/>
    </xf>
    <xf numFmtId="168" fontId="4" fillId="0" borderId="48" xfId="60" applyNumberFormat="1" applyFont="1" applyBorder="1" applyAlignment="1">
      <alignment horizontal="right"/>
      <protection/>
    </xf>
    <xf numFmtId="0" fontId="6" fillId="0" borderId="29" xfId="58" applyFont="1" applyBorder="1" applyAlignment="1">
      <alignment horizontal="right"/>
      <protection/>
    </xf>
    <xf numFmtId="0" fontId="6" fillId="0" borderId="29" xfId="58" applyFont="1" applyBorder="1" applyAlignment="1">
      <alignment/>
      <protection/>
    </xf>
    <xf numFmtId="0" fontId="6" fillId="0" borderId="30" xfId="59" applyFont="1" applyBorder="1" applyAlignment="1">
      <alignment vertical="center"/>
      <protection/>
    </xf>
    <xf numFmtId="168" fontId="6" fillId="0" borderId="30" xfId="59" applyNumberFormat="1" applyFont="1" applyBorder="1" applyAlignment="1">
      <alignment vertical="center"/>
      <protection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0" fontId="18" fillId="0" borderId="0" xfId="60" applyFont="1">
      <alignment/>
      <protection/>
    </xf>
    <xf numFmtId="0" fontId="14" fillId="0" borderId="0" xfId="60" applyFont="1" applyBorder="1" applyAlignment="1">
      <alignment horizontal="left" wrapText="1"/>
      <protection/>
    </xf>
    <xf numFmtId="0" fontId="14" fillId="0" borderId="0" xfId="60" applyFont="1" applyBorder="1" applyAlignment="1" quotePrefix="1">
      <alignment horizontal="left" wrapText="1"/>
      <protection/>
    </xf>
    <xf numFmtId="0" fontId="12" fillId="0" borderId="0" xfId="60" applyFont="1" applyBorder="1" applyAlignment="1" quotePrefix="1">
      <alignment horizontal="left" wrapText="1"/>
      <protection/>
    </xf>
    <xf numFmtId="0" fontId="14" fillId="0" borderId="0" xfId="61" applyFont="1" applyBorder="1" quotePrefix="1">
      <alignment/>
      <protection/>
    </xf>
    <xf numFmtId="0" fontId="6" fillId="0" borderId="13" xfId="61" applyFont="1" applyBorder="1">
      <alignment/>
      <protection/>
    </xf>
    <xf numFmtId="0" fontId="11" fillId="0" borderId="49" xfId="60" applyFont="1" applyBorder="1" applyAlignment="1" quotePrefix="1">
      <alignment horizontal="center" vertical="center" wrapText="1"/>
      <protection/>
    </xf>
    <xf numFmtId="0" fontId="10" fillId="0" borderId="45" xfId="60" applyFont="1" applyBorder="1">
      <alignment/>
      <protection/>
    </xf>
    <xf numFmtId="0" fontId="11" fillId="0" borderId="29" xfId="61" applyFont="1" applyBorder="1">
      <alignment/>
      <protection/>
    </xf>
    <xf numFmtId="0" fontId="4" fillId="0" borderId="29" xfId="61" applyFont="1" applyBorder="1">
      <alignment/>
      <protection/>
    </xf>
    <xf numFmtId="49" fontId="11" fillId="0" borderId="0" xfId="60" applyNumberFormat="1" applyFont="1">
      <alignment/>
      <protection/>
    </xf>
    <xf numFmtId="49" fontId="10" fillId="0" borderId="0" xfId="60" applyNumberFormat="1" applyFont="1">
      <alignment/>
      <protection/>
    </xf>
    <xf numFmtId="49" fontId="17" fillId="0" borderId="0" xfId="60" applyNumberFormat="1" applyFont="1">
      <alignment/>
      <protection/>
    </xf>
    <xf numFmtId="49" fontId="12" fillId="0" borderId="0" xfId="61" applyNumberFormat="1" applyFont="1">
      <alignment/>
      <protection/>
    </xf>
    <xf numFmtId="4" fontId="11" fillId="0" borderId="44" xfId="61" applyNumberFormat="1" applyFont="1" applyBorder="1">
      <alignment/>
      <protection/>
    </xf>
    <xf numFmtId="4" fontId="11" fillId="0" borderId="22" xfId="61" applyNumberFormat="1" applyFont="1" applyBorder="1">
      <alignment/>
      <protection/>
    </xf>
    <xf numFmtId="4" fontId="11" fillId="0" borderId="50" xfId="61" applyNumberFormat="1" applyFont="1" applyBorder="1">
      <alignment/>
      <protection/>
    </xf>
    <xf numFmtId="4" fontId="11" fillId="0" borderId="29" xfId="61" applyNumberFormat="1" applyFont="1" applyBorder="1">
      <alignment/>
      <protection/>
    </xf>
    <xf numFmtId="4" fontId="11" fillId="0" borderId="42" xfId="61" applyNumberFormat="1" applyFont="1" applyBorder="1">
      <alignment/>
      <protection/>
    </xf>
    <xf numFmtId="4" fontId="10" fillId="0" borderId="30" xfId="61" applyNumberFormat="1" applyFont="1" applyBorder="1">
      <alignment/>
      <protection/>
    </xf>
    <xf numFmtId="3" fontId="12" fillId="0" borderId="0" xfId="0" applyNumberFormat="1" applyFont="1" applyAlignment="1">
      <alignment wrapText="1"/>
    </xf>
    <xf numFmtId="3" fontId="1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3" fontId="6" fillId="0" borderId="51" xfId="61" applyNumberFormat="1" applyFont="1" applyBorder="1" applyAlignment="1">
      <alignment horizontal="center" vertical="center"/>
      <protection/>
    </xf>
    <xf numFmtId="168" fontId="11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 horizontal="right"/>
    </xf>
    <xf numFmtId="168" fontId="7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right"/>
    </xf>
    <xf numFmtId="3" fontId="12" fillId="0" borderId="0" xfId="42" applyNumberFormat="1" applyFont="1" applyAlignment="1">
      <alignment horizontal="right"/>
    </xf>
    <xf numFmtId="3" fontId="12" fillId="0" borderId="0" xfId="42" applyNumberFormat="1" applyFont="1" applyAlignment="1">
      <alignment horizontal="right" wrapText="1"/>
    </xf>
    <xf numFmtId="3" fontId="12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 wrapText="1"/>
    </xf>
    <xf numFmtId="3" fontId="18" fillId="0" borderId="0" xfId="42" applyNumberFormat="1" applyFont="1" applyAlignment="1">
      <alignment horizontal="right"/>
    </xf>
    <xf numFmtId="3" fontId="18" fillId="0" borderId="0" xfId="42" applyNumberFormat="1" applyFont="1" applyAlignment="1">
      <alignment horizontal="right" wrapText="1"/>
    </xf>
    <xf numFmtId="168" fontId="12" fillId="0" borderId="0" xfId="42" applyNumberFormat="1" applyFont="1" applyAlignment="1">
      <alignment wrapText="1"/>
    </xf>
    <xf numFmtId="168" fontId="12" fillId="0" borderId="0" xfId="42" applyNumberFormat="1" applyFont="1" applyAlignment="1">
      <alignment/>
    </xf>
    <xf numFmtId="168" fontId="6" fillId="0" borderId="0" xfId="42" applyNumberFormat="1" applyFont="1" applyAlignment="1">
      <alignment wrapText="1"/>
    </xf>
    <xf numFmtId="168" fontId="6" fillId="0" borderId="0" xfId="42" applyNumberFormat="1" applyFont="1" applyAlignment="1">
      <alignment/>
    </xf>
    <xf numFmtId="168" fontId="7" fillId="0" borderId="30" xfId="0" applyNumberFormat="1" applyFont="1" applyBorder="1" applyAlignment="1">
      <alignment/>
    </xf>
    <xf numFmtId="0" fontId="7" fillId="0" borderId="30" xfId="0" applyFont="1" applyBorder="1" applyAlignment="1">
      <alignment/>
    </xf>
    <xf numFmtId="168" fontId="4" fillId="0" borderId="30" xfId="0" applyNumberFormat="1" applyFont="1" applyBorder="1" applyAlignment="1">
      <alignment/>
    </xf>
    <xf numFmtId="168" fontId="4" fillId="0" borderId="52" xfId="42" applyNumberFormat="1" applyFont="1" applyBorder="1" applyAlignment="1">
      <alignment/>
    </xf>
    <xf numFmtId="168" fontId="4" fillId="0" borderId="32" xfId="42" applyNumberFormat="1" applyFont="1" applyBorder="1" applyAlignment="1">
      <alignment/>
    </xf>
    <xf numFmtId="0" fontId="11" fillId="0" borderId="31" xfId="61" applyFont="1" applyBorder="1">
      <alignment/>
      <protection/>
    </xf>
    <xf numFmtId="0" fontId="11" fillId="0" borderId="53" xfId="60" applyFont="1" applyBorder="1" applyAlignment="1" quotePrefix="1">
      <alignment horizontal="center" vertical="center" wrapText="1"/>
      <protection/>
    </xf>
    <xf numFmtId="168" fontId="4" fillId="0" borderId="43" xfId="42" applyNumberFormat="1" applyFont="1" applyBorder="1" applyAlignment="1">
      <alignment/>
    </xf>
    <xf numFmtId="168" fontId="4" fillId="0" borderId="29" xfId="42" applyNumberFormat="1" applyFont="1" applyBorder="1" applyAlignment="1">
      <alignment/>
    </xf>
    <xf numFmtId="0" fontId="11" fillId="0" borderId="54" xfId="60" applyFont="1" applyBorder="1" applyAlignment="1" quotePrefix="1">
      <alignment horizontal="center" vertical="center" wrapText="1"/>
      <protection/>
    </xf>
    <xf numFmtId="0" fontId="4" fillId="0" borderId="54" xfId="0" applyFont="1" applyBorder="1" applyAlignment="1">
      <alignment/>
    </xf>
    <xf numFmtId="168" fontId="7" fillId="0" borderId="30" xfId="42" applyNumberFormat="1" applyFont="1" applyBorder="1" applyAlignment="1">
      <alignment/>
    </xf>
    <xf numFmtId="0" fontId="4" fillId="0" borderId="53" xfId="0" applyFont="1" applyBorder="1" applyAlignment="1">
      <alignment/>
    </xf>
    <xf numFmtId="168" fontId="4" fillId="0" borderId="55" xfId="42" applyNumberFormat="1" applyFont="1" applyBorder="1" applyAlignment="1">
      <alignment/>
    </xf>
    <xf numFmtId="168" fontId="4" fillId="0" borderId="22" xfId="42" applyNumberFormat="1" applyFont="1" applyBorder="1" applyAlignment="1">
      <alignment/>
    </xf>
    <xf numFmtId="168" fontId="23" fillId="0" borderId="51" xfId="42" applyNumberFormat="1" applyFont="1" applyBorder="1" applyAlignment="1">
      <alignment horizontal="center" vertical="center"/>
    </xf>
    <xf numFmtId="168" fontId="23" fillId="0" borderId="11" xfId="42" applyNumberFormat="1" applyFont="1" applyBorder="1" applyAlignment="1">
      <alignment horizontal="center" vertical="center" wrapText="1"/>
    </xf>
    <xf numFmtId="168" fontId="23" fillId="0" borderId="11" xfId="42" applyNumberFormat="1" applyFont="1" applyBorder="1" applyAlignment="1">
      <alignment horizontal="center" vertical="center"/>
    </xf>
    <xf numFmtId="168" fontId="23" fillId="0" borderId="0" xfId="42" applyNumberFormat="1" applyFont="1" applyAlignment="1">
      <alignment/>
    </xf>
    <xf numFmtId="168" fontId="23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left"/>
    </xf>
    <xf numFmtId="3" fontId="4" fillId="0" borderId="0" xfId="61" applyNumberFormat="1" applyFont="1">
      <alignment/>
      <protection/>
    </xf>
    <xf numFmtId="4" fontId="10" fillId="0" borderId="30" xfId="61" applyNumberFormat="1" applyFont="1" applyBorder="1">
      <alignment/>
      <protection/>
    </xf>
    <xf numFmtId="3" fontId="10" fillId="0" borderId="30" xfId="61" applyNumberFormat="1" applyFont="1" applyBorder="1">
      <alignment/>
      <protection/>
    </xf>
    <xf numFmtId="0" fontId="10" fillId="0" borderId="30" xfId="61" applyFont="1" applyBorder="1">
      <alignment/>
      <protection/>
    </xf>
    <xf numFmtId="0" fontId="4" fillId="0" borderId="40" xfId="61" applyFont="1" applyBorder="1">
      <alignment/>
      <protection/>
    </xf>
    <xf numFmtId="4" fontId="11" fillId="0" borderId="32" xfId="61" applyNumberFormat="1" applyFont="1" applyBorder="1">
      <alignment/>
      <protection/>
    </xf>
    <xf numFmtId="3" fontId="11" fillId="0" borderId="52" xfId="60" applyNumberFormat="1" applyFont="1" applyBorder="1">
      <alignment/>
      <protection/>
    </xf>
    <xf numFmtId="3" fontId="11" fillId="0" borderId="50" xfId="60" applyNumberFormat="1" applyFont="1" applyBorder="1">
      <alignment/>
      <protection/>
    </xf>
    <xf numFmtId="3" fontId="22" fillId="0" borderId="50" xfId="60" applyNumberFormat="1" applyFont="1" applyBorder="1">
      <alignment/>
      <protection/>
    </xf>
    <xf numFmtId="3" fontId="11" fillId="0" borderId="32" xfId="60" applyNumberFormat="1" applyFont="1" applyBorder="1">
      <alignment/>
      <protection/>
    </xf>
    <xf numFmtId="3" fontId="22" fillId="0" borderId="32" xfId="60" applyNumberFormat="1" applyFont="1" applyBorder="1">
      <alignment/>
      <protection/>
    </xf>
    <xf numFmtId="3" fontId="11" fillId="0" borderId="32" xfId="60" applyNumberFormat="1" applyFont="1" applyBorder="1" applyAlignment="1">
      <alignment horizontal="right"/>
      <protection/>
    </xf>
    <xf numFmtId="3" fontId="11" fillId="0" borderId="31" xfId="60" applyNumberFormat="1" applyFont="1" applyBorder="1" applyAlignment="1">
      <alignment horizontal="right"/>
      <protection/>
    </xf>
    <xf numFmtId="3" fontId="10" fillId="0" borderId="56" xfId="60" applyNumberFormat="1" applyFont="1" applyBorder="1" applyAlignment="1">
      <alignment horizontal="right"/>
      <protection/>
    </xf>
    <xf numFmtId="168" fontId="4" fillId="0" borderId="0" xfId="0" applyNumberFormat="1" applyFont="1" applyAlignment="1">
      <alignment/>
    </xf>
    <xf numFmtId="168" fontId="4" fillId="0" borderId="57" xfId="0" applyNumberFormat="1" applyFont="1" applyBorder="1" applyAlignment="1">
      <alignment/>
    </xf>
    <xf numFmtId="168" fontId="4" fillId="0" borderId="58" xfId="0" applyNumberFormat="1" applyFont="1" applyBorder="1" applyAlignment="1">
      <alignment/>
    </xf>
    <xf numFmtId="168" fontId="4" fillId="0" borderId="59" xfId="0" applyNumberFormat="1" applyFont="1" applyBorder="1" applyAlignment="1">
      <alignment/>
    </xf>
    <xf numFmtId="168" fontId="7" fillId="0" borderId="27" xfId="42" applyNumberFormat="1" applyFont="1" applyBorder="1" applyAlignment="1">
      <alignment/>
    </xf>
    <xf numFmtId="0" fontId="11" fillId="0" borderId="60" xfId="61" applyFont="1" applyBorder="1">
      <alignment/>
      <protection/>
    </xf>
    <xf numFmtId="168" fontId="4" fillId="0" borderId="52" xfId="0" applyNumberFormat="1" applyFont="1" applyBorder="1" applyAlignment="1">
      <alignment/>
    </xf>
    <xf numFmtId="168" fontId="4" fillId="0" borderId="32" xfId="0" applyNumberFormat="1" applyFont="1" applyBorder="1" applyAlignment="1">
      <alignment/>
    </xf>
    <xf numFmtId="168" fontId="4" fillId="0" borderId="61" xfId="0" applyNumberFormat="1" applyFont="1" applyBorder="1" applyAlignment="1">
      <alignment/>
    </xf>
    <xf numFmtId="168" fontId="4" fillId="0" borderId="43" xfId="0" applyNumberFormat="1" applyFont="1" applyBorder="1" applyAlignment="1">
      <alignment/>
    </xf>
    <xf numFmtId="168" fontId="4" fillId="0" borderId="29" xfId="0" applyNumberFormat="1" applyFont="1" applyBorder="1" applyAlignment="1">
      <alignment/>
    </xf>
    <xf numFmtId="168" fontId="4" fillId="0" borderId="48" xfId="0" applyNumberFormat="1" applyFont="1" applyBorder="1" applyAlignment="1">
      <alignment/>
    </xf>
    <xf numFmtId="168" fontId="4" fillId="0" borderId="62" xfId="0" applyNumberFormat="1" applyFont="1" applyBorder="1" applyAlignment="1">
      <alignment/>
    </xf>
    <xf numFmtId="168" fontId="4" fillId="0" borderId="63" xfId="0" applyNumberFormat="1" applyFont="1" applyBorder="1" applyAlignment="1">
      <alignment/>
    </xf>
    <xf numFmtId="168" fontId="4" fillId="0" borderId="64" xfId="0" applyNumberFormat="1" applyFont="1" applyBorder="1" applyAlignment="1">
      <alignment horizontal="right"/>
    </xf>
    <xf numFmtId="168" fontId="4" fillId="0" borderId="30" xfId="42" applyNumberFormat="1" applyFont="1" applyBorder="1" applyAlignment="1">
      <alignment/>
    </xf>
    <xf numFmtId="168" fontId="4" fillId="0" borderId="40" xfId="42" applyNumberFormat="1" applyFont="1" applyBorder="1" applyAlignment="1">
      <alignment/>
    </xf>
    <xf numFmtId="168" fontId="4" fillId="0" borderId="48" xfId="42" applyNumberFormat="1" applyFont="1" applyBorder="1" applyAlignment="1">
      <alignment/>
    </xf>
    <xf numFmtId="168" fontId="4" fillId="0" borderId="65" xfId="42" applyNumberFormat="1" applyFont="1" applyBorder="1" applyAlignment="1">
      <alignment/>
    </xf>
    <xf numFmtId="168" fontId="7" fillId="0" borderId="41" xfId="42" applyNumberFormat="1" applyFont="1" applyBorder="1" applyAlignment="1">
      <alignment/>
    </xf>
    <xf numFmtId="168" fontId="4" fillId="0" borderId="62" xfId="42" applyNumberFormat="1" applyFont="1" applyBorder="1" applyAlignment="1">
      <alignment/>
    </xf>
    <xf numFmtId="168" fontId="4" fillId="0" borderId="63" xfId="42" applyNumberFormat="1" applyFont="1" applyBorder="1" applyAlignment="1">
      <alignment/>
    </xf>
    <xf numFmtId="168" fontId="4" fillId="0" borderId="64" xfId="42" applyNumberFormat="1" applyFont="1" applyBorder="1" applyAlignment="1">
      <alignment/>
    </xf>
    <xf numFmtId="168" fontId="7" fillId="0" borderId="54" xfId="42" applyNumberFormat="1" applyFont="1" applyBorder="1" applyAlignment="1">
      <alignment/>
    </xf>
    <xf numFmtId="0" fontId="11" fillId="0" borderId="66" xfId="60" applyFont="1" applyBorder="1" applyAlignment="1">
      <alignment horizontal="left" wrapText="1"/>
      <protection/>
    </xf>
    <xf numFmtId="168" fontId="10" fillId="0" borderId="0" xfId="42" applyNumberFormat="1" applyFont="1" applyAlignment="1">
      <alignment/>
    </xf>
    <xf numFmtId="168" fontId="11" fillId="0" borderId="0" xfId="42" applyNumberFormat="1" applyFont="1" applyAlignment="1">
      <alignment/>
    </xf>
    <xf numFmtId="168" fontId="16" fillId="0" borderId="0" xfId="42" applyNumberFormat="1" applyFont="1" applyAlignment="1">
      <alignment/>
    </xf>
    <xf numFmtId="168" fontId="17" fillId="0" borderId="0" xfId="42" applyNumberFormat="1" applyFont="1" applyAlignment="1">
      <alignment/>
    </xf>
    <xf numFmtId="0" fontId="12" fillId="0" borderId="0" xfId="0" applyFont="1" applyAlignment="1" quotePrefix="1">
      <alignment/>
    </xf>
    <xf numFmtId="168" fontId="12" fillId="0" borderId="0" xfId="42" applyNumberFormat="1" applyFont="1" applyAlignment="1">
      <alignment/>
    </xf>
    <xf numFmtId="168" fontId="6" fillId="0" borderId="29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3" xfId="42" applyNumberFormat="1" applyFont="1" applyBorder="1" applyAlignment="1">
      <alignment horizontal="center"/>
    </xf>
    <xf numFmtId="168" fontId="6" fillId="0" borderId="11" xfId="42" applyNumberFormat="1" applyFont="1" applyBorder="1" applyAlignment="1">
      <alignment horizontal="center"/>
    </xf>
    <xf numFmtId="168" fontId="12" fillId="0" borderId="0" xfId="42" applyNumberFormat="1" applyFont="1" applyBorder="1" applyAlignment="1">
      <alignment/>
    </xf>
    <xf numFmtId="168" fontId="12" fillId="0" borderId="0" xfId="42" applyNumberFormat="1" applyFont="1" applyAlignment="1">
      <alignment horizontal="right"/>
    </xf>
    <xf numFmtId="169" fontId="12" fillId="0" borderId="0" xfId="42" applyNumberFormat="1" applyFont="1" applyAlignment="1">
      <alignment/>
    </xf>
    <xf numFmtId="168" fontId="12" fillId="0" borderId="67" xfId="42" applyNumberFormat="1" applyFont="1" applyBorder="1" applyAlignment="1">
      <alignment/>
    </xf>
    <xf numFmtId="168" fontId="12" fillId="0" borderId="68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6" fillId="0" borderId="69" xfId="42" applyNumberFormat="1" applyFont="1" applyBorder="1" applyAlignment="1">
      <alignment/>
    </xf>
    <xf numFmtId="168" fontId="12" fillId="0" borderId="43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70" xfId="42" applyNumberFormat="1" applyFont="1" applyBorder="1" applyAlignment="1">
      <alignment/>
    </xf>
    <xf numFmtId="168" fontId="12" fillId="0" borderId="29" xfId="42" applyNumberFormat="1" applyFont="1" applyFill="1" applyBorder="1" applyAlignment="1">
      <alignment/>
    </xf>
    <xf numFmtId="168" fontId="12" fillId="0" borderId="42" xfId="42" applyNumberFormat="1" applyFont="1" applyFill="1" applyBorder="1" applyAlignment="1">
      <alignment/>
    </xf>
    <xf numFmtId="168" fontId="29" fillId="0" borderId="42" xfId="42" applyNumberFormat="1" applyFont="1" applyFill="1" applyBorder="1" applyAlignment="1">
      <alignment/>
    </xf>
    <xf numFmtId="168" fontId="29" fillId="0" borderId="29" xfId="42" applyNumberFormat="1" applyFont="1" applyFill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15" xfId="42" applyNumberFormat="1" applyFont="1" applyBorder="1" applyAlignment="1">
      <alignment/>
    </xf>
    <xf numFmtId="168" fontId="12" fillId="0" borderId="71" xfId="42" applyNumberFormat="1" applyFont="1" applyBorder="1" applyAlignment="1">
      <alignment/>
    </xf>
    <xf numFmtId="168" fontId="12" fillId="0" borderId="72" xfId="42" applyNumberFormat="1" applyFont="1" applyBorder="1" applyAlignment="1">
      <alignment/>
    </xf>
    <xf numFmtId="168" fontId="12" fillId="0" borderId="73" xfId="42" applyNumberFormat="1" applyFont="1" applyBorder="1" applyAlignment="1">
      <alignment/>
    </xf>
    <xf numFmtId="168" fontId="12" fillId="0" borderId="56" xfId="42" applyNumberFormat="1" applyFont="1" applyBorder="1" applyAlignment="1">
      <alignment horizontal="center"/>
    </xf>
    <xf numFmtId="168" fontId="12" fillId="0" borderId="21" xfId="42" applyNumberFormat="1" applyFont="1" applyBorder="1" applyAlignment="1">
      <alignment horizontal="center"/>
    </xf>
    <xf numFmtId="168" fontId="12" fillId="0" borderId="74" xfId="42" applyNumberFormat="1" applyFont="1" applyBorder="1" applyAlignment="1">
      <alignment horizontal="center"/>
    </xf>
    <xf numFmtId="168" fontId="12" fillId="0" borderId="13" xfId="42" applyNumberFormat="1" applyFont="1" applyBorder="1" applyAlignment="1">
      <alignment horizontal="center"/>
    </xf>
    <xf numFmtId="168" fontId="12" fillId="0" borderId="11" xfId="42" applyNumberFormat="1" applyFont="1" applyBorder="1" applyAlignment="1">
      <alignment/>
    </xf>
    <xf numFmtId="168" fontId="12" fillId="0" borderId="75" xfId="42" applyNumberFormat="1" applyFont="1" applyBorder="1" applyAlignment="1">
      <alignment/>
    </xf>
    <xf numFmtId="168" fontId="12" fillId="0" borderId="76" xfId="42" applyNumberFormat="1" applyFont="1" applyBorder="1" applyAlignment="1">
      <alignment/>
    </xf>
    <xf numFmtId="168" fontId="6" fillId="0" borderId="76" xfId="42" applyNumberFormat="1" applyFont="1" applyBorder="1" applyAlignment="1">
      <alignment/>
    </xf>
    <xf numFmtId="168" fontId="6" fillId="0" borderId="75" xfId="42" applyNumberFormat="1" applyFont="1" applyBorder="1" applyAlignment="1">
      <alignment/>
    </xf>
    <xf numFmtId="168" fontId="6" fillId="0" borderId="77" xfId="42" applyNumberFormat="1" applyFont="1" applyBorder="1" applyAlignment="1">
      <alignment/>
    </xf>
    <xf numFmtId="168" fontId="6" fillId="0" borderId="11" xfId="42" applyNumberFormat="1" applyFont="1" applyBorder="1" applyAlignment="1">
      <alignment/>
    </xf>
    <xf numFmtId="168" fontId="12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  <xf numFmtId="3" fontId="12" fillId="0" borderId="46" xfId="61" applyNumberFormat="1" applyFont="1" applyBorder="1" applyAlignment="1">
      <alignment horizontal="center" vertical="center"/>
      <protection/>
    </xf>
    <xf numFmtId="0" fontId="0" fillId="0" borderId="46" xfId="0" applyBorder="1" applyAlignment="1" quotePrefix="1">
      <alignment horizontal="left" wrapText="1"/>
    </xf>
    <xf numFmtId="3" fontId="12" fillId="0" borderId="54" xfId="61" applyNumberFormat="1" applyFont="1" applyBorder="1" applyAlignment="1">
      <alignment horizontal="center" vertical="center"/>
      <protection/>
    </xf>
    <xf numFmtId="0" fontId="0" fillId="0" borderId="27" xfId="0" applyBorder="1" applyAlignment="1" quotePrefix="1">
      <alignment horizontal="left" wrapText="1"/>
    </xf>
    <xf numFmtId="0" fontId="6" fillId="0" borderId="54" xfId="61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5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6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78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/>
    </xf>
    <xf numFmtId="3" fontId="35" fillId="0" borderId="30" xfId="0" applyNumberFormat="1" applyFont="1" applyBorder="1" applyAlignment="1">
      <alignment/>
    </xf>
    <xf numFmtId="179" fontId="35" fillId="0" borderId="30" xfId="0" applyNumberFormat="1" applyFont="1" applyBorder="1" applyAlignment="1">
      <alignment/>
    </xf>
    <xf numFmtId="0" fontId="35" fillId="0" borderId="30" xfId="0" applyFont="1" applyBorder="1" applyAlignment="1">
      <alignment horizontal="left"/>
    </xf>
    <xf numFmtId="179" fontId="0" fillId="0" borderId="30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0" fontId="6" fillId="0" borderId="0" xfId="58" applyFont="1" applyAlignment="1">
      <alignment horizont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36" xfId="58" applyFont="1" applyBorder="1" applyAlignment="1">
      <alignment horizontal="center" vertical="center"/>
      <protection/>
    </xf>
    <xf numFmtId="0" fontId="6" fillId="0" borderId="51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79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6" fillId="0" borderId="80" xfId="58" applyFont="1" applyBorder="1" applyAlignment="1">
      <alignment horizontal="center" vertical="center"/>
      <protection/>
    </xf>
    <xf numFmtId="0" fontId="6" fillId="0" borderId="0" xfId="58" applyFont="1" applyAlignment="1">
      <alignment horizontal="center"/>
      <protection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2" fillId="0" borderId="0" xfId="58" applyFont="1" applyAlignment="1">
      <alignment horizontal="left" wrapText="1"/>
      <protection/>
    </xf>
    <xf numFmtId="0" fontId="12" fillId="0" borderId="0" xfId="0" applyFont="1" applyAlignment="1" quotePrefix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" wrapText="1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7" fillId="0" borderId="0" xfId="58" applyFont="1" applyAlignment="1">
      <alignment horizontal="center"/>
      <protection/>
    </xf>
    <xf numFmtId="0" fontId="4" fillId="0" borderId="11" xfId="58" applyFont="1" applyBorder="1" applyAlignment="1">
      <alignment horizontal="center" vertical="center" textRotation="255"/>
      <protection/>
    </xf>
    <xf numFmtId="0" fontId="4" fillId="0" borderId="13" xfId="58" applyFont="1" applyBorder="1" applyAlignment="1">
      <alignment horizontal="center" vertical="center" textRotation="255"/>
      <protection/>
    </xf>
    <xf numFmtId="0" fontId="4" fillId="0" borderId="15" xfId="58" applyFont="1" applyBorder="1" applyAlignment="1">
      <alignment horizontal="center" vertical="center" textRotation="255"/>
      <protection/>
    </xf>
    <xf numFmtId="0" fontId="11" fillId="0" borderId="51" xfId="60" applyFont="1" applyBorder="1" applyAlignment="1">
      <alignment horizontal="center" vertical="center" wrapText="1"/>
      <protection/>
    </xf>
    <xf numFmtId="0" fontId="11" fillId="0" borderId="79" xfId="60" applyFont="1" applyBorder="1" applyAlignment="1">
      <alignment horizontal="center" vertical="center" wrapText="1"/>
      <protection/>
    </xf>
    <xf numFmtId="0" fontId="11" fillId="0" borderId="80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168" fontId="23" fillId="0" borderId="45" xfId="42" applyNumberFormat="1" applyFont="1" applyBorder="1" applyAlignment="1">
      <alignment horizontal="center" vertical="center"/>
    </xf>
    <xf numFmtId="168" fontId="23" fillId="0" borderId="40" xfId="42" applyNumberFormat="1" applyFont="1" applyBorder="1" applyAlignment="1">
      <alignment horizontal="center" vertical="center"/>
    </xf>
    <xf numFmtId="168" fontId="23" fillId="0" borderId="10" xfId="42" applyNumberFormat="1" applyFont="1" applyBorder="1" applyAlignment="1">
      <alignment horizontal="center" vertical="center"/>
    </xf>
    <xf numFmtId="168" fontId="23" fillId="0" borderId="36" xfId="42" applyNumberFormat="1" applyFont="1" applyBorder="1" applyAlignment="1">
      <alignment horizontal="center" vertical="center"/>
    </xf>
    <xf numFmtId="168" fontId="23" fillId="0" borderId="51" xfId="42" applyNumberFormat="1" applyFont="1" applyBorder="1" applyAlignment="1">
      <alignment horizontal="center" vertical="center"/>
    </xf>
    <xf numFmtId="168" fontId="23" fillId="0" borderId="14" xfId="42" applyNumberFormat="1" applyFont="1" applyBorder="1" applyAlignment="1">
      <alignment horizontal="center" vertical="center"/>
    </xf>
    <xf numFmtId="168" fontId="23" fillId="0" borderId="16" xfId="42" applyNumberFormat="1" applyFont="1" applyBorder="1" applyAlignment="1">
      <alignment horizontal="center" vertical="center"/>
    </xf>
    <xf numFmtId="168" fontId="23" fillId="0" borderId="80" xfId="42" applyNumberFormat="1" applyFont="1" applyBorder="1" applyAlignment="1">
      <alignment horizontal="center" vertical="center"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0" fillId="0" borderId="0" xfId="61" applyFont="1" applyAlignment="1">
      <alignment horizont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4" fillId="0" borderId="0" xfId="61" applyFont="1" applyAlignment="1">
      <alignment horizontal="left"/>
      <protection/>
    </xf>
    <xf numFmtId="0" fontId="27" fillId="0" borderId="11" xfId="58" applyFont="1" applyBorder="1" applyAlignment="1">
      <alignment horizontal="center" vertical="center" wrapText="1"/>
      <protection/>
    </xf>
    <xf numFmtId="0" fontId="27" fillId="0" borderId="13" xfId="58" applyFont="1" applyBorder="1" applyAlignment="1">
      <alignment horizontal="center" vertical="center" wrapText="1"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11" fillId="0" borderId="16" xfId="61" applyFont="1" applyBorder="1" applyAlignment="1">
      <alignment horizontal="right"/>
      <protection/>
    </xf>
    <xf numFmtId="0" fontId="7" fillId="0" borderId="34" xfId="58" applyFont="1" applyBorder="1" applyAlignment="1">
      <alignment horizontal="center"/>
      <protection/>
    </xf>
    <xf numFmtId="0" fontId="7" fillId="0" borderId="40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1" fillId="0" borderId="34" xfId="58" applyFont="1" applyBorder="1" applyAlignment="1">
      <alignment horizontal="center"/>
      <protection/>
    </xf>
    <xf numFmtId="0" fontId="11" fillId="0" borderId="45" xfId="58" applyFont="1" applyBorder="1" applyAlignment="1">
      <alignment horizontal="center"/>
      <protection/>
    </xf>
    <xf numFmtId="0" fontId="11" fillId="0" borderId="40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 vertical="center"/>
      <protection/>
    </xf>
    <xf numFmtId="0" fontId="11" fillId="0" borderId="45" xfId="58" applyFont="1" applyBorder="1" applyAlignment="1">
      <alignment horizontal="center" vertical="center"/>
      <protection/>
    </xf>
    <xf numFmtId="0" fontId="11" fillId="0" borderId="40" xfId="58" applyFont="1" applyBorder="1" applyAlignment="1">
      <alignment horizontal="center" vertical="center"/>
      <protection/>
    </xf>
    <xf numFmtId="0" fontId="7" fillId="0" borderId="12" xfId="58" applyFont="1" applyBorder="1" applyAlignment="1">
      <alignment horizontal="center"/>
      <protection/>
    </xf>
    <xf numFmtId="0" fontId="7" fillId="0" borderId="79" xfId="58" applyFont="1" applyBorder="1" applyAlignment="1">
      <alignment horizontal="center"/>
      <protection/>
    </xf>
    <xf numFmtId="0" fontId="7" fillId="0" borderId="14" xfId="58" applyFont="1" applyBorder="1" applyAlignment="1">
      <alignment horizontal="center"/>
      <protection/>
    </xf>
    <xf numFmtId="0" fontId="7" fillId="0" borderId="80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 vertical="center" wrapText="1"/>
      <protection/>
    </xf>
    <xf numFmtId="0" fontId="11" fillId="0" borderId="45" xfId="58" applyFont="1" applyBorder="1" applyAlignment="1">
      <alignment horizontal="center" vertical="center" wrapText="1"/>
      <protection/>
    </xf>
    <xf numFmtId="0" fontId="11" fillId="0" borderId="40" xfId="58" applyFont="1" applyBorder="1" applyAlignment="1">
      <alignment horizontal="center" vertical="center" wrapText="1"/>
      <protection/>
    </xf>
    <xf numFmtId="44" fontId="11" fillId="0" borderId="34" xfId="65" applyFont="1" applyBorder="1" applyAlignment="1">
      <alignment horizontal="center" vertical="center"/>
    </xf>
    <xf numFmtId="44" fontId="11" fillId="0" borderId="45" xfId="65" applyFont="1" applyBorder="1" applyAlignment="1">
      <alignment horizontal="center" vertical="center"/>
    </xf>
    <xf numFmtId="44" fontId="11" fillId="0" borderId="40" xfId="65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51" xfId="60" applyFont="1" applyBorder="1" applyAlignment="1">
      <alignment horizontal="center" vertical="center" wrapText="1"/>
      <protection/>
    </xf>
    <xf numFmtId="0" fontId="11" fillId="0" borderId="79" xfId="60" applyFont="1" applyBorder="1" applyAlignment="1">
      <alignment horizontal="center" vertical="center" wrapText="1"/>
      <protection/>
    </xf>
    <xf numFmtId="0" fontId="11" fillId="0" borderId="80" xfId="60" applyFont="1" applyBorder="1" applyAlignment="1">
      <alignment horizontal="center" vertical="center" wrapText="1"/>
      <protection/>
    </xf>
    <xf numFmtId="0" fontId="11" fillId="0" borderId="32" xfId="58" applyFont="1" applyBorder="1" applyAlignment="1">
      <alignment horizontal="center" vertical="center" textRotation="180"/>
      <protection/>
    </xf>
    <xf numFmtId="0" fontId="11" fillId="0" borderId="21" xfId="58" applyFont="1" applyBorder="1" applyAlignment="1">
      <alignment horizontal="center" vertical="center" textRotation="180"/>
      <protection/>
    </xf>
    <xf numFmtId="0" fontId="11" fillId="0" borderId="22" xfId="58" applyFont="1" applyBorder="1" applyAlignment="1">
      <alignment horizontal="center" vertical="center" textRotation="180"/>
      <protection/>
    </xf>
    <xf numFmtId="0" fontId="0" fillId="0" borderId="0" xfId="0" applyAlignment="1">
      <alignment/>
    </xf>
    <xf numFmtId="0" fontId="26" fillId="0" borderId="11" xfId="58" applyFont="1" applyBorder="1" applyAlignment="1">
      <alignment horizontal="center" textRotation="255"/>
      <protection/>
    </xf>
    <xf numFmtId="0" fontId="26" fillId="0" borderId="13" xfId="58" applyFont="1" applyBorder="1" applyAlignment="1">
      <alignment horizontal="center" textRotation="255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168" fontId="23" fillId="0" borderId="12" xfId="42" applyNumberFormat="1" applyFont="1" applyBorder="1" applyAlignment="1">
      <alignment horizontal="center" vertical="center"/>
    </xf>
    <xf numFmtId="168" fontId="23" fillId="0" borderId="0" xfId="42" applyNumberFormat="1" applyFont="1" applyBorder="1" applyAlignment="1">
      <alignment horizontal="center" vertical="center"/>
    </xf>
    <xf numFmtId="168" fontId="23" fillId="0" borderId="79" xfId="42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5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11" fillId="0" borderId="11" xfId="60" applyFont="1" applyBorder="1" applyAlignment="1">
      <alignment horizontal="center" vertical="center" textRotation="180"/>
      <protection/>
    </xf>
    <xf numFmtId="0" fontId="11" fillId="0" borderId="13" xfId="60" applyFont="1" applyBorder="1" applyAlignment="1">
      <alignment horizontal="center" vertical="center" textRotation="180"/>
      <protection/>
    </xf>
    <xf numFmtId="0" fontId="11" fillId="0" borderId="15" xfId="60" applyFont="1" applyBorder="1" applyAlignment="1">
      <alignment horizontal="center" vertical="center" textRotation="180"/>
      <protection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12" fillId="0" borderId="11" xfId="61" applyFont="1" applyBorder="1" applyAlignment="1">
      <alignment horizontal="center" textRotation="180"/>
      <protection/>
    </xf>
    <xf numFmtId="0" fontId="12" fillId="0" borderId="13" xfId="61" applyFont="1" applyBorder="1" applyAlignment="1">
      <alignment horizontal="center" textRotation="180"/>
      <protection/>
    </xf>
    <xf numFmtId="0" fontId="12" fillId="0" borderId="15" xfId="61" applyFont="1" applyBorder="1" applyAlignment="1">
      <alignment horizontal="center" textRotation="180"/>
      <protection/>
    </xf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 textRotation="45"/>
    </xf>
    <xf numFmtId="0" fontId="0" fillId="0" borderId="13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0" xfId="58" applyFont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1" fillId="0" borderId="0" xfId="0" applyFont="1" applyAlignment="1">
      <alignment horizontal="right"/>
    </xf>
    <xf numFmtId="168" fontId="4" fillId="0" borderId="87" xfId="40" applyNumberFormat="1" applyFont="1" applyBorder="1" applyAlignment="1">
      <alignment horizontal="center" vertical="center"/>
    </xf>
    <xf numFmtId="168" fontId="4" fillId="0" borderId="88" xfId="40" applyNumberFormat="1" applyFont="1" applyBorder="1" applyAlignment="1">
      <alignment horizontal="center" vertical="center"/>
    </xf>
    <xf numFmtId="0" fontId="4" fillId="0" borderId="89" xfId="58" applyFont="1" applyBorder="1" applyAlignment="1">
      <alignment horizontal="center" vertical="center"/>
      <protection/>
    </xf>
    <xf numFmtId="0" fontId="4" fillId="0" borderId="88" xfId="58" applyFont="1" applyBorder="1" applyAlignment="1">
      <alignment horizontal="center" vertical="center"/>
      <protection/>
    </xf>
    <xf numFmtId="0" fontId="4" fillId="0" borderId="90" xfId="58" applyFont="1" applyBorder="1" applyAlignment="1">
      <alignment horizontal="center" vertical="center"/>
      <protection/>
    </xf>
    <xf numFmtId="168" fontId="4" fillId="0" borderId="76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0" fontId="4" fillId="0" borderId="91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4" fillId="0" borderId="92" xfId="58" applyFont="1" applyBorder="1" applyAlignment="1">
      <alignment horizontal="center"/>
      <protection/>
    </xf>
    <xf numFmtId="0" fontId="4" fillId="0" borderId="93" xfId="58" applyFont="1" applyBorder="1" applyAlignment="1">
      <alignment horizontal="center"/>
      <protection/>
    </xf>
    <xf numFmtId="0" fontId="4" fillId="0" borderId="76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 vertical="center" wrapText="1"/>
      <protection/>
    </xf>
    <xf numFmtId="0" fontId="12" fillId="0" borderId="94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12" fillId="0" borderId="96" xfId="0" applyFont="1" applyBorder="1" applyAlignment="1">
      <alignment horizontal="center" vertical="center" wrapText="1"/>
    </xf>
    <xf numFmtId="0" fontId="12" fillId="0" borderId="9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99" xfId="40" applyNumberFormat="1" applyFont="1" applyBorder="1" applyAlignment="1">
      <alignment horizontal="center" vertical="center"/>
    </xf>
    <xf numFmtId="168" fontId="12" fillId="0" borderId="100" xfId="40" applyNumberFormat="1" applyFont="1" applyBorder="1" applyAlignment="1">
      <alignment horizontal="center" vertical="center"/>
    </xf>
    <xf numFmtId="168" fontId="12" fillId="0" borderId="101" xfId="40" applyNumberFormat="1" applyFont="1" applyBorder="1" applyAlignment="1">
      <alignment horizontal="center" vertical="center"/>
    </xf>
    <xf numFmtId="168" fontId="12" fillId="0" borderId="102" xfId="40" applyNumberFormat="1" applyFont="1" applyBorder="1" applyAlignment="1">
      <alignment horizontal="center" vertical="center"/>
    </xf>
    <xf numFmtId="168" fontId="12" fillId="0" borderId="103" xfId="40" applyNumberFormat="1" applyFont="1" applyBorder="1" applyAlignment="1">
      <alignment horizontal="center" vertical="center"/>
    </xf>
    <xf numFmtId="168" fontId="12" fillId="0" borderId="104" xfId="40" applyNumberFormat="1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2" fontId="12" fillId="0" borderId="99" xfId="0" applyNumberFormat="1" applyFont="1" applyBorder="1" applyAlignment="1">
      <alignment horizontal="center" vertical="center" wrapText="1"/>
    </xf>
    <xf numFmtId="2" fontId="12" fillId="0" borderId="100" xfId="0" applyNumberFormat="1" applyFont="1" applyBorder="1" applyAlignment="1">
      <alignment horizontal="center" vertical="center" wrapText="1"/>
    </xf>
    <xf numFmtId="2" fontId="12" fillId="0" borderId="101" xfId="0" applyNumberFormat="1" applyFont="1" applyBorder="1" applyAlignment="1">
      <alignment horizontal="center" vertical="center" wrapText="1"/>
    </xf>
    <xf numFmtId="168" fontId="12" fillId="0" borderId="106" xfId="4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72" xfId="0" applyFont="1" applyBorder="1" applyAlignment="1">
      <alignment horizontal="left" vertical="center" wrapText="1"/>
    </xf>
    <xf numFmtId="168" fontId="12" fillId="0" borderId="10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168" fontId="12" fillId="0" borderId="76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72" xfId="40" applyNumberFormat="1" applyFont="1" applyBorder="1" applyAlignment="1">
      <alignment horizontal="center" vertical="center"/>
    </xf>
    <xf numFmtId="168" fontId="18" fillId="0" borderId="109" xfId="40" applyNumberFormat="1" applyFont="1" applyBorder="1" applyAlignment="1">
      <alignment horizontal="center" vertical="center"/>
    </xf>
    <xf numFmtId="168" fontId="18" fillId="0" borderId="110" xfId="40" applyNumberFormat="1" applyFont="1" applyBorder="1" applyAlignment="1">
      <alignment horizontal="center" vertical="center"/>
    </xf>
    <xf numFmtId="168" fontId="18" fillId="0" borderId="111" xfId="4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112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113" xfId="0" applyFont="1" applyBorder="1" applyAlignment="1">
      <alignment horizontal="center"/>
    </xf>
    <xf numFmtId="0" fontId="12" fillId="0" borderId="1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15" xfId="0" applyFont="1" applyBorder="1" applyAlignment="1">
      <alignment horizontal="left" vertical="center"/>
    </xf>
    <xf numFmtId="0" fontId="12" fillId="0" borderId="116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/>
    </xf>
    <xf numFmtId="0" fontId="12" fillId="0" borderId="118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119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8" fontId="12" fillId="0" borderId="32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4" fillId="0" borderId="7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168" fontId="12" fillId="0" borderId="3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168" fontId="12" fillId="0" borderId="29" xfId="4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0" fillId="0" borderId="2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2" fillId="0" borderId="120" xfId="0" applyFont="1" applyBorder="1" applyAlignment="1">
      <alignment horizontal="center"/>
    </xf>
    <xf numFmtId="0" fontId="12" fillId="0" borderId="1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51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80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51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80" xfId="40" applyNumberFormat="1" applyFont="1" applyBorder="1" applyAlignment="1">
      <alignment horizontal="center"/>
    </xf>
    <xf numFmtId="168" fontId="12" fillId="0" borderId="120" xfId="40" applyNumberFormat="1" applyFont="1" applyBorder="1" applyAlignment="1">
      <alignment horizontal="center"/>
    </xf>
    <xf numFmtId="168" fontId="12" fillId="0" borderId="121" xfId="4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34" xfId="57" applyFont="1" applyBorder="1" applyAlignment="1">
      <alignment horizontal="center"/>
      <protection/>
    </xf>
    <xf numFmtId="0" fontId="6" fillId="0" borderId="45" xfId="57" applyFont="1" applyBorder="1" applyAlignment="1">
      <alignment horizontal="center"/>
      <protection/>
    </xf>
    <xf numFmtId="0" fontId="36" fillId="0" borderId="0" xfId="0" applyFont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9" fillId="0" borderId="11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30" xfId="0" applyBorder="1" applyAlignment="1">
      <alignment vertical="center"/>
    </xf>
    <xf numFmtId="0" fontId="35" fillId="0" borderId="0" xfId="0" applyFont="1" applyAlignment="1">
      <alignment horizontal="center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38:U63"/>
  <sheetViews>
    <sheetView tabSelected="1" zoomScalePageLayoutView="0" workbookViewId="0" topLeftCell="C28">
      <selection activeCell="R51" sqref="R51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53"/>
      <c r="J39" s="2"/>
      <c r="L39" s="511" t="s">
        <v>4</v>
      </c>
      <c r="M39" s="511"/>
      <c r="N39" s="511"/>
      <c r="O39" s="511"/>
      <c r="P39" s="511"/>
      <c r="Q39" s="511"/>
      <c r="R39" s="511"/>
      <c r="S39" s="511"/>
      <c r="T39" s="511"/>
      <c r="U39" s="53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52"/>
      <c r="J41" s="2"/>
      <c r="L41" s="511" t="s">
        <v>488</v>
      </c>
      <c r="M41" s="511"/>
      <c r="N41" s="511"/>
      <c r="O41" s="511"/>
      <c r="P41" s="511"/>
      <c r="Q41" s="511"/>
      <c r="R41" s="511"/>
      <c r="S41" s="511"/>
      <c r="T41" s="511"/>
      <c r="U41" s="53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52"/>
      <c r="J43" s="2"/>
      <c r="L43" s="511" t="s">
        <v>448</v>
      </c>
      <c r="M43" s="511"/>
      <c r="N43" s="511"/>
      <c r="O43" s="511"/>
      <c r="P43" s="511"/>
      <c r="Q43" s="511"/>
      <c r="R43" s="511"/>
      <c r="S43" s="511"/>
      <c r="T43" s="511"/>
      <c r="U43" s="53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512" t="s">
        <v>636</v>
      </c>
      <c r="M45" s="512"/>
      <c r="N45" s="512"/>
      <c r="O45" s="512"/>
      <c r="P45" s="512"/>
      <c r="Q45" s="512"/>
      <c r="R45" s="512"/>
      <c r="S45" s="512"/>
      <c r="T45" s="512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54"/>
      <c r="M46" s="258"/>
      <c r="N46" s="18"/>
      <c r="O46" s="155"/>
    </row>
    <row r="47" spans="1:10" ht="27.75">
      <c r="A47" s="54"/>
      <c r="B47" s="55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L39:T39"/>
    <mergeCell ref="L41:T41"/>
    <mergeCell ref="L43:T43"/>
    <mergeCell ref="L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L31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6.125" style="0" customWidth="1"/>
    <col min="2" max="2" width="73.75390625" style="0" customWidth="1"/>
    <col min="3" max="3" width="12.375" style="0" customWidth="1"/>
  </cols>
  <sheetData>
    <row r="1" spans="2:4" ht="15.75">
      <c r="B1" s="643"/>
      <c r="C1" s="643"/>
      <c r="D1" s="21"/>
    </row>
    <row r="2" spans="2:4" ht="15.75">
      <c r="B2" s="21"/>
      <c r="C2" s="21"/>
      <c r="D2" s="21"/>
    </row>
    <row r="3" spans="1:4" ht="15.75">
      <c r="A3" s="607" t="s">
        <v>596</v>
      </c>
      <c r="B3" s="607"/>
      <c r="C3" s="607"/>
      <c r="D3" s="21"/>
    </row>
    <row r="4" spans="2:4" ht="15.75">
      <c r="B4" s="618"/>
      <c r="C4" s="618"/>
      <c r="D4" s="21"/>
    </row>
    <row r="5" spans="2:4" ht="15.75">
      <c r="B5" s="617" t="s">
        <v>483</v>
      </c>
      <c r="C5" s="607"/>
      <c r="D5" s="21"/>
    </row>
    <row r="6" spans="2:12" ht="15.75">
      <c r="B6" s="618" t="s">
        <v>41</v>
      </c>
      <c r="C6" s="653"/>
      <c r="D6" s="21"/>
      <c r="L6" s="270"/>
    </row>
    <row r="7" spans="2:4" ht="15.75">
      <c r="B7" s="618" t="s">
        <v>477</v>
      </c>
      <c r="C7" s="653"/>
      <c r="D7" s="21"/>
    </row>
    <row r="8" spans="2:4" ht="15.75">
      <c r="B8" s="618" t="s">
        <v>484</v>
      </c>
      <c r="C8" s="653"/>
      <c r="D8" s="21"/>
    </row>
    <row r="9" spans="2:4" ht="16.5" thickBot="1">
      <c r="B9" s="21"/>
      <c r="C9" s="21"/>
      <c r="D9" s="21"/>
    </row>
    <row r="10" spans="1:4" ht="16.5" thickTop="1">
      <c r="A10" s="644" t="s">
        <v>506</v>
      </c>
      <c r="B10" s="647" t="s">
        <v>0</v>
      </c>
      <c r="C10" s="650" t="s">
        <v>510</v>
      </c>
      <c r="D10" s="21"/>
    </row>
    <row r="11" spans="1:4" ht="15.75">
      <c r="A11" s="645"/>
      <c r="B11" s="648"/>
      <c r="C11" s="651"/>
      <c r="D11" s="21"/>
    </row>
    <row r="12" spans="1:4" ht="21" customHeight="1" thickBot="1">
      <c r="A12" s="646"/>
      <c r="B12" s="649"/>
      <c r="C12" s="652"/>
      <c r="D12" s="21"/>
    </row>
    <row r="13" spans="2:4" ht="15.75">
      <c r="B13" s="21"/>
      <c r="C13" s="21"/>
      <c r="D13" s="21"/>
    </row>
    <row r="14" spans="1:4" ht="15.75">
      <c r="A14" t="s">
        <v>44</v>
      </c>
      <c r="B14" s="302" t="s">
        <v>550</v>
      </c>
      <c r="C14" s="21"/>
      <c r="D14" s="21"/>
    </row>
    <row r="15" spans="1:4" ht="15.75">
      <c r="A15" s="322"/>
      <c r="B15" s="21"/>
      <c r="C15" s="21"/>
      <c r="D15" s="21"/>
    </row>
    <row r="16" spans="1:4" ht="15.75">
      <c r="A16" s="322" t="s">
        <v>551</v>
      </c>
      <c r="B16" s="21" t="s">
        <v>549</v>
      </c>
      <c r="C16" s="21"/>
      <c r="D16" s="303"/>
    </row>
    <row r="17" spans="1:4" ht="36.75" customHeight="1">
      <c r="A17" s="322" t="s">
        <v>521</v>
      </c>
      <c r="B17" s="100" t="s">
        <v>563</v>
      </c>
      <c r="C17" s="344">
        <v>7874016</v>
      </c>
      <c r="D17" s="303"/>
    </row>
    <row r="18" spans="1:4" ht="18.75" customHeight="1">
      <c r="A18" s="322" t="s">
        <v>522</v>
      </c>
      <c r="B18" s="21" t="s">
        <v>480</v>
      </c>
      <c r="C18" s="345">
        <v>2125984</v>
      </c>
      <c r="D18" s="21"/>
    </row>
    <row r="19" spans="1:4" ht="18.75" customHeight="1">
      <c r="A19" s="322" t="s">
        <v>595</v>
      </c>
      <c r="B19" s="18" t="s">
        <v>478</v>
      </c>
      <c r="C19" s="19">
        <f>SUM(C17:C18)</f>
        <v>10000000</v>
      </c>
      <c r="D19" s="21"/>
    </row>
    <row r="20" spans="1:4" ht="15.75">
      <c r="A20" s="322"/>
      <c r="B20" s="21"/>
      <c r="C20" s="21"/>
      <c r="D20" s="21"/>
    </row>
    <row r="21" spans="1:4" ht="15.75">
      <c r="A21" s="322" t="s">
        <v>27</v>
      </c>
      <c r="B21" s="302" t="s">
        <v>594</v>
      </c>
      <c r="C21" s="21"/>
      <c r="D21" s="21"/>
    </row>
    <row r="22" spans="1:4" ht="15.75">
      <c r="A22" s="322" t="s">
        <v>559</v>
      </c>
      <c r="B22" s="438" t="s">
        <v>593</v>
      </c>
      <c r="C22" s="345">
        <v>120000</v>
      </c>
      <c r="D22" s="21"/>
    </row>
    <row r="23" spans="1:4" ht="15.75">
      <c r="A23" s="322" t="s">
        <v>592</v>
      </c>
      <c r="B23" s="302" t="s">
        <v>2</v>
      </c>
      <c r="C23" s="345">
        <f>C22</f>
        <v>120000</v>
      </c>
      <c r="D23" s="21"/>
    </row>
    <row r="24" spans="1:4" ht="15.75">
      <c r="A24" s="322"/>
      <c r="B24" s="21"/>
      <c r="C24" s="21"/>
      <c r="D24" s="21"/>
    </row>
    <row r="25" spans="1:4" s="271" customFormat="1" ht="15.75">
      <c r="A25" s="323"/>
      <c r="B25" s="18" t="s">
        <v>479</v>
      </c>
      <c r="C25" s="19">
        <f>C19+C23</f>
        <v>10120000</v>
      </c>
      <c r="D25" s="18"/>
    </row>
    <row r="26" spans="2:4" ht="15.75">
      <c r="B26" s="21"/>
      <c r="C26" s="21"/>
      <c r="D26" s="21"/>
    </row>
    <row r="27" spans="2:4" ht="15.75">
      <c r="B27" s="21"/>
      <c r="C27" s="21"/>
      <c r="D27" s="21"/>
    </row>
    <row r="28" spans="2:4" ht="15.75">
      <c r="B28" s="21"/>
      <c r="C28" s="21"/>
      <c r="D28" s="21"/>
    </row>
    <row r="29" spans="2:4" ht="15.75">
      <c r="B29" s="21"/>
      <c r="C29" s="21"/>
      <c r="D29" s="21"/>
    </row>
    <row r="30" spans="2:4" ht="15.75">
      <c r="B30" s="21"/>
      <c r="C30" s="21"/>
      <c r="D30" s="21"/>
    </row>
    <row r="31" spans="2:4" ht="15.75">
      <c r="B31" s="21"/>
      <c r="C31" s="21"/>
      <c r="D31" s="21"/>
    </row>
  </sheetData>
  <sheetProtection/>
  <mergeCells count="10">
    <mergeCell ref="B1:C1"/>
    <mergeCell ref="B4:C4"/>
    <mergeCell ref="A10:A12"/>
    <mergeCell ref="B10:B12"/>
    <mergeCell ref="C10:C12"/>
    <mergeCell ref="B6:C6"/>
    <mergeCell ref="B7:C7"/>
    <mergeCell ref="B8:C8"/>
    <mergeCell ref="A3:C3"/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F6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439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513"/>
      <c r="B1" s="513"/>
      <c r="C1" s="513"/>
    </row>
    <row r="2" spans="1:3" s="126" customFormat="1" ht="15.75">
      <c r="A2" s="518" t="s">
        <v>597</v>
      </c>
      <c r="B2" s="518"/>
      <c r="C2" s="518"/>
    </row>
    <row r="3" spans="1:3" s="117" customFormat="1" ht="15">
      <c r="A3" s="654"/>
      <c r="B3" s="654"/>
      <c r="C3" s="654"/>
    </row>
    <row r="4" spans="1:3" s="117" customFormat="1" ht="16.5" customHeight="1">
      <c r="A4" s="654" t="s">
        <v>483</v>
      </c>
      <c r="B4" s="607"/>
      <c r="C4" s="607"/>
    </row>
    <row r="5" spans="1:3" ht="15.75">
      <c r="A5" s="522" t="s">
        <v>4</v>
      </c>
      <c r="B5" s="522"/>
      <c r="C5" s="522"/>
    </row>
    <row r="6" spans="1:3" ht="15.75">
      <c r="A6" s="532" t="s">
        <v>292</v>
      </c>
      <c r="B6" s="532"/>
      <c r="C6" s="532"/>
    </row>
    <row r="7" spans="1:3" ht="15.75">
      <c r="A7" s="532" t="s">
        <v>235</v>
      </c>
      <c r="B7" s="532"/>
      <c r="C7" s="532"/>
    </row>
    <row r="8" spans="1:3" ht="15.75">
      <c r="A8" s="532" t="s">
        <v>484</v>
      </c>
      <c r="B8" s="532"/>
      <c r="C8" s="532"/>
    </row>
    <row r="9" ht="16.5" thickBot="1"/>
    <row r="10" spans="1:3" ht="15.75">
      <c r="A10" s="133" t="s">
        <v>42</v>
      </c>
      <c r="B10" s="128"/>
      <c r="C10" s="448" t="s">
        <v>19</v>
      </c>
    </row>
    <row r="11" spans="1:3" ht="15.75">
      <c r="A11" s="129"/>
      <c r="B11" s="130" t="s">
        <v>0</v>
      </c>
      <c r="C11" s="447" t="s">
        <v>10</v>
      </c>
    </row>
    <row r="12" spans="1:4" ht="18" customHeight="1" thickBot="1">
      <c r="A12" s="131" t="s">
        <v>43</v>
      </c>
      <c r="B12" s="134"/>
      <c r="C12" s="446" t="s">
        <v>1</v>
      </c>
      <c r="D12" s="304"/>
    </row>
    <row r="13" spans="2:4" ht="8.25" customHeight="1">
      <c r="B13" s="266"/>
      <c r="C13" s="267"/>
      <c r="D13" s="443"/>
    </row>
    <row r="14" spans="1:3" ht="20.25" customHeight="1">
      <c r="A14" s="658" t="s">
        <v>236</v>
      </c>
      <c r="B14" s="658"/>
      <c r="C14" s="658"/>
    </row>
    <row r="15" spans="1:3" ht="20.25" customHeight="1">
      <c r="A15" s="135" t="s">
        <v>44</v>
      </c>
      <c r="B15" s="136" t="s">
        <v>237</v>
      </c>
      <c r="C15" s="449"/>
    </row>
    <row r="16" spans="1:3" ht="20.25" customHeight="1">
      <c r="A16" s="135"/>
      <c r="B16" s="21" t="s">
        <v>238</v>
      </c>
      <c r="C16" s="449">
        <f>'2.mell - bevétel (2)'!H50</f>
        <v>28045173</v>
      </c>
    </row>
    <row r="17" spans="1:5" ht="20.25" customHeight="1">
      <c r="A17" s="135"/>
      <c r="B17" s="100" t="s">
        <v>239</v>
      </c>
      <c r="C17" s="449">
        <f>'2.mell - bevétel (2)'!H56</f>
        <v>796916</v>
      </c>
      <c r="D17" s="98"/>
      <c r="E17" s="98"/>
    </row>
    <row r="18" spans="1:3" ht="20.25" customHeight="1">
      <c r="A18" s="135" t="s">
        <v>27</v>
      </c>
      <c r="B18" s="136" t="s">
        <v>240</v>
      </c>
      <c r="C18" s="449">
        <v>7813000</v>
      </c>
    </row>
    <row r="19" spans="1:3" ht="20.25" customHeight="1">
      <c r="A19" s="135" t="s">
        <v>45</v>
      </c>
      <c r="B19" s="136" t="s">
        <v>241</v>
      </c>
      <c r="C19" s="449">
        <v>15503474</v>
      </c>
    </row>
    <row r="20" spans="1:3" ht="20.25" customHeight="1">
      <c r="A20" s="135" t="s">
        <v>105</v>
      </c>
      <c r="B20" s="137" t="s">
        <v>242</v>
      </c>
      <c r="C20" s="449"/>
    </row>
    <row r="21" spans="1:5" ht="36" customHeight="1">
      <c r="A21" s="135"/>
      <c r="B21" s="100" t="s">
        <v>243</v>
      </c>
      <c r="C21" s="449"/>
      <c r="D21" s="100"/>
      <c r="E21" s="100"/>
    </row>
    <row r="22" spans="1:3" ht="20.25" customHeight="1">
      <c r="A22" s="135"/>
      <c r="B22" s="21" t="s">
        <v>244</v>
      </c>
      <c r="C22" s="449"/>
    </row>
    <row r="23" spans="1:3" ht="30" customHeight="1">
      <c r="A23" s="318"/>
      <c r="B23" s="319" t="s">
        <v>245</v>
      </c>
      <c r="C23" s="440">
        <f>SUM(C16:C22)</f>
        <v>52158563</v>
      </c>
    </row>
    <row r="24" spans="1:3" ht="21" customHeight="1">
      <c r="A24" s="132" t="s">
        <v>106</v>
      </c>
      <c r="B24" s="136" t="s">
        <v>246</v>
      </c>
      <c r="C24" s="351">
        <f>'4.mell. - kiadás (2)'!E48</f>
        <v>20579092</v>
      </c>
    </row>
    <row r="25" spans="1:3" ht="21" customHeight="1">
      <c r="A25" s="132" t="s">
        <v>112</v>
      </c>
      <c r="B25" s="136" t="s">
        <v>247</v>
      </c>
      <c r="C25" s="351">
        <f>'4.mell. - kiadás (2)'!F48</f>
        <v>4665100</v>
      </c>
    </row>
    <row r="26" spans="1:3" ht="21" customHeight="1">
      <c r="A26" s="132" t="s">
        <v>248</v>
      </c>
      <c r="B26" s="140" t="s">
        <v>249</v>
      </c>
      <c r="C26" s="351">
        <f>'4.mell. - kiadás (2)'!G48</f>
        <v>28160327</v>
      </c>
    </row>
    <row r="27" spans="1:3" ht="21" customHeight="1">
      <c r="A27" s="132" t="s">
        <v>250</v>
      </c>
      <c r="B27" s="140" t="s">
        <v>251</v>
      </c>
      <c r="C27" s="351">
        <f>'4.mell. - kiadás (2)'!H48</f>
        <v>3111400</v>
      </c>
    </row>
    <row r="28" spans="1:3" ht="21" customHeight="1">
      <c r="A28" s="132" t="s">
        <v>252</v>
      </c>
      <c r="B28" s="140" t="s">
        <v>253</v>
      </c>
      <c r="C28" s="351"/>
    </row>
    <row r="29" spans="1:3" ht="32.25" customHeight="1">
      <c r="A29" s="132"/>
      <c r="B29" s="100" t="s">
        <v>254</v>
      </c>
      <c r="C29" s="450"/>
    </row>
    <row r="30" spans="1:3" ht="15.75">
      <c r="A30" s="132"/>
      <c r="B30" s="141" t="s">
        <v>255</v>
      </c>
      <c r="C30" s="450">
        <f>'4.mell. - kiadás (2)'!I48-4825255-38415438</f>
        <v>1673800</v>
      </c>
    </row>
    <row r="31" spans="1:5" ht="15.75">
      <c r="A31" s="132"/>
      <c r="B31" s="141" t="s">
        <v>256</v>
      </c>
      <c r="C31" s="439">
        <f>4825255+38415438</f>
        <v>43240693</v>
      </c>
      <c r="E31" s="101"/>
    </row>
    <row r="32" spans="1:6" ht="33.75" customHeight="1">
      <c r="A32" s="318"/>
      <c r="B32" s="319" t="s">
        <v>257</v>
      </c>
      <c r="C32" s="440">
        <f>SUM(C24:C31)</f>
        <v>101430412</v>
      </c>
      <c r="E32" s="101"/>
      <c r="F32" s="101"/>
    </row>
    <row r="33" spans="1:6" ht="86.25" customHeight="1">
      <c r="A33" s="135"/>
      <c r="B33" s="136"/>
      <c r="C33" s="449"/>
      <c r="E33" s="101"/>
      <c r="F33" s="101"/>
    </row>
    <row r="34" spans="1:3" ht="15.75">
      <c r="A34" s="655">
        <v>2</v>
      </c>
      <c r="B34" s="655"/>
      <c r="C34" s="655"/>
    </row>
    <row r="35" spans="1:3" ht="16.5" thickBot="1">
      <c r="A35" s="259"/>
      <c r="B35" s="259"/>
      <c r="C35" s="259"/>
    </row>
    <row r="36" spans="1:3" ht="15.75">
      <c r="A36" s="133" t="s">
        <v>42</v>
      </c>
      <c r="B36" s="128"/>
      <c r="C36" s="448" t="s">
        <v>19</v>
      </c>
    </row>
    <row r="37" spans="1:3" ht="12.75" customHeight="1">
      <c r="A37" s="129"/>
      <c r="B37" s="130" t="s">
        <v>0</v>
      </c>
      <c r="C37" s="447"/>
    </row>
    <row r="38" spans="1:3" ht="21.75" customHeight="1" thickBot="1">
      <c r="A38" s="131" t="s">
        <v>43</v>
      </c>
      <c r="B38" s="134"/>
      <c r="C38" s="446" t="s">
        <v>10</v>
      </c>
    </row>
    <row r="39" spans="1:3" ht="12" customHeight="1">
      <c r="A39" s="146"/>
      <c r="B39" s="265"/>
      <c r="C39" s="443"/>
    </row>
    <row r="40" spans="1:3" ht="21" customHeight="1">
      <c r="A40" s="656" t="s">
        <v>258</v>
      </c>
      <c r="B40" s="656"/>
      <c r="C40" s="656"/>
    </row>
    <row r="41" spans="1:2" ht="21" customHeight="1">
      <c r="A41" s="132" t="s">
        <v>259</v>
      </c>
      <c r="B41" s="59" t="s">
        <v>260</v>
      </c>
    </row>
    <row r="42" spans="1:2" ht="21" customHeight="1">
      <c r="A42" s="132" t="s">
        <v>261</v>
      </c>
      <c r="B42" s="59" t="s">
        <v>262</v>
      </c>
    </row>
    <row r="43" spans="1:2" ht="21" customHeight="1">
      <c r="A43" s="132" t="s">
        <v>263</v>
      </c>
      <c r="B43" s="137" t="s">
        <v>264</v>
      </c>
    </row>
    <row r="44" spans="1:3" ht="31.5" customHeight="1">
      <c r="A44" s="132"/>
      <c r="B44" s="112" t="s">
        <v>265</v>
      </c>
      <c r="C44" s="439">
        <v>61800</v>
      </c>
    </row>
    <row r="45" spans="1:2" ht="21" customHeight="1">
      <c r="A45" s="132"/>
      <c r="B45" s="50" t="s">
        <v>266</v>
      </c>
    </row>
    <row r="46" spans="1:5" ht="30" customHeight="1">
      <c r="A46" s="318"/>
      <c r="B46" s="319" t="s">
        <v>267</v>
      </c>
      <c r="C46" s="440">
        <f>SUM(C41:C45)</f>
        <v>61800</v>
      </c>
      <c r="E46" s="101"/>
    </row>
    <row r="47" spans="1:3" ht="21" customHeight="1">
      <c r="A47" s="132" t="s">
        <v>268</v>
      </c>
      <c r="B47" s="59" t="s">
        <v>269</v>
      </c>
      <c r="C47" s="439">
        <f>'4.mell. - kiadás (2)'!K48</f>
        <v>382397</v>
      </c>
    </row>
    <row r="48" spans="1:3" ht="21" customHeight="1">
      <c r="A48" s="132" t="s">
        <v>270</v>
      </c>
      <c r="B48" s="59" t="s">
        <v>271</v>
      </c>
      <c r="C48" s="439">
        <f>'4.mell. - kiadás (2)'!L48</f>
        <v>10120000</v>
      </c>
    </row>
    <row r="49" spans="1:2" ht="21" customHeight="1">
      <c r="A49" s="132" t="s">
        <v>272</v>
      </c>
      <c r="B49" s="137" t="s">
        <v>273</v>
      </c>
    </row>
    <row r="50" spans="1:3" ht="21" customHeight="1">
      <c r="A50" s="132"/>
      <c r="B50" s="141" t="s">
        <v>274</v>
      </c>
      <c r="C50" s="439">
        <f>'4.mell. - kiadás (2)'!M48</f>
        <v>1200000</v>
      </c>
    </row>
    <row r="51" spans="1:2" ht="21" customHeight="1">
      <c r="A51" s="132"/>
      <c r="B51" s="141" t="s">
        <v>256</v>
      </c>
    </row>
    <row r="52" spans="1:6" s="9" customFormat="1" ht="27.75" customHeight="1" thickBot="1">
      <c r="A52" s="318"/>
      <c r="B52" s="319" t="s">
        <v>275</v>
      </c>
      <c r="C52" s="440">
        <f>SUM(C47:C51)</f>
        <v>11702397</v>
      </c>
      <c r="F52" s="142"/>
    </row>
    <row r="53" spans="1:3" s="9" customFormat="1" ht="24" customHeight="1" thickBot="1">
      <c r="A53" s="143"/>
      <c r="B53" s="144" t="s">
        <v>276</v>
      </c>
      <c r="C53" s="445">
        <f>C23+C46</f>
        <v>52220363</v>
      </c>
    </row>
    <row r="54" spans="1:6" s="9" customFormat="1" ht="22.5" customHeight="1" thickBot="1">
      <c r="A54" s="143"/>
      <c r="B54" s="144" t="s">
        <v>277</v>
      </c>
      <c r="C54" s="445">
        <f>C32+C52</f>
        <v>113132809</v>
      </c>
      <c r="F54" s="142"/>
    </row>
    <row r="55" spans="1:3" s="9" customFormat="1" ht="15.75">
      <c r="A55" s="145"/>
      <c r="B55" s="146"/>
      <c r="C55" s="444"/>
    </row>
    <row r="56" spans="1:3" s="147" customFormat="1" ht="9.75" customHeight="1">
      <c r="A56" s="268"/>
      <c r="B56" s="268"/>
      <c r="C56" s="268"/>
    </row>
    <row r="57" spans="1:3" s="147" customFormat="1" ht="9" customHeight="1">
      <c r="A57" s="146"/>
      <c r="B57" s="153"/>
      <c r="C57" s="443"/>
    </row>
    <row r="58" spans="1:3" ht="20.25" customHeight="1">
      <c r="A58" s="657" t="s">
        <v>278</v>
      </c>
      <c r="B58" s="657"/>
      <c r="C58" s="657"/>
    </row>
    <row r="59" spans="1:3" ht="6.75" customHeight="1">
      <c r="A59" s="148"/>
      <c r="B59" s="148"/>
      <c r="C59" s="148"/>
    </row>
    <row r="60" spans="1:3" ht="20.25" customHeight="1">
      <c r="A60" s="138" t="s">
        <v>279</v>
      </c>
      <c r="B60" s="149" t="s">
        <v>280</v>
      </c>
      <c r="C60" s="441">
        <f>23131431+64122+89764+120000+17000+195900+38415438</f>
        <v>62033655</v>
      </c>
    </row>
    <row r="61" spans="1:3" ht="21" customHeight="1">
      <c r="A61" s="138"/>
      <c r="B61" s="319" t="s">
        <v>281</v>
      </c>
      <c r="C61" s="440">
        <f>SUM(C60:C60)</f>
        <v>62033655</v>
      </c>
    </row>
    <row r="62" spans="1:3" ht="21" customHeight="1">
      <c r="A62" s="135" t="s">
        <v>282</v>
      </c>
      <c r="B62" s="139" t="s">
        <v>473</v>
      </c>
      <c r="C62" s="442">
        <v>1121209</v>
      </c>
    </row>
    <row r="63" spans="1:3" ht="15.75">
      <c r="A63" s="135" t="s">
        <v>284</v>
      </c>
      <c r="B63" s="149" t="s">
        <v>283</v>
      </c>
      <c r="C63" s="441"/>
    </row>
    <row r="64" spans="1:3" ht="15.75">
      <c r="A64" s="132" t="s">
        <v>356</v>
      </c>
      <c r="B64" s="149" t="s">
        <v>285</v>
      </c>
      <c r="C64" s="441"/>
    </row>
    <row r="65" spans="1:3" s="150" customFormat="1" ht="30" customHeight="1" thickBot="1">
      <c r="A65" s="138"/>
      <c r="B65" s="319" t="s">
        <v>286</v>
      </c>
      <c r="C65" s="440">
        <f>SUM(C62:C64)</f>
        <v>1121209</v>
      </c>
    </row>
    <row r="66" spans="1:5" s="150" customFormat="1" ht="37.5" customHeight="1" thickBot="1">
      <c r="A66" s="151"/>
      <c r="B66" s="320" t="s">
        <v>287</v>
      </c>
      <c r="C66" s="321">
        <f>C53+C61</f>
        <v>114254018</v>
      </c>
      <c r="E66" s="152"/>
    </row>
    <row r="67" spans="1:5" ht="34.5" customHeight="1" thickBot="1">
      <c r="A67" s="151"/>
      <c r="B67" s="320" t="s">
        <v>288</v>
      </c>
      <c r="C67" s="321">
        <f>C54+C65</f>
        <v>114254018</v>
      </c>
      <c r="E67" s="152"/>
    </row>
  </sheetData>
  <sheetProtection/>
  <mergeCells count="12">
    <mergeCell ref="A58:C58"/>
    <mergeCell ref="A6:C6"/>
    <mergeCell ref="A7:C7"/>
    <mergeCell ref="A8:C8"/>
    <mergeCell ref="A14:C14"/>
    <mergeCell ref="A2:C2"/>
    <mergeCell ref="A4:C4"/>
    <mergeCell ref="A34:C34"/>
    <mergeCell ref="A40:C40"/>
    <mergeCell ref="A1:C1"/>
    <mergeCell ref="A3:C3"/>
    <mergeCell ref="A5:C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S55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125" style="50" customWidth="1"/>
    <col min="2" max="2" width="43.625" style="50" customWidth="1"/>
    <col min="3" max="14" width="15.375" style="351" customWidth="1"/>
    <col min="15" max="15" width="16.875" style="351" customWidth="1"/>
    <col min="16" max="17" width="15.625" style="50" bestFit="1" customWidth="1"/>
    <col min="18" max="18" width="12.625" style="50" bestFit="1" customWidth="1"/>
    <col min="19" max="16384" width="9.125" style="50" customWidth="1"/>
  </cols>
  <sheetData>
    <row r="1" spans="1:15" ht="15.75">
      <c r="A1" s="541"/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</row>
    <row r="2" spans="1:15" s="102" customFormat="1" ht="15.75">
      <c r="A2" s="542" t="s">
        <v>598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</row>
    <row r="4" spans="2:15" ht="15.75"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</row>
    <row r="5" spans="2:15" ht="15.75">
      <c r="B5" s="516" t="s">
        <v>483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</row>
    <row r="6" spans="2:15" ht="15.75">
      <c r="B6" s="516" t="s">
        <v>41</v>
      </c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</row>
    <row r="7" spans="2:15" ht="15.75">
      <c r="B7" s="516" t="s">
        <v>321</v>
      </c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</row>
    <row r="8" spans="2:15" ht="15.75">
      <c r="B8" s="516" t="s">
        <v>484</v>
      </c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</row>
    <row r="9" spans="3:15" ht="16.5" thickBot="1">
      <c r="C9" s="350"/>
      <c r="D9" s="350"/>
      <c r="E9" s="350"/>
      <c r="F9" s="480"/>
      <c r="G9" s="350"/>
      <c r="H9" s="350"/>
      <c r="I9" s="350"/>
      <c r="J9" s="350"/>
      <c r="O9" s="479" t="s">
        <v>485</v>
      </c>
    </row>
    <row r="10" spans="1:15" ht="15.75">
      <c r="A10" s="180" t="s">
        <v>42</v>
      </c>
      <c r="B10" s="181"/>
      <c r="C10" s="478"/>
      <c r="D10" s="477"/>
      <c r="E10" s="476"/>
      <c r="F10" s="475"/>
      <c r="G10" s="475"/>
      <c r="H10" s="475"/>
      <c r="I10" s="475"/>
      <c r="J10" s="475"/>
      <c r="K10" s="474"/>
      <c r="L10" s="474"/>
      <c r="M10" s="474"/>
      <c r="N10" s="473"/>
      <c r="O10" s="472"/>
    </row>
    <row r="11" spans="1:15" ht="15.75">
      <c r="A11" s="182"/>
      <c r="B11" s="183" t="s">
        <v>0</v>
      </c>
      <c r="C11" s="471" t="s">
        <v>322</v>
      </c>
      <c r="D11" s="470" t="s">
        <v>323</v>
      </c>
      <c r="E11" s="468" t="s">
        <v>324</v>
      </c>
      <c r="F11" s="469" t="s">
        <v>325</v>
      </c>
      <c r="G11" s="469" t="s">
        <v>326</v>
      </c>
      <c r="H11" s="469" t="s">
        <v>327</v>
      </c>
      <c r="I11" s="469" t="s">
        <v>328</v>
      </c>
      <c r="J11" s="469" t="s">
        <v>329</v>
      </c>
      <c r="K11" s="469" t="s">
        <v>330</v>
      </c>
      <c r="L11" s="469" t="s">
        <v>331</v>
      </c>
      <c r="M11" s="469" t="s">
        <v>332</v>
      </c>
      <c r="N11" s="468" t="s">
        <v>333</v>
      </c>
      <c r="O11" s="447" t="s">
        <v>313</v>
      </c>
    </row>
    <row r="12" spans="1:15" ht="16.5" thickBot="1">
      <c r="A12" s="184" t="s">
        <v>43</v>
      </c>
      <c r="B12" s="185"/>
      <c r="C12" s="464"/>
      <c r="D12" s="467"/>
      <c r="E12" s="465"/>
      <c r="F12" s="466"/>
      <c r="G12" s="466"/>
      <c r="H12" s="466"/>
      <c r="I12" s="466"/>
      <c r="J12" s="466"/>
      <c r="K12" s="466"/>
      <c r="L12" s="466"/>
      <c r="M12" s="466"/>
      <c r="N12" s="465"/>
      <c r="O12" s="464"/>
    </row>
    <row r="13" spans="1:15" ht="28.5" customHeight="1">
      <c r="A13" s="186"/>
      <c r="B13" s="187" t="s">
        <v>334</v>
      </c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6"/>
    </row>
    <row r="14" spans="1:15" ht="28.5" customHeight="1">
      <c r="A14" s="186" t="s">
        <v>44</v>
      </c>
      <c r="B14" s="187" t="s">
        <v>335</v>
      </c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6"/>
    </row>
    <row r="15" spans="1:15" ht="28.5" customHeight="1">
      <c r="A15" s="186"/>
      <c r="B15" s="187" t="s">
        <v>336</v>
      </c>
      <c r="C15" s="457">
        <f>2243614+1121805</f>
        <v>3365419</v>
      </c>
      <c r="D15" s="457">
        <v>2243614</v>
      </c>
      <c r="E15" s="457">
        <v>2243614</v>
      </c>
      <c r="F15" s="457">
        <v>2243614</v>
      </c>
      <c r="G15" s="457">
        <v>2243614</v>
      </c>
      <c r="H15" s="457">
        <v>2243614</v>
      </c>
      <c r="I15" s="457">
        <v>2243614</v>
      </c>
      <c r="J15" s="457">
        <v>2243614</v>
      </c>
      <c r="K15" s="457">
        <v>2243614</v>
      </c>
      <c r="L15" s="457">
        <v>2243614</v>
      </c>
      <c r="M15" s="457">
        <v>2243614</v>
      </c>
      <c r="N15" s="457">
        <v>2243614</v>
      </c>
      <c r="O15" s="456">
        <f aca="true" t="shared" si="0" ref="O15:O26">SUM(C15:N15)</f>
        <v>28045173</v>
      </c>
    </row>
    <row r="16" spans="1:15" ht="28.5" customHeight="1">
      <c r="A16" s="186"/>
      <c r="B16" s="187" t="s">
        <v>337</v>
      </c>
      <c r="C16" s="457">
        <f>6252+179682</f>
        <v>185934</v>
      </c>
      <c r="D16" s="457">
        <f>8296+180996</f>
        <v>189292</v>
      </c>
      <c r="E16" s="457">
        <f>8296+180996</f>
        <v>189292</v>
      </c>
      <c r="F16" s="457">
        <f>5002+180996</f>
        <v>185998</v>
      </c>
      <c r="G16" s="457"/>
      <c r="H16" s="457"/>
      <c r="I16" s="457"/>
      <c r="J16" s="457">
        <v>23200</v>
      </c>
      <c r="K16" s="457"/>
      <c r="L16" s="457"/>
      <c r="M16" s="457">
        <v>23200</v>
      </c>
      <c r="N16" s="457"/>
      <c r="O16" s="456">
        <f t="shared" si="0"/>
        <v>796916</v>
      </c>
    </row>
    <row r="17" spans="1:15" ht="15.75">
      <c r="A17" s="186" t="s">
        <v>45</v>
      </c>
      <c r="B17" s="187" t="s">
        <v>338</v>
      </c>
      <c r="C17" s="457">
        <f>(12+44+32+31)*1000</f>
        <v>119000</v>
      </c>
      <c r="D17" s="457">
        <f>(19+12+118+253+31)*1000</f>
        <v>433000</v>
      </c>
      <c r="E17" s="457">
        <f>(1127+11+620+382+31)*1000</f>
        <v>2171000</v>
      </c>
      <c r="F17" s="457">
        <f>(9+12+76+34+31+200)*1000</f>
        <v>362000</v>
      </c>
      <c r="G17" s="457">
        <f>(408+12+48+35+31-200)*1000</f>
        <v>334000</v>
      </c>
      <c r="H17" s="457">
        <f>(46+12+20+19+31)*1000</f>
        <v>128000</v>
      </c>
      <c r="I17" s="457">
        <f>(12+2+2+31)*1000</f>
        <v>47000</v>
      </c>
      <c r="J17" s="457">
        <f>(12+237+346+31)*1000</f>
        <v>626000</v>
      </c>
      <c r="K17" s="457">
        <f>(1188+11+601+335+31)*1000</f>
        <v>2166000</v>
      </c>
      <c r="L17" s="457">
        <f>(10+12+27+35+31)*1000</f>
        <v>115000</v>
      </c>
      <c r="M17" s="457">
        <f>(852+11+76+12+31)*1000</f>
        <v>982000</v>
      </c>
      <c r="N17" s="457">
        <f>(241+11+34+15+29)*1000</f>
        <v>330000</v>
      </c>
      <c r="O17" s="456">
        <f t="shared" si="0"/>
        <v>7813000</v>
      </c>
    </row>
    <row r="18" spans="1:18" ht="15.75">
      <c r="A18" s="186" t="s">
        <v>105</v>
      </c>
      <c r="B18" s="187" t="s">
        <v>339</v>
      </c>
      <c r="C18" s="457">
        <v>853000</v>
      </c>
      <c r="D18" s="457">
        <v>853000</v>
      </c>
      <c r="E18" s="457">
        <v>870000</v>
      </c>
      <c r="F18" s="457">
        <v>829000</v>
      </c>
      <c r="G18" s="457">
        <f>1292000+4825255</f>
        <v>6117255</v>
      </c>
      <c r="H18" s="457">
        <v>850000</v>
      </c>
      <c r="I18" s="457">
        <v>880000</v>
      </c>
      <c r="J18" s="457">
        <v>820000</v>
      </c>
      <c r="K18" s="457">
        <v>850000</v>
      </c>
      <c r="L18" s="457">
        <v>850000</v>
      </c>
      <c r="M18" s="457">
        <v>850000</v>
      </c>
      <c r="N18" s="457">
        <f>850000+31219</f>
        <v>881219</v>
      </c>
      <c r="O18" s="456">
        <f t="shared" si="0"/>
        <v>15503474</v>
      </c>
      <c r="Q18" s="198"/>
      <c r="R18" s="198"/>
    </row>
    <row r="19" spans="1:15" ht="15.75">
      <c r="A19" s="186" t="s">
        <v>106</v>
      </c>
      <c r="B19" s="188" t="s">
        <v>340</v>
      </c>
      <c r="C19" s="463">
        <v>5000</v>
      </c>
      <c r="D19" s="463">
        <v>6000</v>
      </c>
      <c r="E19" s="463">
        <v>5000</v>
      </c>
      <c r="F19" s="463">
        <v>5000</v>
      </c>
      <c r="G19" s="463">
        <v>5000</v>
      </c>
      <c r="H19" s="463">
        <v>5000</v>
      </c>
      <c r="I19" s="463">
        <v>5000</v>
      </c>
      <c r="J19" s="463">
        <v>5000</v>
      </c>
      <c r="K19" s="463">
        <v>5000</v>
      </c>
      <c r="L19" s="463">
        <v>5800</v>
      </c>
      <c r="M19" s="463">
        <v>5000</v>
      </c>
      <c r="N19" s="463">
        <v>5000</v>
      </c>
      <c r="O19" s="456">
        <f t="shared" si="0"/>
        <v>61800</v>
      </c>
    </row>
    <row r="20" spans="1:15" ht="15.75">
      <c r="A20" s="186" t="s">
        <v>112</v>
      </c>
      <c r="B20" s="188" t="s">
        <v>242</v>
      </c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1"/>
      <c r="O20" s="456">
        <f t="shared" si="0"/>
        <v>0</v>
      </c>
    </row>
    <row r="21" spans="1:15" ht="31.5">
      <c r="A21" s="186"/>
      <c r="B21" s="187" t="s">
        <v>341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60"/>
      <c r="O21" s="456">
        <f t="shared" si="0"/>
        <v>0</v>
      </c>
    </row>
    <row r="22" spans="1:15" ht="17.25" customHeight="1">
      <c r="A22" s="186"/>
      <c r="B22" s="187" t="s">
        <v>342</v>
      </c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60"/>
      <c r="O22" s="456">
        <f t="shared" si="0"/>
        <v>0</v>
      </c>
    </row>
    <row r="23" spans="1:15" ht="15.75">
      <c r="A23" s="186" t="s">
        <v>248</v>
      </c>
      <c r="B23" s="188" t="s">
        <v>343</v>
      </c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60"/>
      <c r="O23" s="456">
        <f t="shared" si="0"/>
        <v>0</v>
      </c>
    </row>
    <row r="24" spans="1:15" ht="47.25">
      <c r="A24" s="186"/>
      <c r="B24" s="197" t="s">
        <v>344</v>
      </c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60"/>
      <c r="O24" s="456">
        <f t="shared" si="0"/>
        <v>0</v>
      </c>
    </row>
    <row r="25" spans="1:15" ht="15.75">
      <c r="A25" s="186"/>
      <c r="B25" s="187" t="s">
        <v>345</v>
      </c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60"/>
      <c r="O25" s="456">
        <f t="shared" si="0"/>
        <v>0</v>
      </c>
    </row>
    <row r="26" spans="1:15" ht="15.75">
      <c r="A26" s="186" t="s">
        <v>250</v>
      </c>
      <c r="B26" s="188" t="s">
        <v>346</v>
      </c>
      <c r="C26" s="459"/>
      <c r="D26" s="459">
        <v>23131431</v>
      </c>
      <c r="E26" s="459">
        <f>64122+89764+17000</f>
        <v>170886</v>
      </c>
      <c r="F26" s="459">
        <f>120000+195900</f>
        <v>315900</v>
      </c>
      <c r="G26" s="459">
        <v>38415438</v>
      </c>
      <c r="H26" s="459"/>
      <c r="I26" s="459"/>
      <c r="J26" s="459"/>
      <c r="K26" s="459"/>
      <c r="L26" s="459"/>
      <c r="M26" s="459"/>
      <c r="N26" s="460"/>
      <c r="O26" s="456">
        <f t="shared" si="0"/>
        <v>62033655</v>
      </c>
    </row>
    <row r="27" spans="1:15" ht="16.5" thickBot="1">
      <c r="A27" s="189" t="s">
        <v>252</v>
      </c>
      <c r="B27" s="190" t="s">
        <v>347</v>
      </c>
      <c r="C27" s="459"/>
      <c r="D27" s="459">
        <f aca="true" t="shared" si="1" ref="D27:N27">C49</f>
        <v>-20744</v>
      </c>
      <c r="E27" s="459">
        <f t="shared" si="1"/>
        <v>20287850</v>
      </c>
      <c r="F27" s="459">
        <f t="shared" si="1"/>
        <v>11015869</v>
      </c>
      <c r="G27" s="459">
        <f t="shared" si="1"/>
        <v>9758786</v>
      </c>
      <c r="H27" s="459">
        <f t="shared" si="1"/>
        <v>47687038</v>
      </c>
      <c r="I27" s="459">
        <f t="shared" si="1"/>
        <v>6716414</v>
      </c>
      <c r="J27" s="459">
        <f t="shared" si="1"/>
        <v>5295228</v>
      </c>
      <c r="K27" s="459">
        <f t="shared" si="1"/>
        <v>3441242</v>
      </c>
      <c r="L27" s="459">
        <f t="shared" si="1"/>
        <v>4149056</v>
      </c>
      <c r="M27" s="459">
        <f t="shared" si="1"/>
        <v>2736970</v>
      </c>
      <c r="N27" s="459">
        <f t="shared" si="1"/>
        <v>2218584</v>
      </c>
      <c r="O27" s="456"/>
    </row>
    <row r="28" spans="1:16" s="18" customFormat="1" ht="27.75" customHeight="1" thickBot="1">
      <c r="A28" s="191"/>
      <c r="B28" s="191" t="s">
        <v>348</v>
      </c>
      <c r="C28" s="455">
        <f aca="true" t="shared" si="2" ref="C28:N28">SUM(C15:C27)</f>
        <v>4528353</v>
      </c>
      <c r="D28" s="455">
        <f t="shared" si="2"/>
        <v>26835593</v>
      </c>
      <c r="E28" s="455">
        <f t="shared" si="2"/>
        <v>25937642</v>
      </c>
      <c r="F28" s="455">
        <f t="shared" si="2"/>
        <v>14957381</v>
      </c>
      <c r="G28" s="455">
        <f t="shared" si="2"/>
        <v>56874093</v>
      </c>
      <c r="H28" s="455">
        <f t="shared" si="2"/>
        <v>50913652</v>
      </c>
      <c r="I28" s="455">
        <f t="shared" si="2"/>
        <v>9892028</v>
      </c>
      <c r="J28" s="455">
        <f t="shared" si="2"/>
        <v>9013042</v>
      </c>
      <c r="K28" s="455">
        <f t="shared" si="2"/>
        <v>8705856</v>
      </c>
      <c r="L28" s="455">
        <f t="shared" si="2"/>
        <v>7363470</v>
      </c>
      <c r="M28" s="455">
        <f t="shared" si="2"/>
        <v>6840784</v>
      </c>
      <c r="N28" s="455">
        <f t="shared" si="2"/>
        <v>5678417</v>
      </c>
      <c r="O28" s="454">
        <f>SUM(O14:O27)</f>
        <v>114254018</v>
      </c>
      <c r="P28" s="107"/>
    </row>
    <row r="29" spans="1:15" ht="15.75">
      <c r="A29" s="192"/>
      <c r="B29" s="193" t="s">
        <v>349</v>
      </c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8"/>
    </row>
    <row r="30" spans="1:17" ht="15.75">
      <c r="A30" s="186" t="s">
        <v>259</v>
      </c>
      <c r="B30" s="188" t="s">
        <v>189</v>
      </c>
      <c r="C30" s="457">
        <f>1635000+6242+158310</f>
        <v>1799552</v>
      </c>
      <c r="D30" s="457">
        <f>1635000+6241+163060+17000</f>
        <v>1821301</v>
      </c>
      <c r="E30" s="457">
        <f>1635000+6242+163060+74764</f>
        <v>1879066</v>
      </c>
      <c r="F30" s="457">
        <f>1635000+4100+163060</f>
        <v>1802160</v>
      </c>
      <c r="G30" s="457">
        <f>195900+1635000</f>
        <v>1830900</v>
      </c>
      <c r="H30" s="457">
        <v>1635000</v>
      </c>
      <c r="I30" s="457">
        <v>1635000</v>
      </c>
      <c r="J30" s="457">
        <v>1635000</v>
      </c>
      <c r="K30" s="457">
        <v>1635000</v>
      </c>
      <c r="L30" s="457">
        <v>1635000</v>
      </c>
      <c r="M30" s="457">
        <v>1635000</v>
      </c>
      <c r="N30" s="457">
        <f>1635000+1113</f>
        <v>1636113</v>
      </c>
      <c r="O30" s="456">
        <f>SUM(C30:N30)</f>
        <v>20579092</v>
      </c>
      <c r="P30" s="198"/>
      <c r="Q30" s="198"/>
    </row>
    <row r="31" spans="1:17" ht="31.5">
      <c r="A31" s="186" t="s">
        <v>261</v>
      </c>
      <c r="B31" s="197" t="s">
        <v>350</v>
      </c>
      <c r="C31" s="457">
        <f>380800+1373+21372</f>
        <v>403545</v>
      </c>
      <c r="D31" s="457">
        <f>380800+1373+17938</f>
        <v>400111</v>
      </c>
      <c r="E31" s="457">
        <f>380800+1373+17934</f>
        <v>400107</v>
      </c>
      <c r="F31" s="457">
        <f>380800+902+17936+15000</f>
        <v>414638</v>
      </c>
      <c r="G31" s="457">
        <v>380800</v>
      </c>
      <c r="H31" s="457">
        <v>380800</v>
      </c>
      <c r="I31" s="457">
        <v>380800</v>
      </c>
      <c r="J31" s="457">
        <v>380800</v>
      </c>
      <c r="K31" s="457">
        <v>380800</v>
      </c>
      <c r="L31" s="457">
        <v>380800</v>
      </c>
      <c r="M31" s="457">
        <v>380800</v>
      </c>
      <c r="N31" s="457">
        <f>380800+299</f>
        <v>381099</v>
      </c>
      <c r="O31" s="456">
        <f>SUM(C31:N31)</f>
        <v>4665100</v>
      </c>
      <c r="Q31" s="198"/>
    </row>
    <row r="32" spans="1:17" ht="15.75">
      <c r="A32" s="186" t="s">
        <v>263</v>
      </c>
      <c r="B32" s="188" t="s">
        <v>191</v>
      </c>
      <c r="C32" s="457">
        <f>2391000-270000</f>
        <v>2121000</v>
      </c>
      <c r="D32" s="457">
        <f>2391000+64122</f>
        <v>2455122</v>
      </c>
      <c r="E32" s="457">
        <v>2391000</v>
      </c>
      <c r="F32" s="457">
        <v>2391000</v>
      </c>
      <c r="G32" s="457">
        <f>2391000-600000</f>
        <v>1791000</v>
      </c>
      <c r="H32" s="457">
        <v>2391000</v>
      </c>
      <c r="I32" s="457">
        <v>2391000</v>
      </c>
      <c r="J32" s="457">
        <v>2391000</v>
      </c>
      <c r="K32" s="457">
        <v>2391000</v>
      </c>
      <c r="L32" s="457">
        <v>2391000</v>
      </c>
      <c r="M32" s="457">
        <v>2395000</v>
      </c>
      <c r="N32" s="457">
        <f>2391000+205+270000</f>
        <v>2661205</v>
      </c>
      <c r="O32" s="456">
        <f>SUM(C32:N32)</f>
        <v>28160327</v>
      </c>
      <c r="P32" s="198"/>
      <c r="Q32" s="198"/>
    </row>
    <row r="33" spans="1:15" ht="15.75">
      <c r="A33" s="186" t="s">
        <v>268</v>
      </c>
      <c r="B33" s="188" t="s">
        <v>192</v>
      </c>
      <c r="C33" s="457">
        <f>150000+25000</f>
        <v>175000</v>
      </c>
      <c r="D33" s="457">
        <v>150000</v>
      </c>
      <c r="E33" s="457">
        <v>150000</v>
      </c>
      <c r="F33" s="457">
        <v>150000</v>
      </c>
      <c r="G33" s="457">
        <v>150000</v>
      </c>
      <c r="H33" s="457">
        <v>150000</v>
      </c>
      <c r="I33" s="457">
        <v>150000</v>
      </c>
      <c r="J33" s="457">
        <f>150000+350000+25000</f>
        <v>525000</v>
      </c>
      <c r="K33" s="457">
        <v>150000</v>
      </c>
      <c r="L33" s="457">
        <v>150000</v>
      </c>
      <c r="M33" s="457">
        <f>150000+61400</f>
        <v>211400</v>
      </c>
      <c r="N33" s="457">
        <v>1000000</v>
      </c>
      <c r="O33" s="456">
        <f>SUM(C33:N33)</f>
        <v>3111400</v>
      </c>
    </row>
    <row r="34" spans="1:15" ht="15.75">
      <c r="A34" s="186" t="s">
        <v>270</v>
      </c>
      <c r="B34" s="188" t="s">
        <v>351</v>
      </c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6"/>
    </row>
    <row r="35" spans="1:15" ht="15.75">
      <c r="A35" s="186"/>
      <c r="B35" s="188" t="s">
        <v>352</v>
      </c>
      <c r="C35" s="457"/>
      <c r="D35" s="457"/>
      <c r="E35" s="457"/>
      <c r="F35" s="457"/>
      <c r="G35" s="457"/>
      <c r="H35" s="457">
        <v>600000</v>
      </c>
      <c r="I35" s="457"/>
      <c r="J35" s="457"/>
      <c r="K35" s="457"/>
      <c r="L35" s="457"/>
      <c r="M35" s="457"/>
      <c r="N35" s="457"/>
      <c r="O35" s="456">
        <f aca="true" t="shared" si="3" ref="O35:O47">SUM(C35:N35)</f>
        <v>600000</v>
      </c>
    </row>
    <row r="36" spans="1:16" ht="15.75">
      <c r="A36" s="186"/>
      <c r="B36" s="188" t="s">
        <v>353</v>
      </c>
      <c r="C36" s="457">
        <v>50000</v>
      </c>
      <c r="D36" s="457"/>
      <c r="E36" s="457"/>
      <c r="F36" s="457">
        <v>40000</v>
      </c>
      <c r="G36" s="457">
        <v>209100</v>
      </c>
      <c r="H36" s="457">
        <f>675000-25000-25000</f>
        <v>625000</v>
      </c>
      <c r="I36" s="457">
        <v>40000</v>
      </c>
      <c r="J36" s="457">
        <v>40000</v>
      </c>
      <c r="K36" s="457"/>
      <c r="L36" s="457">
        <v>69700</v>
      </c>
      <c r="M36" s="457"/>
      <c r="N36" s="457"/>
      <c r="O36" s="456">
        <f t="shared" si="3"/>
        <v>1073800</v>
      </c>
      <c r="P36" s="198"/>
    </row>
    <row r="37" spans="1:15" ht="15.75">
      <c r="A37" s="186" t="s">
        <v>272</v>
      </c>
      <c r="B37" s="188" t="s">
        <v>195</v>
      </c>
      <c r="C37" s="457"/>
      <c r="D37" s="457"/>
      <c r="E37" s="457">
        <v>101600</v>
      </c>
      <c r="F37" s="457">
        <f>179959+51816+9144+13208+26670</f>
        <v>280797</v>
      </c>
      <c r="G37" s="457"/>
      <c r="H37" s="457"/>
      <c r="I37" s="457"/>
      <c r="J37" s="457"/>
      <c r="K37" s="457"/>
      <c r="L37" s="457"/>
      <c r="M37" s="457"/>
      <c r="N37" s="457"/>
      <c r="O37" s="456">
        <f t="shared" si="3"/>
        <v>382397</v>
      </c>
    </row>
    <row r="38" spans="1:15" ht="15.75">
      <c r="A38" s="186" t="s">
        <v>279</v>
      </c>
      <c r="B38" s="188" t="s">
        <v>78</v>
      </c>
      <c r="C38" s="457"/>
      <c r="D38" s="457"/>
      <c r="E38" s="457">
        <v>10000000</v>
      </c>
      <c r="F38" s="457">
        <v>120000</v>
      </c>
      <c r="G38" s="457"/>
      <c r="H38" s="457"/>
      <c r="I38" s="457"/>
      <c r="J38" s="457"/>
      <c r="K38" s="457"/>
      <c r="L38" s="457"/>
      <c r="M38" s="457"/>
      <c r="N38" s="457"/>
      <c r="O38" s="456">
        <f t="shared" si="3"/>
        <v>10120000</v>
      </c>
    </row>
    <row r="39" spans="1:15" ht="20.25" customHeight="1">
      <c r="A39" s="186" t="s">
        <v>282</v>
      </c>
      <c r="B39" s="188" t="s">
        <v>273</v>
      </c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6">
        <f t="shared" si="3"/>
        <v>0</v>
      </c>
    </row>
    <row r="40" spans="1:15" ht="20.25" customHeight="1">
      <c r="A40" s="186"/>
      <c r="B40" s="188" t="s">
        <v>352</v>
      </c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6">
        <f t="shared" si="3"/>
        <v>0</v>
      </c>
    </row>
    <row r="41" spans="1:15" ht="15.75">
      <c r="A41" s="186"/>
      <c r="B41" s="188" t="s">
        <v>353</v>
      </c>
      <c r="C41" s="457"/>
      <c r="D41" s="457">
        <v>600000</v>
      </c>
      <c r="E41" s="457"/>
      <c r="F41" s="457"/>
      <c r="G41" s="457"/>
      <c r="H41" s="457"/>
      <c r="I41" s="457"/>
      <c r="J41" s="457">
        <v>600000</v>
      </c>
      <c r="K41" s="457"/>
      <c r="L41" s="457"/>
      <c r="M41" s="457"/>
      <c r="N41" s="457"/>
      <c r="O41" s="456">
        <f t="shared" si="3"/>
        <v>1200000</v>
      </c>
    </row>
    <row r="42" spans="1:15" ht="15.75">
      <c r="A42" s="186" t="s">
        <v>284</v>
      </c>
      <c r="B42" s="188" t="s">
        <v>188</v>
      </c>
      <c r="C42" s="457"/>
      <c r="D42" s="457"/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6">
        <f t="shared" si="3"/>
        <v>0</v>
      </c>
    </row>
    <row r="43" spans="1:15" ht="15.75">
      <c r="A43" s="186"/>
      <c r="B43" s="269" t="s">
        <v>475</v>
      </c>
      <c r="C43" s="457"/>
      <c r="D43" s="457">
        <v>1121209</v>
      </c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6">
        <f t="shared" si="3"/>
        <v>1121209</v>
      </c>
    </row>
    <row r="44" spans="1:15" ht="15.75">
      <c r="A44" s="186"/>
      <c r="B44" s="188" t="s">
        <v>354</v>
      </c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6">
        <f t="shared" si="3"/>
        <v>0</v>
      </c>
    </row>
    <row r="45" spans="1:15" ht="15.75">
      <c r="A45" s="186"/>
      <c r="B45" s="188" t="s">
        <v>355</v>
      </c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6">
        <f t="shared" si="3"/>
        <v>0</v>
      </c>
    </row>
    <row r="46" spans="1:16" ht="15.75">
      <c r="A46" s="186" t="s">
        <v>356</v>
      </c>
      <c r="B46" s="188" t="s">
        <v>357</v>
      </c>
      <c r="C46" s="457"/>
      <c r="D46" s="457"/>
      <c r="E46" s="457"/>
      <c r="F46" s="457"/>
      <c r="G46" s="457">
        <v>4825255</v>
      </c>
      <c r="H46" s="457">
        <v>38415438</v>
      </c>
      <c r="I46" s="457"/>
      <c r="J46" s="457"/>
      <c r="K46" s="457"/>
      <c r="L46" s="457"/>
      <c r="M46" s="457"/>
      <c r="N46" s="457"/>
      <c r="O46" s="456">
        <f t="shared" si="3"/>
        <v>43240693</v>
      </c>
      <c r="P46" s="198"/>
    </row>
    <row r="47" spans="1:15" ht="16.5" thickBot="1">
      <c r="A47" s="189" t="s">
        <v>358</v>
      </c>
      <c r="B47" s="190" t="s">
        <v>359</v>
      </c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6">
        <f t="shared" si="3"/>
        <v>0</v>
      </c>
    </row>
    <row r="48" spans="1:19" s="18" customFormat="1" ht="24" customHeight="1" thickBot="1">
      <c r="A48" s="191"/>
      <c r="B48" s="191" t="s">
        <v>360</v>
      </c>
      <c r="C48" s="455">
        <f aca="true" t="shared" si="4" ref="C48:O48">SUM(C30:C47)</f>
        <v>4549097</v>
      </c>
      <c r="D48" s="455">
        <f t="shared" si="4"/>
        <v>6547743</v>
      </c>
      <c r="E48" s="455">
        <f t="shared" si="4"/>
        <v>14921773</v>
      </c>
      <c r="F48" s="455">
        <f t="shared" si="4"/>
        <v>5198595</v>
      </c>
      <c r="G48" s="455">
        <f t="shared" si="4"/>
        <v>9187055</v>
      </c>
      <c r="H48" s="455">
        <f t="shared" si="4"/>
        <v>44197238</v>
      </c>
      <c r="I48" s="455">
        <f t="shared" si="4"/>
        <v>4596800</v>
      </c>
      <c r="J48" s="455">
        <f t="shared" si="4"/>
        <v>5571800</v>
      </c>
      <c r="K48" s="455">
        <f t="shared" si="4"/>
        <v>4556800</v>
      </c>
      <c r="L48" s="455">
        <f t="shared" si="4"/>
        <v>4626500</v>
      </c>
      <c r="M48" s="455">
        <f t="shared" si="4"/>
        <v>4622200</v>
      </c>
      <c r="N48" s="455">
        <f t="shared" si="4"/>
        <v>5678417</v>
      </c>
      <c r="O48" s="454">
        <f t="shared" si="4"/>
        <v>114254018</v>
      </c>
      <c r="S48" s="194"/>
    </row>
    <row r="49" spans="1:15" ht="26.25" customHeight="1" thickBot="1">
      <c r="A49" s="195"/>
      <c r="B49" s="196" t="s">
        <v>361</v>
      </c>
      <c r="C49" s="453">
        <f aca="true" t="shared" si="5" ref="C49:N49">C28-C48</f>
        <v>-20744</v>
      </c>
      <c r="D49" s="453">
        <f t="shared" si="5"/>
        <v>20287850</v>
      </c>
      <c r="E49" s="453">
        <f t="shared" si="5"/>
        <v>11015869</v>
      </c>
      <c r="F49" s="453">
        <f t="shared" si="5"/>
        <v>9758786</v>
      </c>
      <c r="G49" s="453">
        <f t="shared" si="5"/>
        <v>47687038</v>
      </c>
      <c r="H49" s="453">
        <f t="shared" si="5"/>
        <v>6716414</v>
      </c>
      <c r="I49" s="453">
        <f t="shared" si="5"/>
        <v>5295228</v>
      </c>
      <c r="J49" s="453">
        <f t="shared" si="5"/>
        <v>3441242</v>
      </c>
      <c r="K49" s="453">
        <f t="shared" si="5"/>
        <v>4149056</v>
      </c>
      <c r="L49" s="453">
        <f t="shared" si="5"/>
        <v>2736970</v>
      </c>
      <c r="M49" s="453">
        <f t="shared" si="5"/>
        <v>2218584</v>
      </c>
      <c r="N49" s="453">
        <f t="shared" si="5"/>
        <v>0</v>
      </c>
      <c r="O49" s="452"/>
    </row>
    <row r="51" spans="3:15" ht="15.75"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</row>
    <row r="52" ht="15.75">
      <c r="O52" s="451"/>
    </row>
    <row r="53" ht="15.75">
      <c r="O53" s="451"/>
    </row>
    <row r="54" ht="15.75">
      <c r="O54" s="451"/>
    </row>
    <row r="55" ht="15.75">
      <c r="O55" s="451"/>
    </row>
  </sheetData>
  <sheetProtection/>
  <mergeCells count="7">
    <mergeCell ref="A1:O1"/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E28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75390625" style="25" customWidth="1"/>
    <col min="2" max="2" width="56.25390625" style="25" customWidth="1"/>
    <col min="3" max="3" width="17.875" style="25" customWidth="1"/>
    <col min="4" max="4" width="4.875" style="25" customWidth="1"/>
    <col min="5" max="16384" width="9.125" style="25" customWidth="1"/>
  </cols>
  <sheetData>
    <row r="1" spans="1:5" ht="15.75">
      <c r="A1" s="541" t="s">
        <v>511</v>
      </c>
      <c r="B1" s="541"/>
      <c r="C1" s="541"/>
      <c r="D1" s="102"/>
      <c r="E1" s="24"/>
    </row>
    <row r="2" spans="1:5" ht="15.75">
      <c r="A2" s="26"/>
      <c r="B2" s="26"/>
      <c r="C2" s="26"/>
      <c r="D2" s="27"/>
      <c r="E2" s="24"/>
    </row>
    <row r="3" spans="1:5" ht="12.75" customHeight="1">
      <c r="A3" s="27"/>
      <c r="B3" s="27"/>
      <c r="C3" s="27"/>
      <c r="D3" s="27"/>
      <c r="E3" s="24"/>
    </row>
    <row r="4" spans="1:5" ht="15.75">
      <c r="A4" s="659" t="s">
        <v>4</v>
      </c>
      <c r="B4" s="659"/>
      <c r="C4" s="659"/>
      <c r="D4" s="659"/>
      <c r="E4" s="24"/>
    </row>
    <row r="5" spans="1:5" ht="15.75">
      <c r="A5" s="659" t="s">
        <v>24</v>
      </c>
      <c r="B5" s="659"/>
      <c r="C5" s="659"/>
      <c r="D5" s="659"/>
      <c r="E5" s="24"/>
    </row>
    <row r="6" spans="1:5" ht="15.75">
      <c r="A6" s="659" t="s">
        <v>512</v>
      </c>
      <c r="B6" s="659"/>
      <c r="C6" s="659"/>
      <c r="D6" s="659"/>
      <c r="E6" s="24"/>
    </row>
    <row r="7" spans="1:5" ht="15.75">
      <c r="A7" s="26"/>
      <c r="B7" s="26"/>
      <c r="C7" s="26"/>
      <c r="D7" s="24"/>
      <c r="E7" s="24"/>
    </row>
    <row r="8" spans="1:5" ht="15.75">
      <c r="A8" s="26"/>
      <c r="B8" s="26"/>
      <c r="C8" s="26"/>
      <c r="D8" s="24"/>
      <c r="E8" s="24"/>
    </row>
    <row r="9" spans="1:5" ht="15.75">
      <c r="A9" s="26"/>
      <c r="B9" s="26"/>
      <c r="C9" s="26"/>
      <c r="D9" s="24"/>
      <c r="E9" s="24"/>
    </row>
    <row r="10" spans="1:5" ht="15.75">
      <c r="A10" s="26"/>
      <c r="B10" s="26"/>
      <c r="C10" s="26"/>
      <c r="D10" s="24"/>
      <c r="E10" s="24"/>
    </row>
    <row r="11" spans="1:5" ht="15.75">
      <c r="A11" s="26"/>
      <c r="B11" s="28" t="s">
        <v>12</v>
      </c>
      <c r="C11" s="26"/>
      <c r="D11" s="24"/>
      <c r="E11" s="24"/>
    </row>
    <row r="12" spans="1:5" ht="10.5" customHeight="1">
      <c r="A12" s="26"/>
      <c r="B12" s="28"/>
      <c r="C12" s="26"/>
      <c r="D12" s="24"/>
      <c r="E12" s="24"/>
    </row>
    <row r="13" spans="1:5" ht="12" customHeight="1">
      <c r="A13" s="26"/>
      <c r="B13" s="28"/>
      <c r="C13" s="29"/>
      <c r="D13" s="24"/>
      <c r="E13" s="24"/>
    </row>
    <row r="14" spans="1:3" s="33" customFormat="1" ht="15">
      <c r="A14" s="30"/>
      <c r="B14" s="31" t="s">
        <v>13</v>
      </c>
      <c r="C14" s="32"/>
    </row>
    <row r="15" spans="1:5" ht="19.5" customHeight="1">
      <c r="A15" s="34"/>
      <c r="B15" s="24" t="s">
        <v>14</v>
      </c>
      <c r="C15" s="35">
        <v>1845000</v>
      </c>
      <c r="D15" s="24" t="s">
        <v>1</v>
      </c>
      <c r="E15" s="24"/>
    </row>
    <row r="16" spans="1:5" ht="19.5" customHeight="1">
      <c r="A16" s="24"/>
      <c r="B16" s="27" t="s">
        <v>15</v>
      </c>
      <c r="C16" s="36">
        <f>SUM(C15)</f>
        <v>1845000</v>
      </c>
      <c r="D16" s="27" t="s">
        <v>1</v>
      </c>
      <c r="E16" s="24"/>
    </row>
    <row r="17" spans="1:5" ht="19.5" customHeight="1">
      <c r="A17" s="24"/>
      <c r="B17" s="27"/>
      <c r="C17" s="36"/>
      <c r="D17" s="27"/>
      <c r="E17" s="24"/>
    </row>
    <row r="18" spans="1:5" ht="19.5" customHeight="1">
      <c r="A18" s="24"/>
      <c r="B18" s="27"/>
      <c r="C18" s="36"/>
      <c r="D18" s="27"/>
      <c r="E18" s="24"/>
    </row>
    <row r="19" spans="1:5" ht="10.5" customHeight="1">
      <c r="A19" s="24"/>
      <c r="B19" s="27"/>
      <c r="C19" s="36"/>
      <c r="D19" s="27"/>
      <c r="E19" s="24"/>
    </row>
    <row r="20" spans="1:5" ht="15.75">
      <c r="A20" s="24"/>
      <c r="B20" s="89"/>
      <c r="C20" s="24"/>
      <c r="D20" s="24"/>
      <c r="E20" s="24"/>
    </row>
    <row r="21" spans="1:5" ht="15.75">
      <c r="A21" s="24"/>
      <c r="B21" s="24"/>
      <c r="C21" s="24"/>
      <c r="D21" s="24"/>
      <c r="E21" s="24"/>
    </row>
    <row r="22" spans="1:5" ht="15.75">
      <c r="A22" s="24"/>
      <c r="B22" s="24"/>
      <c r="C22" s="24"/>
      <c r="D22" s="24"/>
      <c r="E22" s="24"/>
    </row>
    <row r="23" spans="1:5" ht="15.75">
      <c r="A23" s="24"/>
      <c r="B23" s="24"/>
      <c r="C23" s="24"/>
      <c r="D23" s="24"/>
      <c r="E23" s="24"/>
    </row>
    <row r="24" spans="1:5" ht="15.75">
      <c r="A24" s="24"/>
      <c r="B24" s="24"/>
      <c r="C24" s="24"/>
      <c r="D24" s="24"/>
      <c r="E24" s="24"/>
    </row>
    <row r="25" spans="1:5" ht="15.75">
      <c r="A25" s="24"/>
      <c r="B25" s="24"/>
      <c r="C25" s="24"/>
      <c r="D25" s="24"/>
      <c r="E25" s="24"/>
    </row>
    <row r="26" spans="1:5" ht="15.75">
      <c r="A26" s="24"/>
      <c r="B26" s="24"/>
      <c r="C26" s="24"/>
      <c r="D26" s="24"/>
      <c r="E26" s="24"/>
    </row>
    <row r="27" spans="1:5" ht="15.75">
      <c r="A27" s="24"/>
      <c r="B27" s="24"/>
      <c r="C27" s="24"/>
      <c r="D27" s="24"/>
      <c r="E27" s="24"/>
    </row>
    <row r="28" spans="1:5" ht="15.75">
      <c r="A28" s="24"/>
      <c r="B28" s="24"/>
      <c r="C28" s="24"/>
      <c r="D28" s="24"/>
      <c r="E28" s="24"/>
    </row>
  </sheetData>
  <sheetProtection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G19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5" width="11.875" style="1" customWidth="1"/>
    <col min="6" max="6" width="12.375" style="1" customWidth="1"/>
    <col min="7" max="16384" width="9.125" style="1" customWidth="1"/>
  </cols>
  <sheetData>
    <row r="1" spans="1:6" ht="15.75">
      <c r="A1" s="102" t="s">
        <v>476</v>
      </c>
      <c r="C1" s="660"/>
      <c r="D1" s="660"/>
      <c r="E1" s="660"/>
      <c r="F1" s="660"/>
    </row>
    <row r="3" spans="1:6" ht="12.75">
      <c r="A3" s="517"/>
      <c r="B3" s="517"/>
      <c r="C3" s="517"/>
      <c r="D3" s="517"/>
      <c r="E3" s="517"/>
      <c r="F3" s="517"/>
    </row>
    <row r="4" spans="1:7" ht="14.25">
      <c r="A4" s="654"/>
      <c r="B4" s="654"/>
      <c r="C4" s="654"/>
      <c r="D4" s="654"/>
      <c r="E4" s="654"/>
      <c r="F4" s="654"/>
      <c r="G4" s="67"/>
    </row>
    <row r="5" spans="1:7" ht="14.25">
      <c r="A5" s="654" t="s">
        <v>293</v>
      </c>
      <c r="B5" s="654"/>
      <c r="C5" s="654"/>
      <c r="D5" s="654"/>
      <c r="E5" s="654"/>
      <c r="F5" s="654"/>
      <c r="G5" s="67"/>
    </row>
    <row r="6" spans="1:7" s="5" customFormat="1" ht="15.75">
      <c r="A6" s="532" t="s">
        <v>294</v>
      </c>
      <c r="B6" s="532"/>
      <c r="C6" s="532"/>
      <c r="D6" s="532"/>
      <c r="E6" s="532"/>
      <c r="F6" s="532"/>
      <c r="G6" s="58"/>
    </row>
    <row r="7" spans="1:7" s="5" customFormat="1" ht="15.75">
      <c r="A7" s="532" t="s">
        <v>564</v>
      </c>
      <c r="B7" s="532"/>
      <c r="C7" s="532"/>
      <c r="D7" s="532"/>
      <c r="E7" s="532"/>
      <c r="F7" s="532"/>
      <c r="G7" s="58"/>
    </row>
    <row r="8" spans="1:6" s="5" customFormat="1" ht="13.5" thickBot="1">
      <c r="A8" s="68"/>
      <c r="B8" s="68"/>
      <c r="C8" s="68"/>
      <c r="D8" s="68"/>
      <c r="E8" s="68"/>
      <c r="F8" s="69" t="s">
        <v>5</v>
      </c>
    </row>
    <row r="9" spans="1:6" s="72" customFormat="1" ht="22.5" customHeight="1" thickTop="1">
      <c r="A9" s="70" t="s">
        <v>42</v>
      </c>
      <c r="B9" s="71"/>
      <c r="C9" s="668" t="s">
        <v>63</v>
      </c>
      <c r="D9" s="668" t="s">
        <v>64</v>
      </c>
      <c r="E9" s="668" t="s">
        <v>65</v>
      </c>
      <c r="F9" s="663" t="s">
        <v>66</v>
      </c>
    </row>
    <row r="10" spans="1:6" s="72" customFormat="1" ht="12.75">
      <c r="A10" s="73"/>
      <c r="B10" s="74" t="s">
        <v>67</v>
      </c>
      <c r="C10" s="669"/>
      <c r="D10" s="669"/>
      <c r="E10" s="669"/>
      <c r="F10" s="664"/>
    </row>
    <row r="11" spans="1:6" s="72" customFormat="1" ht="13.5" thickBot="1">
      <c r="A11" s="75" t="s">
        <v>43</v>
      </c>
      <c r="B11" s="76"/>
      <c r="C11" s="670"/>
      <c r="D11" s="670"/>
      <c r="E11" s="670"/>
      <c r="F11" s="665"/>
    </row>
    <row r="12" spans="1:6" s="72" customFormat="1" ht="12.75">
      <c r="A12" s="671" t="s">
        <v>44</v>
      </c>
      <c r="B12" s="673" t="s">
        <v>68</v>
      </c>
      <c r="C12" s="666">
        <v>1887</v>
      </c>
      <c r="D12" s="666">
        <v>1887</v>
      </c>
      <c r="E12" s="666">
        <v>1887</v>
      </c>
      <c r="F12" s="661">
        <f>SUM(C12:E17)</f>
        <v>5661</v>
      </c>
    </row>
    <row r="13" spans="1:6" s="72" customFormat="1" ht="15" customHeight="1">
      <c r="A13" s="672"/>
      <c r="B13" s="674"/>
      <c r="C13" s="667"/>
      <c r="D13" s="667"/>
      <c r="E13" s="667"/>
      <c r="F13" s="662"/>
    </row>
    <row r="14" spans="1:6" s="72" customFormat="1" ht="15" customHeight="1">
      <c r="A14" s="672"/>
      <c r="B14" s="77" t="s">
        <v>69</v>
      </c>
      <c r="C14" s="667"/>
      <c r="D14" s="667"/>
      <c r="E14" s="667"/>
      <c r="F14" s="662"/>
    </row>
    <row r="15" spans="1:6" s="72" customFormat="1" ht="25.5">
      <c r="A15" s="672"/>
      <c r="B15" s="77" t="s">
        <v>295</v>
      </c>
      <c r="C15" s="667"/>
      <c r="D15" s="667"/>
      <c r="E15" s="667"/>
      <c r="F15" s="662"/>
    </row>
    <row r="16" spans="1:6" s="72" customFormat="1" ht="12.75">
      <c r="A16" s="672"/>
      <c r="B16" s="78" t="s">
        <v>70</v>
      </c>
      <c r="C16" s="667"/>
      <c r="D16" s="667"/>
      <c r="E16" s="667"/>
      <c r="F16" s="662"/>
    </row>
    <row r="17" spans="1:6" s="72" customFormat="1" ht="13.5" thickBot="1">
      <c r="A17" s="672"/>
      <c r="B17" s="79" t="s">
        <v>71</v>
      </c>
      <c r="C17" s="667"/>
      <c r="D17" s="667"/>
      <c r="E17" s="667"/>
      <c r="F17" s="662"/>
    </row>
    <row r="18" spans="1:7" s="85" customFormat="1" ht="40.5" customHeight="1" thickBot="1" thickTop="1">
      <c r="A18" s="80"/>
      <c r="B18" s="81" t="s">
        <v>72</v>
      </c>
      <c r="C18" s="82">
        <f>SUM(C12:C17)</f>
        <v>1887</v>
      </c>
      <c r="D18" s="82">
        <f>SUM(D12:D17)</f>
        <v>1887</v>
      </c>
      <c r="E18" s="82">
        <f>SUM(E12:E17)</f>
        <v>1887</v>
      </c>
      <c r="F18" s="83">
        <f>SUM(F12:F17)</f>
        <v>5661</v>
      </c>
      <c r="G18" s="84"/>
    </row>
    <row r="19" spans="1:5" s="85" customFormat="1" ht="27" customHeight="1">
      <c r="A19" s="86"/>
      <c r="B19" s="87"/>
      <c r="C19" s="88"/>
      <c r="D19" s="88"/>
      <c r="E19" s="88"/>
    </row>
  </sheetData>
  <sheetProtection/>
  <mergeCells count="16">
    <mergeCell ref="B12:B13"/>
    <mergeCell ref="A6:F6"/>
    <mergeCell ref="A7:F7"/>
    <mergeCell ref="A5:F5"/>
    <mergeCell ref="C9:C11"/>
    <mergeCell ref="E9:E11"/>
    <mergeCell ref="C1:F1"/>
    <mergeCell ref="F12:F17"/>
    <mergeCell ref="F9:F11"/>
    <mergeCell ref="C12:C17"/>
    <mergeCell ref="D12:D17"/>
    <mergeCell ref="D9:D11"/>
    <mergeCell ref="E12:E17"/>
    <mergeCell ref="A3:F3"/>
    <mergeCell ref="A4:F4"/>
    <mergeCell ref="A12:A17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0"/>
  <sheetViews>
    <sheetView zoomScalePageLayoutView="0" workbookViewId="0" topLeftCell="E1">
      <selection activeCell="A2" sqref="A2:O2"/>
    </sheetView>
  </sheetViews>
  <sheetFormatPr defaultColWidth="9.00390625" defaultRowHeight="12.75"/>
  <cols>
    <col min="1" max="1" width="5.875" style="50" customWidth="1"/>
    <col min="2" max="2" width="37.375" style="50" customWidth="1"/>
    <col min="3" max="3" width="9.625" style="50" customWidth="1"/>
    <col min="4" max="15" width="15.75390625" style="50" customWidth="1"/>
    <col min="16" max="16" width="13.625" style="50" bestFit="1" customWidth="1"/>
    <col min="17" max="16384" width="9.125" style="50" customWidth="1"/>
  </cols>
  <sheetData>
    <row r="2" spans="1:15" ht="15.75">
      <c r="A2" s="716" t="s">
        <v>447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</row>
    <row r="3" spans="1:15" ht="15.75">
      <c r="A3" s="516" t="s">
        <v>483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</row>
    <row r="4" spans="2:15" ht="15.75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5" ht="15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1:15" ht="15.75">
      <c r="A6" s="516" t="s">
        <v>41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</row>
    <row r="7" spans="1:15" ht="15.75">
      <c r="A7" s="516" t="s">
        <v>370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</row>
    <row r="8" spans="1:15" ht="15.75">
      <c r="A8" s="516" t="s">
        <v>513</v>
      </c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</row>
    <row r="9" spans="1:15" ht="15.75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</row>
    <row r="10" spans="1:15" ht="15.7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</row>
    <row r="11" ht="16.5" thickBot="1">
      <c r="O11" s="201" t="s">
        <v>514</v>
      </c>
    </row>
    <row r="12" spans="1:15" ht="32.25" customHeight="1" thickTop="1">
      <c r="A12" s="703" t="s">
        <v>371</v>
      </c>
      <c r="B12" s="692" t="s">
        <v>372</v>
      </c>
      <c r="C12" s="692" t="s">
        <v>373</v>
      </c>
      <c r="D12" s="695" t="s">
        <v>374</v>
      </c>
      <c r="E12" s="695"/>
      <c r="F12" s="696"/>
      <c r="G12" s="695" t="s">
        <v>375</v>
      </c>
      <c r="H12" s="695"/>
      <c r="I12" s="696"/>
      <c r="J12" s="695" t="s">
        <v>66</v>
      </c>
      <c r="K12" s="695"/>
      <c r="L12" s="696"/>
      <c r="M12" s="679" t="s">
        <v>376</v>
      </c>
      <c r="N12" s="680"/>
      <c r="O12" s="681"/>
    </row>
    <row r="13" spans="1:15" ht="16.5" thickBot="1">
      <c r="A13" s="693"/>
      <c r="B13" s="693"/>
      <c r="C13" s="693"/>
      <c r="D13" s="697"/>
      <c r="E13" s="697"/>
      <c r="F13" s="698"/>
      <c r="G13" s="697"/>
      <c r="H13" s="697"/>
      <c r="I13" s="698"/>
      <c r="J13" s="697"/>
      <c r="K13" s="697"/>
      <c r="L13" s="698"/>
      <c r="M13" s="682"/>
      <c r="N13" s="683"/>
      <c r="O13" s="678"/>
    </row>
    <row r="14" spans="1:15" ht="15.75">
      <c r="A14" s="693"/>
      <c r="B14" s="693"/>
      <c r="C14" s="693"/>
      <c r="D14" s="684" t="s">
        <v>380</v>
      </c>
      <c r="E14" s="684" t="s">
        <v>381</v>
      </c>
      <c r="F14" s="684" t="s">
        <v>548</v>
      </c>
      <c r="G14" s="684" t="s">
        <v>380</v>
      </c>
      <c r="H14" s="684" t="s">
        <v>381</v>
      </c>
      <c r="I14" s="684" t="s">
        <v>548</v>
      </c>
      <c r="J14" s="684" t="s">
        <v>380</v>
      </c>
      <c r="K14" s="684" t="s">
        <v>381</v>
      </c>
      <c r="L14" s="684" t="s">
        <v>548</v>
      </c>
      <c r="M14" s="684" t="s">
        <v>377</v>
      </c>
      <c r="N14" s="675" t="s">
        <v>375</v>
      </c>
      <c r="O14" s="677" t="s">
        <v>378</v>
      </c>
    </row>
    <row r="15" spans="1:15" ht="16.5" thickBot="1">
      <c r="A15" s="694"/>
      <c r="B15" s="694"/>
      <c r="C15" s="694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76"/>
      <c r="O15" s="678"/>
    </row>
    <row r="16" spans="1:16" ht="26.25" customHeight="1">
      <c r="A16" s="726" t="s">
        <v>44</v>
      </c>
      <c r="B16" s="704" t="s">
        <v>383</v>
      </c>
      <c r="C16" s="699"/>
      <c r="D16" s="686">
        <f>12559-9743</f>
        <v>2816</v>
      </c>
      <c r="E16" s="686"/>
      <c r="F16" s="686"/>
      <c r="G16" s="686"/>
      <c r="H16" s="686">
        <v>9743</v>
      </c>
      <c r="I16" s="686"/>
      <c r="J16" s="686">
        <f>D16+G16</f>
        <v>2816</v>
      </c>
      <c r="K16" s="686">
        <f>F16+H16</f>
        <v>9743</v>
      </c>
      <c r="L16" s="686"/>
      <c r="M16" s="713">
        <f>D16+F16</f>
        <v>2816</v>
      </c>
      <c r="N16" s="710">
        <f>G16+H16</f>
        <v>9743</v>
      </c>
      <c r="O16" s="689">
        <f>J16+K16</f>
        <v>12559</v>
      </c>
      <c r="P16" s="198"/>
    </row>
    <row r="17" spans="1:15" ht="26.25" customHeight="1">
      <c r="A17" s="718"/>
      <c r="B17" s="705"/>
      <c r="C17" s="700"/>
      <c r="D17" s="687"/>
      <c r="E17" s="687"/>
      <c r="F17" s="687"/>
      <c r="G17" s="687"/>
      <c r="H17" s="687"/>
      <c r="I17" s="687"/>
      <c r="J17" s="687"/>
      <c r="K17" s="687"/>
      <c r="L17" s="687"/>
      <c r="M17" s="714"/>
      <c r="N17" s="711"/>
      <c r="O17" s="690"/>
    </row>
    <row r="18" spans="1:15" s="202" customFormat="1" ht="26.25" customHeight="1" thickBot="1">
      <c r="A18" s="727"/>
      <c r="B18" s="706"/>
      <c r="C18" s="701"/>
      <c r="D18" s="702"/>
      <c r="E18" s="702"/>
      <c r="F18" s="702"/>
      <c r="G18" s="688"/>
      <c r="H18" s="688"/>
      <c r="I18" s="688"/>
      <c r="J18" s="688"/>
      <c r="K18" s="688"/>
      <c r="L18" s="688"/>
      <c r="M18" s="715"/>
      <c r="N18" s="712"/>
      <c r="O18" s="691"/>
    </row>
    <row r="19" spans="1:15" ht="26.25" customHeight="1" thickTop="1">
      <c r="A19" s="717"/>
      <c r="B19" s="720" t="s">
        <v>379</v>
      </c>
      <c r="C19" s="723"/>
      <c r="D19" s="707">
        <f>D16</f>
        <v>2816</v>
      </c>
      <c r="E19" s="707"/>
      <c r="F19" s="707">
        <f aca="true" t="shared" si="0" ref="F19:O19">F16</f>
        <v>0</v>
      </c>
      <c r="G19" s="707">
        <f t="shared" si="0"/>
        <v>0</v>
      </c>
      <c r="H19" s="707">
        <f>H16</f>
        <v>9743</v>
      </c>
      <c r="I19" s="707">
        <f>I16</f>
        <v>0</v>
      </c>
      <c r="J19" s="707">
        <f t="shared" si="0"/>
        <v>2816</v>
      </c>
      <c r="K19" s="707">
        <f>K16</f>
        <v>9743</v>
      </c>
      <c r="L19" s="707"/>
      <c r="M19" s="707">
        <f t="shared" si="0"/>
        <v>2816</v>
      </c>
      <c r="N19" s="707">
        <f t="shared" si="0"/>
        <v>9743</v>
      </c>
      <c r="O19" s="707">
        <f t="shared" si="0"/>
        <v>12559</v>
      </c>
    </row>
    <row r="20" spans="1:15" ht="26.25" customHeight="1">
      <c r="A20" s="718"/>
      <c r="B20" s="721"/>
      <c r="C20" s="724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08"/>
    </row>
    <row r="21" spans="1:15" s="202" customFormat="1" ht="26.25" customHeight="1" thickBot="1">
      <c r="A21" s="719"/>
      <c r="B21" s="722"/>
      <c r="C21" s="725"/>
      <c r="D21" s="709"/>
      <c r="E21" s="709"/>
      <c r="F21" s="709"/>
      <c r="G21" s="709"/>
      <c r="H21" s="709"/>
      <c r="I21" s="709"/>
      <c r="J21" s="709"/>
      <c r="K21" s="709"/>
      <c r="L21" s="709"/>
      <c r="M21" s="709"/>
      <c r="N21" s="709"/>
      <c r="O21" s="709"/>
    </row>
    <row r="22" spans="1:15" ht="26.25" customHeight="1" thickTop="1">
      <c r="A22" s="203"/>
      <c r="B22" s="203"/>
      <c r="C22" s="203"/>
      <c r="D22" s="204"/>
      <c r="E22" s="204"/>
      <c r="F22" s="204"/>
      <c r="G22" s="205"/>
      <c r="H22" s="205"/>
      <c r="I22" s="205"/>
      <c r="J22" s="205"/>
      <c r="K22" s="205"/>
      <c r="L22" s="205"/>
      <c r="M22" s="204"/>
      <c r="N22" s="205"/>
      <c r="O22" s="204"/>
    </row>
    <row r="23" spans="1:15" ht="26.25" customHeight="1">
      <c r="A23" s="203"/>
      <c r="B23" s="203"/>
      <c r="C23" s="203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</row>
    <row r="24" spans="1:15" ht="26.25" customHeight="1">
      <c r="A24" s="203"/>
      <c r="B24" s="203"/>
      <c r="C24" s="203"/>
      <c r="D24" s="204"/>
      <c r="E24" s="204"/>
      <c r="F24" s="204"/>
      <c r="G24" s="204"/>
      <c r="H24" s="204"/>
      <c r="I24" s="204"/>
      <c r="J24" s="205"/>
      <c r="K24" s="205"/>
      <c r="L24" s="205"/>
      <c r="M24" s="204"/>
      <c r="N24" s="204"/>
      <c r="O24" s="204"/>
    </row>
    <row r="25" spans="1:15" ht="26.25" customHeight="1">
      <c r="A25" s="203"/>
      <c r="B25" s="203"/>
      <c r="C25" s="203"/>
      <c r="D25" s="204"/>
      <c r="E25" s="204"/>
      <c r="F25" s="204"/>
      <c r="G25" s="205"/>
      <c r="H25" s="205"/>
      <c r="I25" s="205"/>
      <c r="J25" s="204"/>
      <c r="K25" s="204"/>
      <c r="L25" s="204"/>
      <c r="M25" s="204"/>
      <c r="N25" s="204"/>
      <c r="O25" s="204"/>
    </row>
    <row r="26" spans="1:15" ht="26.25" customHeight="1">
      <c r="A26" s="203"/>
      <c r="B26" s="203"/>
      <c r="C26" s="203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</row>
    <row r="30" spans="7:9" ht="15.75">
      <c r="G30" s="198"/>
      <c r="H30" s="198"/>
      <c r="I30" s="198"/>
    </row>
  </sheetData>
  <sheetProtection/>
  <mergeCells count="54"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N14:N15"/>
    <mergeCell ref="O14:O15"/>
    <mergeCell ref="M12:O13"/>
    <mergeCell ref="M14:M15"/>
    <mergeCell ref="K16:K18"/>
    <mergeCell ref="O16:O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O93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5" ht="19.5" customHeight="1">
      <c r="A1" s="716" t="s">
        <v>634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</row>
    <row r="2" spans="1:13" ht="12.75">
      <c r="A2" s="517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</row>
    <row r="4" spans="1:13" ht="20.25" customHeight="1">
      <c r="A4" s="815" t="s">
        <v>483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</row>
    <row r="5" spans="1:13" s="50" customFormat="1" ht="15.75">
      <c r="A5" s="516" t="s">
        <v>41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</row>
    <row r="6" spans="1:13" s="50" customFormat="1" ht="15.75">
      <c r="A6" s="516" t="s">
        <v>384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</row>
    <row r="7" spans="1:13" s="50" customFormat="1" ht="15.75">
      <c r="A7" s="516" t="s">
        <v>484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</row>
    <row r="8" spans="1:13" ht="12" customHeight="1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</row>
    <row r="9" spans="1:13" s="50" customFormat="1" ht="15.75">
      <c r="A9" s="207" t="s">
        <v>385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</row>
    <row r="10" spans="1:13" ht="12" customHeight="1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</row>
    <row r="11" spans="1:13" ht="15.75">
      <c r="A11" s="208" t="s">
        <v>547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2" customHeight="1" thickBo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</row>
    <row r="13" spans="1:13" ht="16.5" thickBot="1">
      <c r="A13" s="757" t="s">
        <v>386</v>
      </c>
      <c r="B13" s="758"/>
      <c r="C13" s="758"/>
      <c r="D13" s="761" t="s">
        <v>387</v>
      </c>
      <c r="E13" s="762"/>
      <c r="F13" s="763"/>
      <c r="G13" s="761" t="s">
        <v>388</v>
      </c>
      <c r="H13" s="762"/>
      <c r="I13" s="763"/>
      <c r="J13" s="761" t="s">
        <v>389</v>
      </c>
      <c r="K13" s="762"/>
      <c r="L13" s="763"/>
      <c r="M13" s="728" t="s">
        <v>390</v>
      </c>
    </row>
    <row r="14" spans="1:13" ht="15.75">
      <c r="A14" s="759"/>
      <c r="B14" s="760"/>
      <c r="C14" s="760"/>
      <c r="D14" s="209" t="s">
        <v>391</v>
      </c>
      <c r="E14" s="210" t="s">
        <v>392</v>
      </c>
      <c r="F14" s="211" t="s">
        <v>393</v>
      </c>
      <c r="G14" s="210" t="s">
        <v>394</v>
      </c>
      <c r="H14" s="210" t="s">
        <v>392</v>
      </c>
      <c r="I14" s="211" t="s">
        <v>395</v>
      </c>
      <c r="J14" s="210" t="s">
        <v>394</v>
      </c>
      <c r="K14" s="211" t="s">
        <v>392</v>
      </c>
      <c r="L14" s="210" t="s">
        <v>395</v>
      </c>
      <c r="M14" s="729"/>
    </row>
    <row r="15" spans="1:13" ht="16.5" thickBot="1">
      <c r="A15" s="759"/>
      <c r="B15" s="760"/>
      <c r="C15" s="760"/>
      <c r="D15" s="212" t="s">
        <v>396</v>
      </c>
      <c r="E15" s="213" t="s">
        <v>397</v>
      </c>
      <c r="F15" s="214" t="s">
        <v>6</v>
      </c>
      <c r="G15" s="215" t="s">
        <v>396</v>
      </c>
      <c r="H15" s="213" t="s">
        <v>397</v>
      </c>
      <c r="I15" s="214" t="s">
        <v>6</v>
      </c>
      <c r="J15" s="215" t="s">
        <v>396</v>
      </c>
      <c r="K15" s="214" t="s">
        <v>397</v>
      </c>
      <c r="L15" s="213" t="s">
        <v>6</v>
      </c>
      <c r="M15" s="730"/>
    </row>
    <row r="16" spans="1:13" ht="7.5" customHeight="1">
      <c r="A16" s="731" t="s">
        <v>398</v>
      </c>
      <c r="B16" s="732"/>
      <c r="C16" s="733"/>
      <c r="D16" s="740"/>
      <c r="E16" s="743"/>
      <c r="F16" s="746"/>
      <c r="G16" s="749" t="s">
        <v>399</v>
      </c>
      <c r="H16" s="752"/>
      <c r="I16" s="765">
        <v>2208</v>
      </c>
      <c r="J16" s="743"/>
      <c r="K16" s="743"/>
      <c r="L16" s="743"/>
      <c r="M16" s="767">
        <f>I16</f>
        <v>2208</v>
      </c>
    </row>
    <row r="17" spans="1:13" ht="7.5" customHeight="1">
      <c r="A17" s="734"/>
      <c r="B17" s="735"/>
      <c r="C17" s="736"/>
      <c r="D17" s="741"/>
      <c r="E17" s="744"/>
      <c r="F17" s="747"/>
      <c r="G17" s="750"/>
      <c r="H17" s="753"/>
      <c r="I17" s="744"/>
      <c r="J17" s="744"/>
      <c r="K17" s="744"/>
      <c r="L17" s="744"/>
      <c r="M17" s="744"/>
    </row>
    <row r="18" spans="1:13" ht="15.75" customHeight="1" thickBot="1">
      <c r="A18" s="737"/>
      <c r="B18" s="738"/>
      <c r="C18" s="739"/>
      <c r="D18" s="742"/>
      <c r="E18" s="745"/>
      <c r="F18" s="748"/>
      <c r="G18" s="751"/>
      <c r="H18" s="754"/>
      <c r="I18" s="766"/>
      <c r="J18" s="745"/>
      <c r="K18" s="745"/>
      <c r="L18" s="745"/>
      <c r="M18" s="745"/>
    </row>
    <row r="19" spans="1:13" s="111" customFormat="1" ht="12.75" customHeight="1">
      <c r="A19" s="768" t="s">
        <v>2</v>
      </c>
      <c r="B19" s="769"/>
      <c r="C19" s="770"/>
      <c r="D19" s="755"/>
      <c r="E19" s="755"/>
      <c r="F19" s="774">
        <f>SUM(F16)</f>
        <v>0</v>
      </c>
      <c r="G19" s="755"/>
      <c r="H19" s="755"/>
      <c r="I19" s="755">
        <f>I16</f>
        <v>2208</v>
      </c>
      <c r="J19" s="755"/>
      <c r="K19" s="755"/>
      <c r="L19" s="755"/>
      <c r="M19" s="764">
        <f>M16</f>
        <v>2208</v>
      </c>
    </row>
    <row r="20" spans="1:13" s="111" customFormat="1" ht="13.5" customHeight="1" thickBot="1">
      <c r="A20" s="771"/>
      <c r="B20" s="772"/>
      <c r="C20" s="773"/>
      <c r="D20" s="756"/>
      <c r="E20" s="756"/>
      <c r="F20" s="775"/>
      <c r="G20" s="756"/>
      <c r="H20" s="756"/>
      <c r="I20" s="756"/>
      <c r="J20" s="756"/>
      <c r="K20" s="756"/>
      <c r="L20" s="756"/>
      <c r="M20" s="756"/>
    </row>
    <row r="21" spans="1:13" ht="12" customHeight="1">
      <c r="A21" s="206"/>
      <c r="B21" s="206"/>
      <c r="C21" s="206"/>
      <c r="D21" s="206"/>
      <c r="E21" s="206"/>
      <c r="F21" s="216"/>
      <c r="G21" s="206"/>
      <c r="H21" s="206"/>
      <c r="I21" s="206"/>
      <c r="J21" s="206"/>
      <c r="K21" s="206"/>
      <c r="L21" s="206"/>
      <c r="M21" s="206"/>
    </row>
    <row r="22" spans="1:6" s="208" customFormat="1" ht="12" customHeight="1">
      <c r="A22" s="208" t="s">
        <v>400</v>
      </c>
      <c r="F22" s="217"/>
    </row>
    <row r="23" spans="1:13" ht="17.25" customHeight="1">
      <c r="A23" s="218" t="s">
        <v>401</v>
      </c>
      <c r="B23" s="218"/>
      <c r="C23" s="218"/>
      <c r="D23" s="218"/>
      <c r="E23" s="218"/>
      <c r="F23" s="219"/>
      <c r="G23" s="220" t="s">
        <v>6</v>
      </c>
      <c r="H23" s="206"/>
      <c r="I23" s="206"/>
      <c r="J23" s="206"/>
      <c r="K23" s="206"/>
      <c r="L23" s="206"/>
      <c r="M23" s="206"/>
    </row>
    <row r="24" spans="1:13" ht="17.25" customHeight="1">
      <c r="A24" s="218" t="s">
        <v>402</v>
      </c>
      <c r="B24" s="218"/>
      <c r="C24" s="218"/>
      <c r="D24" s="218"/>
      <c r="E24" s="218"/>
      <c r="F24" s="219"/>
      <c r="G24" s="220" t="s">
        <v>6</v>
      </c>
      <c r="H24" s="206"/>
      <c r="I24" s="206"/>
      <c r="J24" s="206"/>
      <c r="K24" s="206"/>
      <c r="L24" s="206"/>
      <c r="M24" s="206"/>
    </row>
    <row r="25" spans="1:13" ht="15.75" customHeight="1">
      <c r="A25" s="218" t="s">
        <v>403</v>
      </c>
      <c r="B25" s="218"/>
      <c r="C25" s="218"/>
      <c r="D25" s="218"/>
      <c r="E25" s="218"/>
      <c r="F25" s="221">
        <v>324</v>
      </c>
      <c r="G25" s="222" t="s">
        <v>6</v>
      </c>
      <c r="H25" s="206"/>
      <c r="I25" s="206"/>
      <c r="J25" s="206"/>
      <c r="K25" s="206"/>
      <c r="L25" s="206"/>
      <c r="M25" s="206"/>
    </row>
    <row r="26" spans="1:13" ht="17.25" customHeight="1">
      <c r="A26" s="218" t="s">
        <v>404</v>
      </c>
      <c r="B26" s="218"/>
      <c r="C26" s="218"/>
      <c r="D26" s="218"/>
      <c r="E26" s="218"/>
      <c r="F26" s="223">
        <f>SUM(F23:F25)</f>
        <v>324</v>
      </c>
      <c r="G26" s="224" t="s">
        <v>6</v>
      </c>
      <c r="H26" s="206"/>
      <c r="I26" s="206"/>
      <c r="J26" s="206"/>
      <c r="K26" s="206"/>
      <c r="L26" s="206"/>
      <c r="M26" s="206"/>
    </row>
    <row r="27" spans="1:13" ht="13.5" customHeight="1">
      <c r="A27" s="218"/>
      <c r="B27" s="218"/>
      <c r="C27" s="218"/>
      <c r="D27" s="218"/>
      <c r="E27" s="218"/>
      <c r="F27" s="223"/>
      <c r="G27" s="224"/>
      <c r="H27" s="206"/>
      <c r="I27" s="206"/>
      <c r="J27" s="206"/>
      <c r="K27" s="206"/>
      <c r="L27" s="206"/>
      <c r="M27" s="206"/>
    </row>
    <row r="28" spans="1:13" ht="15.75">
      <c r="A28" s="208" t="s">
        <v>405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3.5" customHeight="1">
      <c r="A29" s="218"/>
      <c r="B29" s="218"/>
      <c r="C29" s="218"/>
      <c r="D29" s="218"/>
      <c r="E29" s="218"/>
      <c r="F29" s="223"/>
      <c r="G29" s="224"/>
      <c r="H29" s="206"/>
      <c r="I29" s="206"/>
      <c r="J29" s="206"/>
      <c r="K29" s="206"/>
      <c r="L29" s="206"/>
      <c r="M29" s="206"/>
    </row>
    <row r="30" spans="1:13" ht="13.5" customHeight="1" thickBot="1">
      <c r="A30" s="218"/>
      <c r="B30" s="218"/>
      <c r="C30" s="218"/>
      <c r="D30" s="218"/>
      <c r="E30" s="218"/>
      <c r="F30" s="223"/>
      <c r="G30" s="224"/>
      <c r="H30" s="206"/>
      <c r="I30" s="206"/>
      <c r="J30" s="206"/>
      <c r="K30" s="206"/>
      <c r="L30" s="206"/>
      <c r="M30" s="206"/>
    </row>
    <row r="31" spans="1:13" ht="16.5" thickBot="1">
      <c r="A31" s="757" t="s">
        <v>386</v>
      </c>
      <c r="B31" s="758"/>
      <c r="C31" s="758"/>
      <c r="D31" s="761" t="s">
        <v>387</v>
      </c>
      <c r="E31" s="762"/>
      <c r="F31" s="763"/>
      <c r="G31" s="761" t="s">
        <v>388</v>
      </c>
      <c r="H31" s="762"/>
      <c r="I31" s="763"/>
      <c r="J31" s="761" t="s">
        <v>389</v>
      </c>
      <c r="K31" s="762"/>
      <c r="L31" s="763"/>
      <c r="M31" s="728" t="s">
        <v>390</v>
      </c>
    </row>
    <row r="32" spans="1:13" ht="15.75">
      <c r="A32" s="759"/>
      <c r="B32" s="760"/>
      <c r="C32" s="760"/>
      <c r="D32" s="209" t="s">
        <v>391</v>
      </c>
      <c r="E32" s="210" t="s">
        <v>392</v>
      </c>
      <c r="F32" s="211" t="s">
        <v>393</v>
      </c>
      <c r="G32" s="210" t="s">
        <v>394</v>
      </c>
      <c r="H32" s="210" t="s">
        <v>392</v>
      </c>
      <c r="I32" s="211" t="s">
        <v>395</v>
      </c>
      <c r="J32" s="210" t="s">
        <v>394</v>
      </c>
      <c r="K32" s="211" t="s">
        <v>392</v>
      </c>
      <c r="L32" s="210" t="s">
        <v>395</v>
      </c>
      <c r="M32" s="729"/>
    </row>
    <row r="33" spans="1:13" ht="16.5" thickBot="1">
      <c r="A33" s="759"/>
      <c r="B33" s="760"/>
      <c r="C33" s="760"/>
      <c r="D33" s="212" t="s">
        <v>396</v>
      </c>
      <c r="E33" s="213" t="s">
        <v>397</v>
      </c>
      <c r="F33" s="214" t="s">
        <v>6</v>
      </c>
      <c r="G33" s="215" t="s">
        <v>396</v>
      </c>
      <c r="H33" s="213" t="s">
        <v>397</v>
      </c>
      <c r="I33" s="214" t="s">
        <v>6</v>
      </c>
      <c r="J33" s="215" t="s">
        <v>396</v>
      </c>
      <c r="K33" s="214" t="s">
        <v>397</v>
      </c>
      <c r="L33" s="213" t="s">
        <v>6</v>
      </c>
      <c r="M33" s="730"/>
    </row>
    <row r="34" spans="1:13" ht="7.5" customHeight="1">
      <c r="A34" s="777" t="s">
        <v>406</v>
      </c>
      <c r="B34" s="778"/>
      <c r="C34" s="779"/>
      <c r="D34" s="740" t="s">
        <v>407</v>
      </c>
      <c r="E34" s="743"/>
      <c r="F34" s="746"/>
      <c r="G34" s="776"/>
      <c r="H34" s="776"/>
      <c r="I34" s="776"/>
      <c r="J34" s="743"/>
      <c r="K34" s="743"/>
      <c r="L34" s="743"/>
      <c r="M34" s="767">
        <f>L34+I34+F34</f>
        <v>0</v>
      </c>
    </row>
    <row r="35" spans="1:13" ht="7.5" customHeight="1">
      <c r="A35" s="780"/>
      <c r="B35" s="781"/>
      <c r="C35" s="782"/>
      <c r="D35" s="741"/>
      <c r="E35" s="744"/>
      <c r="F35" s="747"/>
      <c r="G35" s="776"/>
      <c r="H35" s="776"/>
      <c r="I35" s="776"/>
      <c r="J35" s="744"/>
      <c r="K35" s="744"/>
      <c r="L35" s="744"/>
      <c r="M35" s="744"/>
    </row>
    <row r="36" spans="1:13" ht="7.5" customHeight="1">
      <c r="A36" s="783"/>
      <c r="B36" s="784"/>
      <c r="C36" s="785"/>
      <c r="D36" s="742"/>
      <c r="E36" s="745"/>
      <c r="F36" s="748"/>
      <c r="G36" s="776"/>
      <c r="H36" s="776"/>
      <c r="I36" s="776"/>
      <c r="J36" s="745"/>
      <c r="K36" s="745"/>
      <c r="L36" s="745"/>
      <c r="M36" s="745"/>
    </row>
    <row r="37" spans="1:13" ht="7.5" customHeight="1">
      <c r="A37" s="816" t="s">
        <v>481</v>
      </c>
      <c r="B37" s="817"/>
      <c r="C37" s="818"/>
      <c r="D37" s="740" t="s">
        <v>482</v>
      </c>
      <c r="E37" s="743"/>
      <c r="F37" s="746">
        <v>71</v>
      </c>
      <c r="G37" s="743"/>
      <c r="H37" s="743"/>
      <c r="I37" s="743"/>
      <c r="J37" s="743"/>
      <c r="K37" s="743"/>
      <c r="L37" s="743"/>
      <c r="M37" s="767">
        <f>L37+I37+F37</f>
        <v>71</v>
      </c>
    </row>
    <row r="38" spans="1:13" ht="7.5" customHeight="1">
      <c r="A38" s="819"/>
      <c r="B38" s="820"/>
      <c r="C38" s="821"/>
      <c r="D38" s="825"/>
      <c r="E38" s="787"/>
      <c r="F38" s="787"/>
      <c r="G38" s="787"/>
      <c r="H38" s="787"/>
      <c r="I38" s="787"/>
      <c r="J38" s="787"/>
      <c r="K38" s="787"/>
      <c r="L38" s="787"/>
      <c r="M38" s="744"/>
    </row>
    <row r="39" spans="1:13" ht="7.5" customHeight="1">
      <c r="A39" s="822"/>
      <c r="B39" s="823"/>
      <c r="C39" s="824"/>
      <c r="D39" s="826"/>
      <c r="E39" s="788"/>
      <c r="F39" s="788"/>
      <c r="G39" s="788"/>
      <c r="H39" s="788"/>
      <c r="I39" s="788"/>
      <c r="J39" s="788"/>
      <c r="K39" s="788"/>
      <c r="L39" s="788"/>
      <c r="M39" s="745"/>
    </row>
    <row r="40" spans="1:13" ht="7.5" customHeight="1">
      <c r="A40" s="777" t="s">
        <v>408</v>
      </c>
      <c r="B40" s="778"/>
      <c r="C40" s="779"/>
      <c r="D40" s="740"/>
      <c r="E40" s="743"/>
      <c r="F40" s="746"/>
      <c r="G40" s="789" t="s">
        <v>409</v>
      </c>
      <c r="H40" s="776"/>
      <c r="I40" s="786">
        <v>226</v>
      </c>
      <c r="J40" s="743"/>
      <c r="K40" s="743"/>
      <c r="L40" s="743"/>
      <c r="M40" s="767">
        <f>L40+I40+F40</f>
        <v>226</v>
      </c>
    </row>
    <row r="41" spans="1:13" ht="7.5" customHeight="1">
      <c r="A41" s="780"/>
      <c r="B41" s="781"/>
      <c r="C41" s="782"/>
      <c r="D41" s="741"/>
      <c r="E41" s="744"/>
      <c r="F41" s="747"/>
      <c r="G41" s="789"/>
      <c r="H41" s="776"/>
      <c r="I41" s="786"/>
      <c r="J41" s="744"/>
      <c r="K41" s="744"/>
      <c r="L41" s="744"/>
      <c r="M41" s="744"/>
    </row>
    <row r="42" spans="1:13" ht="7.5" customHeight="1" thickBot="1">
      <c r="A42" s="783"/>
      <c r="B42" s="784"/>
      <c r="C42" s="785"/>
      <c r="D42" s="742"/>
      <c r="E42" s="745"/>
      <c r="F42" s="748"/>
      <c r="G42" s="789"/>
      <c r="H42" s="776"/>
      <c r="I42" s="786"/>
      <c r="J42" s="745"/>
      <c r="K42" s="745"/>
      <c r="L42" s="745"/>
      <c r="M42" s="745"/>
    </row>
    <row r="43" spans="1:13" s="111" customFormat="1" ht="12.75" customHeight="1">
      <c r="A43" s="768" t="s">
        <v>2</v>
      </c>
      <c r="B43" s="769"/>
      <c r="C43" s="770"/>
      <c r="D43" s="755"/>
      <c r="E43" s="755"/>
      <c r="F43" s="774">
        <f>SUM(F34:F42)</f>
        <v>71</v>
      </c>
      <c r="G43" s="755"/>
      <c r="H43" s="755"/>
      <c r="I43" s="764">
        <f>SUM(I40:I42)</f>
        <v>226</v>
      </c>
      <c r="J43" s="755"/>
      <c r="K43" s="755"/>
      <c r="L43" s="755"/>
      <c r="M43" s="764">
        <f>SUM(M34:M42)</f>
        <v>297</v>
      </c>
    </row>
    <row r="44" spans="1:13" s="111" customFormat="1" ht="13.5" customHeight="1" thickBot="1">
      <c r="A44" s="771"/>
      <c r="B44" s="772"/>
      <c r="C44" s="773"/>
      <c r="D44" s="756"/>
      <c r="E44" s="756"/>
      <c r="F44" s="775"/>
      <c r="G44" s="756"/>
      <c r="H44" s="756"/>
      <c r="I44" s="756"/>
      <c r="J44" s="756"/>
      <c r="K44" s="756"/>
      <c r="L44" s="756"/>
      <c r="M44" s="756"/>
    </row>
    <row r="45" spans="1:13" ht="13.5" customHeight="1">
      <c r="A45" s="218"/>
      <c r="B45" s="218"/>
      <c r="C45" s="218"/>
      <c r="D45" s="218"/>
      <c r="E45" s="218"/>
      <c r="F45" s="223"/>
      <c r="G45" s="224"/>
      <c r="H45" s="206"/>
      <c r="I45" s="206"/>
      <c r="J45" s="206"/>
      <c r="K45" s="206"/>
      <c r="L45" s="206"/>
      <c r="M45" s="206"/>
    </row>
    <row r="46" spans="1:13" ht="13.5" customHeight="1">
      <c r="A46" s="218"/>
      <c r="B46" s="218"/>
      <c r="C46" s="218"/>
      <c r="D46" s="218"/>
      <c r="E46" s="218"/>
      <c r="F46" s="223"/>
      <c r="G46" s="224"/>
      <c r="H46" s="206"/>
      <c r="I46" s="206"/>
      <c r="J46" s="206"/>
      <c r="K46" s="206"/>
      <c r="L46" s="206"/>
      <c r="M46" s="206"/>
    </row>
    <row r="47" spans="1:13" ht="13.5" customHeight="1">
      <c r="A47" s="218"/>
      <c r="B47" s="218"/>
      <c r="C47" s="218"/>
      <c r="D47" s="218"/>
      <c r="E47" s="218"/>
      <c r="F47" s="223"/>
      <c r="G47" s="224"/>
      <c r="H47" s="206"/>
      <c r="I47" s="206"/>
      <c r="J47" s="206"/>
      <c r="K47" s="206"/>
      <c r="L47" s="206"/>
      <c r="M47" s="206"/>
    </row>
    <row r="48" spans="1:13" ht="13.5" customHeight="1">
      <c r="A48" s="218"/>
      <c r="B48" s="218"/>
      <c r="C48" s="218"/>
      <c r="D48" s="218"/>
      <c r="E48" s="218"/>
      <c r="F48" s="223"/>
      <c r="G48" s="224"/>
      <c r="H48" s="206"/>
      <c r="I48" s="206"/>
      <c r="J48" s="206"/>
      <c r="K48" s="206"/>
      <c r="L48" s="206"/>
      <c r="M48" s="206"/>
    </row>
    <row r="49" spans="1:13" ht="13.5" customHeight="1">
      <c r="A49" s="218"/>
      <c r="B49" s="218"/>
      <c r="C49" s="218"/>
      <c r="D49" s="218"/>
      <c r="E49" s="218"/>
      <c r="F49" s="223"/>
      <c r="G49" s="224"/>
      <c r="H49" s="206"/>
      <c r="I49" s="206"/>
      <c r="J49" s="206"/>
      <c r="K49" s="206"/>
      <c r="L49" s="206"/>
      <c r="M49" s="206"/>
    </row>
    <row r="50" spans="1:13" ht="13.5" customHeight="1">
      <c r="A50" s="218"/>
      <c r="B50" s="218"/>
      <c r="C50" s="218"/>
      <c r="D50" s="218"/>
      <c r="E50" s="218"/>
      <c r="F50" s="223"/>
      <c r="G50" s="224"/>
      <c r="H50" s="206"/>
      <c r="I50" s="206"/>
      <c r="J50" s="206"/>
      <c r="K50" s="206"/>
      <c r="L50" s="206"/>
      <c r="M50" s="206"/>
    </row>
    <row r="51" spans="1:13" ht="13.5" customHeight="1">
      <c r="A51" s="218"/>
      <c r="B51" s="218"/>
      <c r="C51" s="218"/>
      <c r="D51" s="218"/>
      <c r="E51" s="218"/>
      <c r="F51" s="223"/>
      <c r="G51" s="224"/>
      <c r="H51" s="206"/>
      <c r="I51" s="206"/>
      <c r="J51" s="206"/>
      <c r="K51" s="206"/>
      <c r="L51" s="206"/>
      <c r="M51" s="206"/>
    </row>
    <row r="52" spans="1:13" ht="13.5" customHeight="1">
      <c r="A52" s="218"/>
      <c r="B52" s="218"/>
      <c r="C52" s="218"/>
      <c r="D52" s="218"/>
      <c r="E52" s="218"/>
      <c r="F52" s="223"/>
      <c r="G52" s="224"/>
      <c r="H52" s="206"/>
      <c r="I52" s="206"/>
      <c r="J52" s="206"/>
      <c r="K52" s="206"/>
      <c r="L52" s="206"/>
      <c r="M52" s="206"/>
    </row>
    <row r="53" spans="1:13" ht="13.5" customHeight="1">
      <c r="A53" s="218"/>
      <c r="B53" s="218"/>
      <c r="C53" s="218"/>
      <c r="D53" s="218"/>
      <c r="E53" s="218"/>
      <c r="F53" s="223"/>
      <c r="G53" s="224"/>
      <c r="H53" s="206"/>
      <c r="I53" s="206"/>
      <c r="J53" s="206"/>
      <c r="K53" s="206"/>
      <c r="L53" s="206"/>
      <c r="M53" s="206"/>
    </row>
    <row r="54" spans="1:13" ht="13.5" customHeight="1">
      <c r="A54" s="218"/>
      <c r="B54" s="218"/>
      <c r="C54" s="218"/>
      <c r="D54" s="218"/>
      <c r="E54" s="218"/>
      <c r="F54" s="223"/>
      <c r="G54" s="224"/>
      <c r="H54" s="206"/>
      <c r="I54" s="206"/>
      <c r="J54" s="206"/>
      <c r="K54" s="206"/>
      <c r="L54" s="206"/>
      <c r="M54" s="206"/>
    </row>
    <row r="55" spans="1:13" ht="13.5" customHeight="1">
      <c r="A55" s="218"/>
      <c r="B55" s="218"/>
      <c r="C55" s="218"/>
      <c r="D55" s="218"/>
      <c r="E55" s="218"/>
      <c r="F55" s="223"/>
      <c r="G55" s="224"/>
      <c r="H55" s="206"/>
      <c r="I55" s="206"/>
      <c r="J55" s="206"/>
      <c r="K55" s="206"/>
      <c r="L55" s="206"/>
      <c r="M55" s="206"/>
    </row>
    <row r="56" spans="1:13" ht="13.5" customHeight="1">
      <c r="A56" s="218"/>
      <c r="B56" s="218"/>
      <c r="C56" s="218"/>
      <c r="D56" s="218"/>
      <c r="E56" s="218"/>
      <c r="F56" s="223"/>
      <c r="G56" s="224"/>
      <c r="H56" s="206"/>
      <c r="I56" s="206"/>
      <c r="J56" s="206"/>
      <c r="K56" s="206"/>
      <c r="L56" s="206"/>
      <c r="M56" s="206"/>
    </row>
    <row r="57" spans="1:13" ht="15.75">
      <c r="A57" s="7" t="s">
        <v>410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" customHeight="1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</row>
    <row r="59" spans="1:13" ht="15.75">
      <c r="A59" s="7" t="s">
        <v>411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" customHeight="1" thickBot="1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</row>
    <row r="61" spans="1:11" ht="12.75" customHeight="1">
      <c r="A61" s="757" t="s">
        <v>386</v>
      </c>
      <c r="B61" s="758"/>
      <c r="C61" s="758"/>
      <c r="D61" s="757" t="s">
        <v>412</v>
      </c>
      <c r="E61" s="728"/>
      <c r="F61" s="757" t="s">
        <v>413</v>
      </c>
      <c r="G61" s="728"/>
      <c r="H61" s="757" t="s">
        <v>414</v>
      </c>
      <c r="I61" s="728"/>
      <c r="J61" s="757" t="s">
        <v>415</v>
      </c>
      <c r="K61" s="728"/>
    </row>
    <row r="62" spans="1:11" ht="12.75" customHeight="1">
      <c r="A62" s="759"/>
      <c r="B62" s="760"/>
      <c r="C62" s="760"/>
      <c r="D62" s="759"/>
      <c r="E62" s="729"/>
      <c r="F62" s="759"/>
      <c r="G62" s="729"/>
      <c r="H62" s="759"/>
      <c r="I62" s="729"/>
      <c r="J62" s="759"/>
      <c r="K62" s="729"/>
    </row>
    <row r="63" spans="1:11" ht="13.5" customHeight="1" thickBot="1">
      <c r="A63" s="791"/>
      <c r="B63" s="794"/>
      <c r="C63" s="794"/>
      <c r="D63" s="791"/>
      <c r="E63" s="730"/>
      <c r="F63" s="791"/>
      <c r="G63" s="730"/>
      <c r="H63" s="791"/>
      <c r="I63" s="730"/>
      <c r="J63" s="791"/>
      <c r="K63" s="730"/>
    </row>
    <row r="64" spans="1:12" s="50" customFormat="1" ht="25.5" customHeight="1" thickBot="1">
      <c r="A64" s="744" t="s">
        <v>416</v>
      </c>
      <c r="B64" s="744"/>
      <c r="C64" s="744"/>
      <c r="D64" s="744" t="s">
        <v>417</v>
      </c>
      <c r="E64" s="744"/>
      <c r="F64" s="792" t="s">
        <v>417</v>
      </c>
      <c r="G64" s="793"/>
      <c r="H64" s="792" t="s">
        <v>417</v>
      </c>
      <c r="I64" s="793"/>
      <c r="J64" s="744" t="s">
        <v>417</v>
      </c>
      <c r="K64" s="744"/>
      <c r="L64" s="225"/>
    </row>
    <row r="65" spans="1:13" s="111" customFormat="1" ht="12.75" customHeight="1">
      <c r="A65" s="768" t="s">
        <v>2</v>
      </c>
      <c r="B65" s="769"/>
      <c r="C65" s="770"/>
      <c r="D65" s="768"/>
      <c r="E65" s="770"/>
      <c r="F65" s="768"/>
      <c r="G65" s="770"/>
      <c r="H65" s="768"/>
      <c r="I65" s="770"/>
      <c r="J65" s="768" t="s">
        <v>417</v>
      </c>
      <c r="K65" s="770"/>
      <c r="L65" s="790"/>
      <c r="M65" s="790"/>
    </row>
    <row r="66" spans="1:13" s="111" customFormat="1" ht="13.5" customHeight="1" thickBot="1">
      <c r="A66" s="771"/>
      <c r="B66" s="772"/>
      <c r="C66" s="773"/>
      <c r="D66" s="771"/>
      <c r="E66" s="773"/>
      <c r="F66" s="771"/>
      <c r="G66" s="773"/>
      <c r="H66" s="771"/>
      <c r="I66" s="773"/>
      <c r="J66" s="771"/>
      <c r="K66" s="773"/>
      <c r="L66" s="790"/>
      <c r="M66" s="790"/>
    </row>
    <row r="68" spans="1:13" ht="15.75">
      <c r="A68" s="7" t="s">
        <v>418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ht="13.5" thickBot="1"/>
    <row r="70" spans="1:11" ht="12.75" customHeight="1">
      <c r="A70" s="757" t="s">
        <v>386</v>
      </c>
      <c r="B70" s="758"/>
      <c r="C70" s="758"/>
      <c r="D70" s="757" t="s">
        <v>412</v>
      </c>
      <c r="E70" s="728"/>
      <c r="F70" s="757" t="s">
        <v>419</v>
      </c>
      <c r="G70" s="728"/>
      <c r="H70" s="757" t="s">
        <v>414</v>
      </c>
      <c r="I70" s="728"/>
      <c r="J70" s="757" t="s">
        <v>415</v>
      </c>
      <c r="K70" s="728"/>
    </row>
    <row r="71" spans="1:11" ht="12.75" customHeight="1">
      <c r="A71" s="759"/>
      <c r="B71" s="760"/>
      <c r="C71" s="760"/>
      <c r="D71" s="759"/>
      <c r="E71" s="729"/>
      <c r="F71" s="759"/>
      <c r="G71" s="729"/>
      <c r="H71" s="759"/>
      <c r="I71" s="729"/>
      <c r="J71" s="759"/>
      <c r="K71" s="729"/>
    </row>
    <row r="72" spans="1:11" ht="13.5" customHeight="1" thickBot="1">
      <c r="A72" s="791"/>
      <c r="B72" s="794"/>
      <c r="C72" s="794"/>
      <c r="D72" s="791"/>
      <c r="E72" s="730"/>
      <c r="F72" s="791"/>
      <c r="G72" s="730"/>
      <c r="H72" s="791"/>
      <c r="I72" s="730"/>
      <c r="J72" s="791"/>
      <c r="K72" s="730"/>
    </row>
    <row r="73" spans="1:12" s="50" customFormat="1" ht="25.5" customHeight="1" thickBot="1">
      <c r="A73" s="744" t="s">
        <v>420</v>
      </c>
      <c r="B73" s="744"/>
      <c r="C73" s="744"/>
      <c r="D73" s="744" t="s">
        <v>421</v>
      </c>
      <c r="E73" s="744"/>
      <c r="F73" s="812" t="s">
        <v>417</v>
      </c>
      <c r="G73" s="813"/>
      <c r="H73" s="812">
        <v>257</v>
      </c>
      <c r="I73" s="813"/>
      <c r="J73" s="747">
        <v>257</v>
      </c>
      <c r="K73" s="747"/>
      <c r="L73" s="225"/>
    </row>
    <row r="74" spans="1:13" ht="12.75" customHeight="1">
      <c r="A74" s="795" t="s">
        <v>2</v>
      </c>
      <c r="B74" s="796"/>
      <c r="C74" s="797"/>
      <c r="D74" s="801"/>
      <c r="E74" s="802"/>
      <c r="F74" s="804">
        <f>SUM(F73)</f>
        <v>0</v>
      </c>
      <c r="G74" s="805"/>
      <c r="H74" s="808">
        <f>SUM(H73)</f>
        <v>257</v>
      </c>
      <c r="I74" s="809"/>
      <c r="J74" s="808">
        <f>SUM(J73)</f>
        <v>257</v>
      </c>
      <c r="K74" s="809"/>
      <c r="L74" s="814"/>
      <c r="M74" s="814"/>
    </row>
    <row r="75" spans="1:13" ht="13.5" customHeight="1" thickBot="1">
      <c r="A75" s="798"/>
      <c r="B75" s="799"/>
      <c r="C75" s="800"/>
      <c r="D75" s="803"/>
      <c r="E75" s="698"/>
      <c r="F75" s="806"/>
      <c r="G75" s="807"/>
      <c r="H75" s="810"/>
      <c r="I75" s="811"/>
      <c r="J75" s="810"/>
      <c r="K75" s="811"/>
      <c r="L75" s="814"/>
      <c r="M75" s="814"/>
    </row>
    <row r="77" spans="1:13" ht="15.75">
      <c r="A77" s="7" t="s">
        <v>422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ht="13.5" thickBot="1"/>
    <row r="79" spans="1:11" ht="12.75" customHeight="1">
      <c r="A79" s="757" t="s">
        <v>386</v>
      </c>
      <c r="B79" s="758"/>
      <c r="C79" s="758"/>
      <c r="D79" s="757" t="s">
        <v>412</v>
      </c>
      <c r="E79" s="728"/>
      <c r="F79" s="757" t="s">
        <v>413</v>
      </c>
      <c r="G79" s="728"/>
      <c r="H79" s="757" t="s">
        <v>414</v>
      </c>
      <c r="I79" s="728"/>
      <c r="J79" s="757" t="s">
        <v>415</v>
      </c>
      <c r="K79" s="728"/>
    </row>
    <row r="80" spans="1:11" ht="12.75" customHeight="1">
      <c r="A80" s="759"/>
      <c r="B80" s="760"/>
      <c r="C80" s="760"/>
      <c r="D80" s="759"/>
      <c r="E80" s="729"/>
      <c r="F80" s="759"/>
      <c r="G80" s="729"/>
      <c r="H80" s="759"/>
      <c r="I80" s="729"/>
      <c r="J80" s="759"/>
      <c r="K80" s="729"/>
    </row>
    <row r="81" spans="1:11" ht="13.5" customHeight="1" thickBot="1">
      <c r="A81" s="791"/>
      <c r="B81" s="794"/>
      <c r="C81" s="794"/>
      <c r="D81" s="791"/>
      <c r="E81" s="730"/>
      <c r="F81" s="791"/>
      <c r="G81" s="730"/>
      <c r="H81" s="791"/>
      <c r="I81" s="730"/>
      <c r="J81" s="791"/>
      <c r="K81" s="730"/>
    </row>
    <row r="82" spans="1:12" s="50" customFormat="1" ht="25.5" customHeight="1" thickBot="1">
      <c r="A82" s="744" t="s">
        <v>420</v>
      </c>
      <c r="B82" s="744"/>
      <c r="C82" s="744"/>
      <c r="D82" s="744" t="s">
        <v>423</v>
      </c>
      <c r="E82" s="744"/>
      <c r="F82" s="792" t="s">
        <v>417</v>
      </c>
      <c r="G82" s="793"/>
      <c r="H82" s="792"/>
      <c r="I82" s="793"/>
      <c r="J82" s="744"/>
      <c r="K82" s="744"/>
      <c r="L82" s="225"/>
    </row>
    <row r="83" spans="1:13" ht="12.75" customHeight="1">
      <c r="A83" s="795" t="s">
        <v>2</v>
      </c>
      <c r="B83" s="796"/>
      <c r="C83" s="797"/>
      <c r="D83" s="801"/>
      <c r="E83" s="802"/>
      <c r="F83" s="801"/>
      <c r="G83" s="802"/>
      <c r="H83" s="768">
        <f>SUM(H82)</f>
        <v>0</v>
      </c>
      <c r="I83" s="770"/>
      <c r="J83" s="768">
        <f>SUM(J82)</f>
        <v>0</v>
      </c>
      <c r="K83" s="770"/>
      <c r="L83" s="814"/>
      <c r="M83" s="814"/>
    </row>
    <row r="84" spans="1:13" ht="13.5" customHeight="1" thickBot="1">
      <c r="A84" s="798"/>
      <c r="B84" s="799"/>
      <c r="C84" s="800"/>
      <c r="D84" s="803"/>
      <c r="E84" s="698"/>
      <c r="F84" s="803"/>
      <c r="G84" s="698"/>
      <c r="H84" s="771"/>
      <c r="I84" s="773"/>
      <c r="J84" s="771"/>
      <c r="K84" s="773"/>
      <c r="L84" s="814"/>
      <c r="M84" s="814"/>
    </row>
    <row r="86" spans="1:13" ht="15.75">
      <c r="A86" s="7" t="s">
        <v>424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ht="13.5" thickBot="1"/>
    <row r="88" spans="1:11" ht="12.75" customHeight="1">
      <c r="A88" s="757" t="s">
        <v>386</v>
      </c>
      <c r="B88" s="758"/>
      <c r="C88" s="758"/>
      <c r="D88" s="757" t="s">
        <v>412</v>
      </c>
      <c r="E88" s="728"/>
      <c r="F88" s="757" t="s">
        <v>413</v>
      </c>
      <c r="G88" s="728"/>
      <c r="H88" s="757" t="s">
        <v>414</v>
      </c>
      <c r="I88" s="728"/>
      <c r="J88" s="757" t="s">
        <v>415</v>
      </c>
      <c r="K88" s="728"/>
    </row>
    <row r="89" spans="1:11" ht="12.75" customHeight="1">
      <c r="A89" s="759"/>
      <c r="B89" s="760"/>
      <c r="C89" s="760"/>
      <c r="D89" s="759"/>
      <c r="E89" s="729"/>
      <c r="F89" s="759"/>
      <c r="G89" s="729"/>
      <c r="H89" s="759"/>
      <c r="I89" s="729"/>
      <c r="J89" s="759"/>
      <c r="K89" s="729"/>
    </row>
    <row r="90" spans="1:11" ht="13.5" customHeight="1" thickBot="1">
      <c r="A90" s="791"/>
      <c r="B90" s="794"/>
      <c r="C90" s="794"/>
      <c r="D90" s="791"/>
      <c r="E90" s="730"/>
      <c r="F90" s="791"/>
      <c r="G90" s="730"/>
      <c r="H90" s="791"/>
      <c r="I90" s="730"/>
      <c r="J90" s="791"/>
      <c r="K90" s="730"/>
    </row>
    <row r="91" spans="1:12" s="50" customFormat="1" ht="25.5" customHeight="1" thickBot="1">
      <c r="A91" s="744" t="s">
        <v>420</v>
      </c>
      <c r="B91" s="744"/>
      <c r="C91" s="744"/>
      <c r="D91" s="744"/>
      <c r="E91" s="744"/>
      <c r="F91" s="792" t="s">
        <v>417</v>
      </c>
      <c r="G91" s="793"/>
      <c r="H91" s="792"/>
      <c r="I91" s="793"/>
      <c r="J91" s="744"/>
      <c r="K91" s="744"/>
      <c r="L91" s="225"/>
    </row>
    <row r="92" spans="1:13" ht="12.75" customHeight="1">
      <c r="A92" s="795" t="s">
        <v>2</v>
      </c>
      <c r="B92" s="796"/>
      <c r="C92" s="797"/>
      <c r="D92" s="801"/>
      <c r="E92" s="802"/>
      <c r="F92" s="801"/>
      <c r="G92" s="802"/>
      <c r="H92" s="768">
        <f>SUM(H91)</f>
        <v>0</v>
      </c>
      <c r="I92" s="770"/>
      <c r="J92" s="768">
        <f>SUM(J91)</f>
        <v>0</v>
      </c>
      <c r="K92" s="770"/>
      <c r="L92" s="814"/>
      <c r="M92" s="814"/>
    </row>
    <row r="93" spans="1:13" ht="13.5" customHeight="1" thickBot="1">
      <c r="A93" s="798"/>
      <c r="B93" s="799"/>
      <c r="C93" s="800"/>
      <c r="D93" s="803"/>
      <c r="E93" s="698"/>
      <c r="F93" s="803"/>
      <c r="G93" s="698"/>
      <c r="H93" s="771"/>
      <c r="I93" s="773"/>
      <c r="J93" s="771"/>
      <c r="K93" s="773"/>
      <c r="L93" s="814"/>
      <c r="M93" s="814"/>
    </row>
  </sheetData>
  <sheetProtection/>
  <mergeCells count="150">
    <mergeCell ref="A82:C82"/>
    <mergeCell ref="D82:E82"/>
    <mergeCell ref="F82:G82"/>
    <mergeCell ref="A88:C90"/>
    <mergeCell ref="D88:E90"/>
    <mergeCell ref="F88:G90"/>
    <mergeCell ref="A83:C84"/>
    <mergeCell ref="D83:E84"/>
    <mergeCell ref="F83:G84"/>
    <mergeCell ref="K37:K39"/>
    <mergeCell ref="L37:L39"/>
    <mergeCell ref="M37:M39"/>
    <mergeCell ref="A37:C39"/>
    <mergeCell ref="D37:D39"/>
    <mergeCell ref="I34:I36"/>
    <mergeCell ref="J34:J36"/>
    <mergeCell ref="L34:L36"/>
    <mergeCell ref="G37:G39"/>
    <mergeCell ref="A92:C93"/>
    <mergeCell ref="D92:E93"/>
    <mergeCell ref="F92:G93"/>
    <mergeCell ref="A91:C91"/>
    <mergeCell ref="D91:E91"/>
    <mergeCell ref="F91:G91"/>
    <mergeCell ref="L92:L93"/>
    <mergeCell ref="M92:M93"/>
    <mergeCell ref="J91:K91"/>
    <mergeCell ref="H91:I91"/>
    <mergeCell ref="H92:I93"/>
    <mergeCell ref="J92:K93"/>
    <mergeCell ref="H88:I90"/>
    <mergeCell ref="M83:M84"/>
    <mergeCell ref="J88:K90"/>
    <mergeCell ref="L83:L84"/>
    <mergeCell ref="J82:K82"/>
    <mergeCell ref="J83:K84"/>
    <mergeCell ref="H83:I84"/>
    <mergeCell ref="H82:I82"/>
    <mergeCell ref="L74:L75"/>
    <mergeCell ref="M74:M75"/>
    <mergeCell ref="A79:C81"/>
    <mergeCell ref="D79:E81"/>
    <mergeCell ref="F79:G81"/>
    <mergeCell ref="H79:I81"/>
    <mergeCell ref="J79:K81"/>
    <mergeCell ref="J73:K73"/>
    <mergeCell ref="A74:C75"/>
    <mergeCell ref="D74:E75"/>
    <mergeCell ref="F74:G75"/>
    <mergeCell ref="H74:I75"/>
    <mergeCell ref="J74:K75"/>
    <mergeCell ref="A73:C73"/>
    <mergeCell ref="D73:E73"/>
    <mergeCell ref="F73:G73"/>
    <mergeCell ref="H73:I73"/>
    <mergeCell ref="J70:K72"/>
    <mergeCell ref="A65:C66"/>
    <mergeCell ref="D65:E66"/>
    <mergeCell ref="F65:G66"/>
    <mergeCell ref="H65:I66"/>
    <mergeCell ref="A70:C72"/>
    <mergeCell ref="D70:E72"/>
    <mergeCell ref="F70:G72"/>
    <mergeCell ref="H70:I72"/>
    <mergeCell ref="A64:C64"/>
    <mergeCell ref="D64:E64"/>
    <mergeCell ref="F64:G64"/>
    <mergeCell ref="M65:M66"/>
    <mergeCell ref="A61:C63"/>
    <mergeCell ref="D61:E63"/>
    <mergeCell ref="F61:G63"/>
    <mergeCell ref="H61:I63"/>
    <mergeCell ref="H64:I64"/>
    <mergeCell ref="K40:K42"/>
    <mergeCell ref="L40:L42"/>
    <mergeCell ref="J65:K66"/>
    <mergeCell ref="L65:L66"/>
    <mergeCell ref="J61:K63"/>
    <mergeCell ref="M40:M42"/>
    <mergeCell ref="J64:K64"/>
    <mergeCell ref="H43:H44"/>
    <mergeCell ref="I43:I44"/>
    <mergeCell ref="J43:J44"/>
    <mergeCell ref="L43:L44"/>
    <mergeCell ref="M43:M44"/>
    <mergeCell ref="K43:K44"/>
    <mergeCell ref="G43:G44"/>
    <mergeCell ref="G40:G42"/>
    <mergeCell ref="A43:C44"/>
    <mergeCell ref="D43:D44"/>
    <mergeCell ref="E43:E44"/>
    <mergeCell ref="F43:F44"/>
    <mergeCell ref="F40:F42"/>
    <mergeCell ref="A40:C42"/>
    <mergeCell ref="D40:D42"/>
    <mergeCell ref="I40:I42"/>
    <mergeCell ref="J40:J42"/>
    <mergeCell ref="E34:E36"/>
    <mergeCell ref="E40:E42"/>
    <mergeCell ref="H40:H42"/>
    <mergeCell ref="I37:I39"/>
    <mergeCell ref="J37:J39"/>
    <mergeCell ref="H37:H39"/>
    <mergeCell ref="E37:E39"/>
    <mergeCell ref="F37:F39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A19:C20"/>
    <mergeCell ref="D19:D20"/>
    <mergeCell ref="E19:E20"/>
    <mergeCell ref="F19:F20"/>
    <mergeCell ref="F34:F36"/>
    <mergeCell ref="G34:G36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A1:O1"/>
    <mergeCell ref="M13:M15"/>
    <mergeCell ref="A16:C18"/>
    <mergeCell ref="D16:D18"/>
    <mergeCell ref="E16:E18"/>
    <mergeCell ref="F16:F18"/>
    <mergeCell ref="G16:G18"/>
    <mergeCell ref="H16:H18"/>
    <mergeCell ref="A4:M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G35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5.75390625" style="24" customWidth="1"/>
    <col min="2" max="2" width="65.75390625" style="24" customWidth="1"/>
    <col min="3" max="5" width="15.75390625" style="24" bestFit="1" customWidth="1"/>
    <col min="6" max="6" width="18.00390625" style="24" bestFit="1" customWidth="1"/>
    <col min="7" max="7" width="11.375" style="50" bestFit="1" customWidth="1"/>
    <col min="8" max="16384" width="9.125" style="50" customWidth="1"/>
  </cols>
  <sheetData>
    <row r="1" spans="1:6" ht="15.75">
      <c r="A1" s="541" t="s">
        <v>635</v>
      </c>
      <c r="B1" s="541"/>
      <c r="C1" s="541"/>
      <c r="D1" s="541"/>
      <c r="E1" s="541"/>
      <c r="F1" s="541"/>
    </row>
    <row r="2" spans="1:6" ht="21" customHeight="1">
      <c r="A2" s="659" t="s">
        <v>483</v>
      </c>
      <c r="B2" s="659"/>
      <c r="C2" s="659"/>
      <c r="D2" s="659"/>
      <c r="E2" s="659"/>
      <c r="F2" s="659"/>
    </row>
    <row r="3" spans="1:6" ht="15.75">
      <c r="A3" s="659" t="s">
        <v>425</v>
      </c>
      <c r="B3" s="659"/>
      <c r="C3" s="659"/>
      <c r="D3" s="659"/>
      <c r="E3" s="659"/>
      <c r="F3" s="659"/>
    </row>
    <row r="4" spans="1:6" ht="15.75">
      <c r="A4" s="659" t="s">
        <v>426</v>
      </c>
      <c r="B4" s="659"/>
      <c r="C4" s="659"/>
      <c r="D4" s="659"/>
      <c r="E4" s="659"/>
      <c r="F4" s="659"/>
    </row>
    <row r="5" spans="1:6" ht="15.75">
      <c r="A5" s="659" t="s">
        <v>515</v>
      </c>
      <c r="B5" s="659"/>
      <c r="C5" s="659"/>
      <c r="D5" s="659"/>
      <c r="E5" s="659"/>
      <c r="F5" s="659"/>
    </row>
    <row r="6" spans="1:6" ht="16.5" thickBot="1">
      <c r="A6" s="26"/>
      <c r="B6" s="26"/>
      <c r="C6" s="50"/>
      <c r="D6" s="227"/>
      <c r="E6" s="50"/>
      <c r="F6" s="227" t="s">
        <v>5</v>
      </c>
    </row>
    <row r="7" spans="1:6" ht="15.75">
      <c r="A7" s="228" t="s">
        <v>42</v>
      </c>
      <c r="B7" s="827" t="s">
        <v>427</v>
      </c>
      <c r="C7" s="830" t="s">
        <v>428</v>
      </c>
      <c r="D7" s="831"/>
      <c r="E7" s="831"/>
      <c r="F7" s="827" t="s">
        <v>313</v>
      </c>
    </row>
    <row r="8" spans="1:6" ht="16.5" thickBot="1">
      <c r="A8" s="229"/>
      <c r="B8" s="828"/>
      <c r="C8" s="832"/>
      <c r="D8" s="833"/>
      <c r="E8" s="833"/>
      <c r="F8" s="828"/>
    </row>
    <row r="9" spans="1:6" ht="16.5" thickBot="1">
      <c r="A9" s="229"/>
      <c r="B9" s="828"/>
      <c r="C9" s="230" t="s">
        <v>382</v>
      </c>
      <c r="D9" s="230" t="s">
        <v>464</v>
      </c>
      <c r="E9" s="230" t="s">
        <v>516</v>
      </c>
      <c r="F9" s="828"/>
    </row>
    <row r="10" spans="1:6" ht="16.5" thickBot="1">
      <c r="A10" s="231" t="s">
        <v>43</v>
      </c>
      <c r="B10" s="829"/>
      <c r="C10" s="834" t="s">
        <v>429</v>
      </c>
      <c r="D10" s="835"/>
      <c r="E10" s="835"/>
      <c r="F10" s="829"/>
    </row>
    <row r="11" spans="1:6" ht="15.75">
      <c r="A11" s="226" t="s">
        <v>44</v>
      </c>
      <c r="B11" s="256" t="s">
        <v>435</v>
      </c>
      <c r="C11" s="232">
        <v>7733</v>
      </c>
      <c r="D11" s="232">
        <v>7733</v>
      </c>
      <c r="E11" s="232">
        <v>7733</v>
      </c>
      <c r="F11" s="232">
        <f>SUM(C11:E11)</f>
        <v>23199</v>
      </c>
    </row>
    <row r="12" spans="1:6" ht="31.5">
      <c r="A12" s="226" t="s">
        <v>27</v>
      </c>
      <c r="B12" s="257" t="s">
        <v>436</v>
      </c>
      <c r="C12" s="233"/>
      <c r="D12" s="233"/>
      <c r="E12" s="233"/>
      <c r="F12" s="232">
        <f>SUM(C12:E12)</f>
        <v>0</v>
      </c>
    </row>
    <row r="13" spans="1:2" s="204" customFormat="1" ht="15.75">
      <c r="A13" s="226" t="s">
        <v>45</v>
      </c>
      <c r="B13" s="256" t="s">
        <v>437</v>
      </c>
    </row>
    <row r="14" spans="1:6" s="204" customFormat="1" ht="31.5">
      <c r="A14" s="226" t="s">
        <v>105</v>
      </c>
      <c r="B14" s="257" t="s">
        <v>438</v>
      </c>
      <c r="C14" s="234"/>
      <c r="D14" s="234"/>
      <c r="E14" s="234"/>
      <c r="F14" s="232">
        <f>SUM(C14:E14)</f>
        <v>0</v>
      </c>
    </row>
    <row r="15" spans="1:6" s="204" customFormat="1" ht="15.75">
      <c r="A15" s="226" t="s">
        <v>106</v>
      </c>
      <c r="B15" s="256" t="s">
        <v>430</v>
      </c>
      <c r="C15" s="234">
        <v>75</v>
      </c>
      <c r="D15" s="234">
        <v>75</v>
      </c>
      <c r="E15" s="234">
        <v>75</v>
      </c>
      <c r="F15" s="232">
        <f>SUM(C15:E15)</f>
        <v>225</v>
      </c>
    </row>
    <row r="16" spans="1:6" s="204" customFormat="1" ht="15.75">
      <c r="A16" s="226" t="s">
        <v>112</v>
      </c>
      <c r="B16" s="256" t="s">
        <v>439</v>
      </c>
      <c r="C16" s="235"/>
      <c r="D16" s="235"/>
      <c r="E16" s="235"/>
      <c r="F16" s="235"/>
    </row>
    <row r="17" spans="1:6" s="239" customFormat="1" ht="15.75">
      <c r="A17" s="236" t="s">
        <v>248</v>
      </c>
      <c r="B17" s="237" t="s">
        <v>431</v>
      </c>
      <c r="C17" s="238">
        <f>SUM(C11:C16)</f>
        <v>7808</v>
      </c>
      <c r="D17" s="238">
        <f>SUM(D11:D16)</f>
        <v>7808</v>
      </c>
      <c r="E17" s="238">
        <f>SUM(E11:E16)</f>
        <v>7808</v>
      </c>
      <c r="F17" s="238">
        <f>SUM(F11:F16)</f>
        <v>23424</v>
      </c>
    </row>
    <row r="18" spans="1:6" s="244" customFormat="1" ht="18.75">
      <c r="A18" s="240" t="s">
        <v>252</v>
      </c>
      <c r="B18" s="241" t="s">
        <v>432</v>
      </c>
      <c r="C18" s="242">
        <f>C17*0.5</f>
        <v>3904</v>
      </c>
      <c r="D18" s="242">
        <f>D17*0.5</f>
        <v>3904</v>
      </c>
      <c r="E18" s="242">
        <f>E17*0.5</f>
        <v>3904</v>
      </c>
      <c r="F18" s="243">
        <f>SUM(C18:E18)</f>
        <v>11712</v>
      </c>
    </row>
    <row r="19" spans="1:6" s="204" customFormat="1" ht="31.5">
      <c r="A19" s="245" t="s">
        <v>259</v>
      </c>
      <c r="B19" s="257" t="s">
        <v>440</v>
      </c>
      <c r="C19" s="234"/>
      <c r="D19" s="234"/>
      <c r="E19" s="234"/>
      <c r="F19" s="234">
        <f>SUM(C19:E19)</f>
        <v>0</v>
      </c>
    </row>
    <row r="20" spans="1:6" s="204" customFormat="1" ht="31.5">
      <c r="A20" s="245" t="s">
        <v>261</v>
      </c>
      <c r="B20" s="257" t="s">
        <v>441</v>
      </c>
      <c r="C20" s="234"/>
      <c r="D20" s="234"/>
      <c r="E20" s="234"/>
      <c r="F20" s="234">
        <f>SUM(C20:E20)</f>
        <v>0</v>
      </c>
    </row>
    <row r="21" spans="1:6" s="204" customFormat="1" ht="15.75">
      <c r="A21" s="245" t="s">
        <v>263</v>
      </c>
      <c r="B21" s="256" t="s">
        <v>442</v>
      </c>
      <c r="C21" s="234"/>
      <c r="D21" s="234"/>
      <c r="E21" s="234"/>
      <c r="F21" s="234"/>
    </row>
    <row r="22" spans="1:6" s="204" customFormat="1" ht="31.5">
      <c r="A22" s="245" t="s">
        <v>268</v>
      </c>
      <c r="B22" s="246" t="s">
        <v>443</v>
      </c>
      <c r="C22" s="234"/>
      <c r="D22" s="234"/>
      <c r="E22" s="234"/>
      <c r="F22" s="234"/>
    </row>
    <row r="23" spans="1:6" s="204" customFormat="1" ht="47.25">
      <c r="A23" s="245" t="s">
        <v>270</v>
      </c>
      <c r="B23" s="246" t="s">
        <v>444</v>
      </c>
      <c r="C23" s="234"/>
      <c r="D23" s="234"/>
      <c r="E23" s="234"/>
      <c r="F23" s="234"/>
    </row>
    <row r="24" spans="1:6" s="204" customFormat="1" ht="31.5">
      <c r="A24" s="245" t="s">
        <v>272</v>
      </c>
      <c r="B24" s="246" t="s">
        <v>445</v>
      </c>
      <c r="C24" s="234"/>
      <c r="D24" s="234"/>
      <c r="E24" s="234"/>
      <c r="F24" s="234"/>
    </row>
    <row r="25" spans="1:6" s="204" customFormat="1" ht="31.5">
      <c r="A25" s="245" t="s">
        <v>279</v>
      </c>
      <c r="B25" s="246" t="s">
        <v>446</v>
      </c>
      <c r="C25" s="247"/>
      <c r="D25" s="247"/>
      <c r="E25" s="247"/>
      <c r="F25" s="247"/>
    </row>
    <row r="26" spans="1:6" s="239" customFormat="1" ht="15.75">
      <c r="A26" s="236" t="s">
        <v>282</v>
      </c>
      <c r="B26" s="248" t="s">
        <v>433</v>
      </c>
      <c r="C26" s="249">
        <f>SUM(C19:C24)</f>
        <v>0</v>
      </c>
      <c r="D26" s="249">
        <f>SUM(D19:D24)</f>
        <v>0</v>
      </c>
      <c r="E26" s="249">
        <f>SUM(E19:E24)</f>
        <v>0</v>
      </c>
      <c r="F26" s="249">
        <f>SUM(F19:F24)</f>
        <v>0</v>
      </c>
    </row>
    <row r="27" spans="1:6" s="252" customFormat="1" ht="37.5">
      <c r="A27" s="240" t="s">
        <v>284</v>
      </c>
      <c r="B27" s="250" t="s">
        <v>434</v>
      </c>
      <c r="C27" s="251">
        <f>C18-C26</f>
        <v>3904</v>
      </c>
      <c r="D27" s="251">
        <f>D18-D26</f>
        <v>3904</v>
      </c>
      <c r="E27" s="251">
        <f>E18-E26</f>
        <v>3904</v>
      </c>
      <c r="F27" s="251">
        <f>SUM(C27:E27)</f>
        <v>11712</v>
      </c>
    </row>
    <row r="28" spans="1:6" s="204" customFormat="1" ht="15.75">
      <c r="A28" s="253"/>
      <c r="B28" s="254"/>
      <c r="C28" s="234"/>
      <c r="D28" s="234"/>
      <c r="E28" s="234"/>
      <c r="F28" s="234"/>
    </row>
    <row r="29" spans="1:7" s="204" customFormat="1" ht="15.75">
      <c r="A29" s="253"/>
      <c r="B29" s="254"/>
      <c r="C29" s="234"/>
      <c r="D29" s="234"/>
      <c r="E29" s="234"/>
      <c r="F29" s="234"/>
      <c r="G29" s="234"/>
    </row>
    <row r="30" spans="1:6" s="204" customFormat="1" ht="15.75">
      <c r="A30" s="254"/>
      <c r="B30" s="254"/>
      <c r="C30" s="234"/>
      <c r="D30" s="234"/>
      <c r="E30" s="234"/>
      <c r="F30" s="234"/>
    </row>
    <row r="31" spans="1:6" s="204" customFormat="1" ht="15.75">
      <c r="A31" s="254"/>
      <c r="B31" s="254"/>
      <c r="C31" s="234"/>
      <c r="D31" s="234"/>
      <c r="E31" s="234"/>
      <c r="F31" s="234"/>
    </row>
    <row r="32" spans="1:6" s="204" customFormat="1" ht="15.75">
      <c r="A32" s="254"/>
      <c r="B32" s="254"/>
      <c r="C32" s="234"/>
      <c r="D32" s="234"/>
      <c r="E32" s="234"/>
      <c r="F32" s="234"/>
    </row>
    <row r="33" spans="1:6" s="204" customFormat="1" ht="15.75">
      <c r="A33" s="254"/>
      <c r="B33" s="255"/>
      <c r="C33" s="234"/>
      <c r="D33" s="234"/>
      <c r="E33" s="234"/>
      <c r="F33" s="234"/>
    </row>
    <row r="34" spans="1:6" s="204" customFormat="1" ht="15.75">
      <c r="A34" s="254"/>
      <c r="B34" s="254"/>
      <c r="C34" s="234"/>
      <c r="D34" s="234"/>
      <c r="E34" s="234"/>
      <c r="F34" s="234"/>
    </row>
    <row r="35" spans="1:6" s="204" customFormat="1" ht="15.75">
      <c r="A35" s="254"/>
      <c r="B35" s="254"/>
      <c r="C35" s="234"/>
      <c r="D35" s="234"/>
      <c r="E35" s="234"/>
      <c r="F35" s="234"/>
    </row>
  </sheetData>
  <sheetProtection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B16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9.875" style="0" customWidth="1"/>
    <col min="2" max="2" width="25.125" style="0" customWidth="1"/>
  </cols>
  <sheetData>
    <row r="1" spans="1:2" ht="15.75">
      <c r="A1" s="541"/>
      <c r="B1" s="541"/>
    </row>
    <row r="2" spans="1:2" ht="15.75">
      <c r="A2" s="347"/>
      <c r="B2" s="347"/>
    </row>
    <row r="3" spans="1:2" ht="15.75">
      <c r="A3" s="542" t="s">
        <v>601</v>
      </c>
      <c r="B3" s="542"/>
    </row>
    <row r="4" spans="1:2" ht="15.75">
      <c r="A4" s="394"/>
      <c r="B4" s="394"/>
    </row>
    <row r="6" spans="1:2" ht="15">
      <c r="A6" s="617" t="s">
        <v>483</v>
      </c>
      <c r="B6" s="836"/>
    </row>
    <row r="7" spans="1:2" ht="15.75">
      <c r="A7" s="167" t="s">
        <v>316</v>
      </c>
      <c r="B7" s="167"/>
    </row>
    <row r="8" spans="1:2" ht="15.75">
      <c r="A8" s="522" t="s">
        <v>555</v>
      </c>
      <c r="B8" s="522"/>
    </row>
    <row r="9" spans="1:2" ht="15.75">
      <c r="A9" s="522" t="s">
        <v>484</v>
      </c>
      <c r="B9" s="522"/>
    </row>
    <row r="10" spans="1:2" ht="16.5" thickBot="1">
      <c r="A10" s="15"/>
      <c r="B10" s="15"/>
    </row>
    <row r="11" spans="1:2" ht="15.75">
      <c r="A11" s="169"/>
      <c r="B11" s="170" t="s">
        <v>10</v>
      </c>
    </row>
    <row r="12" spans="1:2" ht="15.75">
      <c r="A12" s="171" t="s">
        <v>318</v>
      </c>
      <c r="B12" s="171"/>
    </row>
    <row r="13" spans="1:2" ht="16.5" thickBot="1">
      <c r="A13" s="329"/>
      <c r="B13" s="171" t="s">
        <v>552</v>
      </c>
    </row>
    <row r="14" spans="1:2" ht="38.25" customHeight="1" thickBot="1">
      <c r="A14" s="485" t="s">
        <v>556</v>
      </c>
      <c r="B14" s="348">
        <f>B15+B16</f>
        <v>43240693</v>
      </c>
    </row>
    <row r="15" spans="1:2" ht="26.25" customHeight="1">
      <c r="A15" s="484" t="s">
        <v>600</v>
      </c>
      <c r="B15" s="483">
        <v>4825255</v>
      </c>
    </row>
    <row r="16" spans="1:2" ht="27.75" customHeight="1" thickBot="1">
      <c r="A16" s="482" t="s">
        <v>599</v>
      </c>
      <c r="B16" s="481">
        <v>38415438</v>
      </c>
    </row>
  </sheetData>
  <sheetProtection/>
  <mergeCells count="5">
    <mergeCell ref="A1:B1"/>
    <mergeCell ref="A3:B3"/>
    <mergeCell ref="A8:B8"/>
    <mergeCell ref="A9:B9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K15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2.25390625" style="0" customWidth="1"/>
    <col min="2" max="2" width="27.375" style="0" customWidth="1"/>
    <col min="3" max="3" width="13.75390625" style="0" customWidth="1"/>
    <col min="4" max="4" width="15.625" style="0" customWidth="1"/>
    <col min="5" max="5" width="12.75390625" style="0" customWidth="1"/>
    <col min="6" max="6" width="11.625" style="0" customWidth="1"/>
    <col min="7" max="7" width="12.25390625" style="0" customWidth="1"/>
    <col min="8" max="8" width="11.875" style="0" customWidth="1"/>
    <col min="9" max="9" width="13.00390625" style="0" customWidth="1"/>
    <col min="10" max="10" width="10.375" style="0" customWidth="1"/>
    <col min="11" max="11" width="11.125" style="0" customWidth="1"/>
    <col min="12" max="12" width="12.875" style="0" customWidth="1"/>
    <col min="13" max="13" width="14.625" style="0" customWidth="1"/>
    <col min="14" max="14" width="13.625" style="0" customWidth="1"/>
  </cols>
  <sheetData>
    <row r="1" spans="2:14" ht="12.75">
      <c r="B1" s="838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3" spans="2:4" ht="12.75">
      <c r="B3" s="501" t="s">
        <v>621</v>
      </c>
      <c r="C3" s="501"/>
      <c r="D3" s="501"/>
    </row>
    <row r="4" spans="2:4" ht="12.75">
      <c r="B4" s="501"/>
      <c r="C4" s="501"/>
      <c r="D4" s="501"/>
    </row>
    <row r="5" spans="2:14" ht="18.75" customHeight="1">
      <c r="B5" s="616" t="s">
        <v>483</v>
      </c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</row>
    <row r="6" spans="2:14" ht="23.25" customHeight="1">
      <c r="B6" s="616" t="s">
        <v>620</v>
      </c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</row>
    <row r="7" spans="2:14" ht="18.75" customHeight="1">
      <c r="B7" s="616" t="s">
        <v>619</v>
      </c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</row>
    <row r="8" spans="2:14" ht="16.5" customHeight="1">
      <c r="B8" s="616" t="s">
        <v>484</v>
      </c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</row>
    <row r="10" ht="13.5" thickBot="1">
      <c r="N10" s="361" t="s">
        <v>618</v>
      </c>
    </row>
    <row r="11" spans="1:14" ht="21" customHeight="1" thickBot="1">
      <c r="A11" s="839" t="s">
        <v>617</v>
      </c>
      <c r="B11" s="841" t="s">
        <v>0</v>
      </c>
      <c r="C11" s="837" t="s">
        <v>616</v>
      </c>
      <c r="D11" s="841" t="s">
        <v>612</v>
      </c>
      <c r="E11" s="841"/>
      <c r="F11" s="841"/>
      <c r="G11" s="841"/>
      <c r="H11" s="841"/>
      <c r="I11" s="837" t="s">
        <v>608</v>
      </c>
      <c r="J11" s="837"/>
      <c r="K11" s="837"/>
      <c r="L11" s="837"/>
      <c r="M11" s="837" t="s">
        <v>615</v>
      </c>
      <c r="N11" s="837"/>
    </row>
    <row r="12" spans="1:14" ht="61.5" customHeight="1" thickBot="1">
      <c r="A12" s="840"/>
      <c r="B12" s="841"/>
      <c r="C12" s="837"/>
      <c r="D12" s="498" t="s">
        <v>614</v>
      </c>
      <c r="E12" s="498" t="s">
        <v>613</v>
      </c>
      <c r="F12" s="498" t="s">
        <v>612</v>
      </c>
      <c r="G12" s="498" t="s">
        <v>611</v>
      </c>
      <c r="H12" s="498" t="s">
        <v>610</v>
      </c>
      <c r="I12" s="498" t="s">
        <v>609</v>
      </c>
      <c r="J12" s="498" t="s">
        <v>608</v>
      </c>
      <c r="K12" s="499" t="s">
        <v>607</v>
      </c>
      <c r="L12" s="498" t="s">
        <v>606</v>
      </c>
      <c r="M12" s="498" t="s">
        <v>605</v>
      </c>
      <c r="N12" s="498" t="s">
        <v>604</v>
      </c>
    </row>
    <row r="13" spans="1:14" ht="18" customHeight="1" thickBot="1">
      <c r="A13" s="497" t="s">
        <v>44</v>
      </c>
      <c r="B13" s="496" t="s">
        <v>603</v>
      </c>
      <c r="C13" s="492">
        <f>H13+L13+M13+N13</f>
        <v>102674110</v>
      </c>
      <c r="D13" s="492">
        <f>28045173+46400+27846+722670</f>
        <v>28842089</v>
      </c>
      <c r="E13" s="492">
        <v>7813000</v>
      </c>
      <c r="F13" s="492">
        <f>15503474-2730485</f>
        <v>12772989</v>
      </c>
      <c r="G13" s="492"/>
      <c r="H13" s="492">
        <f>D13+E13+F13+G13</f>
        <v>49428078</v>
      </c>
      <c r="I13" s="492"/>
      <c r="J13" s="492">
        <v>61800</v>
      </c>
      <c r="K13" s="492"/>
      <c r="L13" s="492">
        <f>I13+J13+K13</f>
        <v>61800</v>
      </c>
      <c r="M13" s="492">
        <f>23131431+64122+89764+17000+195900+38415438+120000</f>
        <v>62033655</v>
      </c>
      <c r="N13" s="495">
        <f>-8667923-181500</f>
        <v>-8849423</v>
      </c>
    </row>
    <row r="14" spans="1:14" ht="21" customHeight="1" thickBot="1">
      <c r="A14" s="494" t="s">
        <v>27</v>
      </c>
      <c r="B14" s="491" t="s">
        <v>602</v>
      </c>
      <c r="C14" s="492">
        <f>H14+L14+M14+N14</f>
        <v>11579908</v>
      </c>
      <c r="D14" s="492"/>
      <c r="E14" s="493"/>
      <c r="F14" s="493">
        <v>2730485</v>
      </c>
      <c r="G14" s="491"/>
      <c r="H14" s="492">
        <f>D14+E14+F14+G14</f>
        <v>2730485</v>
      </c>
      <c r="I14" s="491"/>
      <c r="J14" s="491"/>
      <c r="K14" s="491"/>
      <c r="L14" s="491"/>
      <c r="M14" s="491"/>
      <c r="N14" s="490">
        <f>8667923+181500</f>
        <v>8849423</v>
      </c>
    </row>
    <row r="15" spans="1:37" s="486" customFormat="1" ht="24" customHeight="1" thickBot="1">
      <c r="A15" s="489" t="s">
        <v>45</v>
      </c>
      <c r="B15" s="489" t="s">
        <v>571</v>
      </c>
      <c r="C15" s="488">
        <f>H15+L15+M15+N15</f>
        <v>114254018</v>
      </c>
      <c r="D15" s="488">
        <f aca="true" t="shared" si="0" ref="D15:N15">D13++D14</f>
        <v>28842089</v>
      </c>
      <c r="E15" s="488">
        <f t="shared" si="0"/>
        <v>7813000</v>
      </c>
      <c r="F15" s="488">
        <f t="shared" si="0"/>
        <v>15503474</v>
      </c>
      <c r="G15" s="488">
        <f t="shared" si="0"/>
        <v>0</v>
      </c>
      <c r="H15" s="488">
        <f t="shared" si="0"/>
        <v>52158563</v>
      </c>
      <c r="I15" s="488">
        <f t="shared" si="0"/>
        <v>0</v>
      </c>
      <c r="J15" s="488">
        <f t="shared" si="0"/>
        <v>61800</v>
      </c>
      <c r="K15" s="488">
        <f t="shared" si="0"/>
        <v>0</v>
      </c>
      <c r="L15" s="488">
        <f t="shared" si="0"/>
        <v>61800</v>
      </c>
      <c r="M15" s="488">
        <f t="shared" si="0"/>
        <v>62033655</v>
      </c>
      <c r="N15" s="488">
        <f t="shared" si="0"/>
        <v>0</v>
      </c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</row>
  </sheetData>
  <sheetProtection/>
  <mergeCells count="11">
    <mergeCell ref="I11:L11"/>
    <mergeCell ref="M11:N11"/>
    <mergeCell ref="B1:N1"/>
    <mergeCell ref="B5:N5"/>
    <mergeCell ref="A11:A12"/>
    <mergeCell ref="B6:N6"/>
    <mergeCell ref="B7:N7"/>
    <mergeCell ref="B8:N8"/>
    <mergeCell ref="C11:C12"/>
    <mergeCell ref="B11:B12"/>
    <mergeCell ref="D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6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349" customWidth="1"/>
    <col min="4" max="4" width="4.875" style="4" customWidth="1"/>
    <col min="5" max="5" width="16.375" style="349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6" ht="15">
      <c r="A1" s="513"/>
      <c r="B1" s="514"/>
      <c r="C1" s="514"/>
      <c r="D1" s="514"/>
      <c r="E1" s="514"/>
      <c r="F1" s="514"/>
    </row>
    <row r="3" spans="1:6" ht="15">
      <c r="A3" s="518" t="s">
        <v>566</v>
      </c>
      <c r="B3" s="519"/>
      <c r="C3" s="519"/>
      <c r="D3" s="519"/>
      <c r="E3" s="519"/>
      <c r="F3" s="519"/>
    </row>
    <row r="4" spans="2:6" ht="15">
      <c r="B4" s="96"/>
      <c r="C4" s="96"/>
      <c r="D4" s="96"/>
      <c r="E4" s="96"/>
      <c r="F4" s="96"/>
    </row>
    <row r="5" spans="2:6" s="50" customFormat="1" ht="15.75">
      <c r="B5" s="517" t="s">
        <v>483</v>
      </c>
      <c r="C5" s="517"/>
      <c r="D5" s="517"/>
      <c r="E5" s="517"/>
      <c r="F5" s="517"/>
    </row>
    <row r="6" spans="2:6" s="50" customFormat="1" ht="15.75">
      <c r="B6" s="516" t="s">
        <v>41</v>
      </c>
      <c r="C6" s="516"/>
      <c r="D6" s="516"/>
      <c r="E6" s="516"/>
      <c r="F6" s="516"/>
    </row>
    <row r="7" spans="2:6" ht="15.75">
      <c r="B7" s="516" t="s">
        <v>161</v>
      </c>
      <c r="C7" s="516"/>
      <c r="D7" s="516"/>
      <c r="E7" s="516"/>
      <c r="F7" s="516"/>
    </row>
    <row r="8" spans="2:6" ht="12.75" customHeight="1">
      <c r="B8" s="515" t="s">
        <v>489</v>
      </c>
      <c r="C8" s="515"/>
      <c r="D8" s="515"/>
      <c r="E8" s="515"/>
      <c r="F8" s="515"/>
    </row>
    <row r="9" spans="2:6" s="1" customFormat="1" ht="15">
      <c r="B9" s="4"/>
      <c r="C9" s="349"/>
      <c r="D9" s="4"/>
      <c r="E9" s="353"/>
      <c r="F9" s="4"/>
    </row>
    <row r="10" spans="1:5" s="1" customFormat="1" ht="18.75">
      <c r="A10" s="306" t="s">
        <v>44</v>
      </c>
      <c r="B10" s="110" t="s">
        <v>162</v>
      </c>
      <c r="C10" s="352"/>
      <c r="E10" s="111"/>
    </row>
    <row r="11" spans="1:6" ht="15.75">
      <c r="A11" s="306" t="s">
        <v>520</v>
      </c>
      <c r="B11" s="7" t="s">
        <v>163</v>
      </c>
      <c r="C11" s="352"/>
      <c r="D11" s="1"/>
      <c r="E11" s="357">
        <f>C12+C13</f>
        <v>28842089</v>
      </c>
      <c r="F11" s="1" t="s">
        <v>490</v>
      </c>
    </row>
    <row r="12" spans="1:8" ht="15.75">
      <c r="A12" s="306" t="s">
        <v>521</v>
      </c>
      <c r="B12" s="112" t="s">
        <v>164</v>
      </c>
      <c r="C12" s="349">
        <f>'2.mell - bevétel (2)'!H50</f>
        <v>28045173</v>
      </c>
      <c r="D12" s="4" t="s">
        <v>6</v>
      </c>
      <c r="E12" s="353"/>
      <c r="H12" s="90"/>
    </row>
    <row r="13" spans="1:6" s="1" customFormat="1" ht="15.75" customHeight="1">
      <c r="A13" s="306" t="s">
        <v>522</v>
      </c>
      <c r="B13" s="112" t="s">
        <v>165</v>
      </c>
      <c r="C13" s="349">
        <f>'2.mell - bevétel (2)'!H56</f>
        <v>796916</v>
      </c>
      <c r="D13" s="4" t="s">
        <v>6</v>
      </c>
      <c r="E13" s="353"/>
      <c r="F13" s="4"/>
    </row>
    <row r="14" spans="1:5" s="1" customFormat="1" ht="15.75">
      <c r="A14" s="306"/>
      <c r="B14" s="7"/>
      <c r="C14" s="352"/>
      <c r="E14" s="357"/>
    </row>
    <row r="15" spans="1:6" s="1" customFormat="1" ht="15.75">
      <c r="A15" s="306" t="s">
        <v>523</v>
      </c>
      <c r="B15" s="7" t="s">
        <v>166</v>
      </c>
      <c r="C15" s="352"/>
      <c r="E15" s="357"/>
      <c r="F15" s="1" t="s">
        <v>490</v>
      </c>
    </row>
    <row r="16" spans="1:5" s="1" customFormat="1" ht="15.75">
      <c r="A16" s="306"/>
      <c r="B16" s="7"/>
      <c r="C16" s="352"/>
      <c r="E16" s="357"/>
    </row>
    <row r="17" spans="1:6" s="1" customFormat="1" ht="15.75">
      <c r="A17" s="306" t="s">
        <v>524</v>
      </c>
      <c r="B17" s="7" t="s">
        <v>119</v>
      </c>
      <c r="C17" s="352"/>
      <c r="E17" s="357">
        <f>'2.mell - bevétel (2)'!G76</f>
        <v>7813000</v>
      </c>
      <c r="F17" s="1" t="s">
        <v>490</v>
      </c>
    </row>
    <row r="18" spans="1:8" s="1" customFormat="1" ht="15.75">
      <c r="A18" s="306"/>
      <c r="B18" s="7"/>
      <c r="C18" s="352"/>
      <c r="E18" s="357"/>
      <c r="H18" s="91"/>
    </row>
    <row r="19" spans="1:6" s="1" customFormat="1" ht="15.75">
      <c r="A19" s="306" t="s">
        <v>525</v>
      </c>
      <c r="B19" s="7" t="s">
        <v>57</v>
      </c>
      <c r="C19" s="352"/>
      <c r="E19" s="357">
        <f>'2.mell - bevétel (2)'!H99</f>
        <v>15503474</v>
      </c>
      <c r="F19" s="1" t="s">
        <v>490</v>
      </c>
    </row>
    <row r="20" spans="1:5" s="1" customFormat="1" ht="15.75">
      <c r="A20" s="306"/>
      <c r="B20" s="8"/>
      <c r="C20" s="356"/>
      <c r="E20" s="357"/>
    </row>
    <row r="21" spans="1:6" s="1" customFormat="1" ht="15.75">
      <c r="A21" s="306" t="s">
        <v>526</v>
      </c>
      <c r="B21" s="7" t="s">
        <v>167</v>
      </c>
      <c r="C21" s="352"/>
      <c r="E21" s="357">
        <v>0</v>
      </c>
      <c r="F21" s="1" t="s">
        <v>490</v>
      </c>
    </row>
    <row r="22" spans="1:5" s="1" customFormat="1" ht="15.75">
      <c r="A22" s="306"/>
      <c r="B22" s="8"/>
      <c r="C22" s="352"/>
      <c r="E22" s="357"/>
    </row>
    <row r="23" spans="1:6" s="1" customFormat="1" ht="15.75">
      <c r="A23" s="306" t="s">
        <v>527</v>
      </c>
      <c r="B23" s="7" t="s">
        <v>168</v>
      </c>
      <c r="E23" s="357">
        <f>C24+C25</f>
        <v>0</v>
      </c>
      <c r="F23" s="1" t="s">
        <v>490</v>
      </c>
    </row>
    <row r="24" spans="1:8" s="6" customFormat="1" ht="32.25">
      <c r="A24" s="307" t="s">
        <v>528</v>
      </c>
      <c r="B24" s="112" t="s">
        <v>169</v>
      </c>
      <c r="C24" s="356">
        <v>0</v>
      </c>
      <c r="D24" s="1" t="s">
        <v>6</v>
      </c>
      <c r="E24" s="357"/>
      <c r="F24" s="1"/>
      <c r="G24" s="1"/>
      <c r="H24" s="92"/>
    </row>
    <row r="25" spans="1:8" ht="18.75">
      <c r="A25" s="306"/>
      <c r="B25" s="50" t="s">
        <v>170</v>
      </c>
      <c r="C25" s="352">
        <v>0</v>
      </c>
      <c r="D25" s="1" t="s">
        <v>6</v>
      </c>
      <c r="E25" s="357"/>
      <c r="F25" s="1"/>
      <c r="G25" s="6"/>
      <c r="H25" s="93"/>
    </row>
    <row r="26" spans="1:8" s="1" customFormat="1" ht="18.75">
      <c r="A26" s="306"/>
      <c r="B26" s="60"/>
      <c r="C26" s="349"/>
      <c r="D26" s="4"/>
      <c r="E26" s="358"/>
      <c r="F26" s="6"/>
      <c r="H26" s="94"/>
    </row>
    <row r="27" spans="1:6" s="1" customFormat="1" ht="15.75">
      <c r="A27" s="306" t="s">
        <v>529</v>
      </c>
      <c r="B27" s="7" t="s">
        <v>147</v>
      </c>
      <c r="C27" s="352"/>
      <c r="E27" s="357">
        <f>C28+C29</f>
        <v>61800</v>
      </c>
      <c r="F27" s="1" t="s">
        <v>490</v>
      </c>
    </row>
    <row r="28" spans="1:5" s="1" customFormat="1" ht="31.5">
      <c r="A28" s="306" t="s">
        <v>530</v>
      </c>
      <c r="B28" s="112" t="s">
        <v>171</v>
      </c>
      <c r="C28" s="352">
        <f>'2.mell - bevétel (2)'!H107</f>
        <v>61800</v>
      </c>
      <c r="D28" s="1" t="s">
        <v>6</v>
      </c>
      <c r="E28" s="357"/>
    </row>
    <row r="29" spans="1:5" s="1" customFormat="1" ht="15.75">
      <c r="A29" s="306" t="s">
        <v>531</v>
      </c>
      <c r="B29" s="50" t="s">
        <v>172</v>
      </c>
      <c r="C29" s="352">
        <v>0</v>
      </c>
      <c r="D29" s="1" t="s">
        <v>6</v>
      </c>
      <c r="E29" s="357"/>
    </row>
    <row r="30" spans="1:5" s="1" customFormat="1" ht="15.75">
      <c r="A30" s="306"/>
      <c r="B30" s="60"/>
      <c r="E30" s="111"/>
    </row>
    <row r="31" spans="1:6" s="1" customFormat="1" ht="15.75">
      <c r="A31" s="306" t="s">
        <v>27</v>
      </c>
      <c r="B31" s="7" t="s">
        <v>46</v>
      </c>
      <c r="E31" s="113">
        <f>SUM(E11:E30)</f>
        <v>52220363</v>
      </c>
      <c r="F31" s="1" t="s">
        <v>490</v>
      </c>
    </row>
    <row r="32" spans="1:5" s="1" customFormat="1" ht="15.75">
      <c r="A32" s="306"/>
      <c r="B32" s="50"/>
      <c r="E32" s="111"/>
    </row>
    <row r="33" spans="1:5" s="1" customFormat="1" ht="18.75">
      <c r="A33" s="306" t="s">
        <v>45</v>
      </c>
      <c r="B33" s="110" t="s">
        <v>173</v>
      </c>
      <c r="E33" s="111"/>
    </row>
    <row r="34" spans="1:6" s="1" customFormat="1" ht="15.75">
      <c r="A34" s="306" t="s">
        <v>532</v>
      </c>
      <c r="B34" s="9" t="s">
        <v>17</v>
      </c>
      <c r="C34" s="352"/>
      <c r="E34" s="357">
        <f>C36+C37+C38+C39+C40+C41</f>
        <v>101430412</v>
      </c>
      <c r="F34" s="1" t="s">
        <v>490</v>
      </c>
    </row>
    <row r="35" spans="1:5" s="1" customFormat="1" ht="15.75">
      <c r="A35" s="306"/>
      <c r="B35" s="8" t="s">
        <v>16</v>
      </c>
      <c r="C35" s="352"/>
      <c r="E35" s="357"/>
    </row>
    <row r="36" spans="1:5" s="1" customFormat="1" ht="15.75">
      <c r="A36" s="306" t="s">
        <v>533</v>
      </c>
      <c r="B36" s="50" t="s">
        <v>174</v>
      </c>
      <c r="C36" s="352">
        <f>'4.mell. - kiadás (2)'!E48</f>
        <v>20579092</v>
      </c>
      <c r="D36" s="1" t="s">
        <v>490</v>
      </c>
      <c r="E36" s="357"/>
    </row>
    <row r="37" spans="1:5" s="1" customFormat="1" ht="15.75">
      <c r="A37" s="306" t="s">
        <v>534</v>
      </c>
      <c r="B37" s="50" t="s">
        <v>175</v>
      </c>
      <c r="C37" s="352">
        <f>'4.mell. - kiadás (2)'!F48</f>
        <v>4665100</v>
      </c>
      <c r="D37" s="1" t="s">
        <v>490</v>
      </c>
      <c r="E37" s="357"/>
    </row>
    <row r="38" spans="1:5" s="1" customFormat="1" ht="15.75">
      <c r="A38" s="306" t="s">
        <v>535</v>
      </c>
      <c r="B38" s="50" t="s">
        <v>176</v>
      </c>
      <c r="C38" s="352">
        <f>'4.mell. - kiadás (2)'!G48</f>
        <v>28160327</v>
      </c>
      <c r="D38" s="1" t="s">
        <v>490</v>
      </c>
      <c r="E38" s="357"/>
    </row>
    <row r="39" spans="1:5" s="1" customFormat="1" ht="15.75">
      <c r="A39" s="306" t="s">
        <v>536</v>
      </c>
      <c r="B39" s="114" t="s">
        <v>177</v>
      </c>
      <c r="C39" s="352">
        <f>'4.mell. - kiadás (2)'!H42</f>
        <v>3111400</v>
      </c>
      <c r="D39" s="1" t="s">
        <v>490</v>
      </c>
      <c r="E39" s="357"/>
    </row>
    <row r="40" spans="1:5" s="1" customFormat="1" ht="15.75">
      <c r="A40" s="306" t="s">
        <v>543</v>
      </c>
      <c r="B40" s="50" t="s">
        <v>82</v>
      </c>
      <c r="C40" s="352">
        <f>'4.mell. - kiadás (2)'!I42-C41</f>
        <v>1673800</v>
      </c>
      <c r="D40" s="1" t="s">
        <v>490</v>
      </c>
      <c r="E40" s="357"/>
    </row>
    <row r="41" spans="1:5" s="1" customFormat="1" ht="15.75">
      <c r="A41" s="306" t="s">
        <v>558</v>
      </c>
      <c r="B41" s="50" t="s">
        <v>557</v>
      </c>
      <c r="C41" s="356">
        <f>4825255+38415438</f>
        <v>43240693</v>
      </c>
      <c r="D41" s="1" t="s">
        <v>1</v>
      </c>
      <c r="E41" s="357"/>
    </row>
    <row r="42" spans="1:6" s="1" customFormat="1" ht="15.75">
      <c r="A42" s="306" t="s">
        <v>537</v>
      </c>
      <c r="B42" s="9" t="s">
        <v>18</v>
      </c>
      <c r="C42" s="352"/>
      <c r="E42" s="355">
        <f>C44+C45+C46</f>
        <v>11702397</v>
      </c>
      <c r="F42" s="1" t="s">
        <v>490</v>
      </c>
    </row>
    <row r="43" spans="1:5" s="1" customFormat="1" ht="15.75">
      <c r="A43" s="306"/>
      <c r="B43" s="8" t="s">
        <v>16</v>
      </c>
      <c r="C43" s="352"/>
      <c r="E43" s="357"/>
    </row>
    <row r="44" spans="1:5" s="1" customFormat="1" ht="15.75">
      <c r="A44" s="306" t="s">
        <v>544</v>
      </c>
      <c r="B44" s="50" t="s">
        <v>178</v>
      </c>
      <c r="C44" s="356">
        <f>'4.mell. - kiadás (2)'!K48</f>
        <v>382397</v>
      </c>
      <c r="D44" s="1" t="s">
        <v>490</v>
      </c>
      <c r="E44" s="357"/>
    </row>
    <row r="45" spans="1:5" s="1" customFormat="1" ht="15.75">
      <c r="A45" s="306" t="s">
        <v>538</v>
      </c>
      <c r="B45" s="50" t="s">
        <v>179</v>
      </c>
      <c r="C45" s="356">
        <f>'4.mell. - kiadás (2)'!L48</f>
        <v>10120000</v>
      </c>
      <c r="D45" s="1" t="s">
        <v>490</v>
      </c>
      <c r="E45" s="357"/>
    </row>
    <row r="46" spans="1:7" ht="15.75">
      <c r="A46" s="306" t="s">
        <v>539</v>
      </c>
      <c r="B46" s="50" t="s">
        <v>83</v>
      </c>
      <c r="C46" s="356">
        <f>'4.mell. - kiadás (2)'!M48</f>
        <v>1200000</v>
      </c>
      <c r="D46" s="1" t="s">
        <v>490</v>
      </c>
      <c r="E46" s="357"/>
      <c r="F46" s="1"/>
      <c r="G46" s="1"/>
    </row>
    <row r="47" s="1" customFormat="1" ht="7.5" customHeight="1">
      <c r="E47" s="357"/>
    </row>
    <row r="48" spans="1:6" s="1" customFormat="1" ht="15.75">
      <c r="A48" s="306" t="s">
        <v>105</v>
      </c>
      <c r="B48" s="18" t="s">
        <v>180</v>
      </c>
      <c r="C48" s="356"/>
      <c r="E48" s="357">
        <f>C49+C50+C51</f>
        <v>1121209</v>
      </c>
      <c r="F48" s="1" t="s">
        <v>490</v>
      </c>
    </row>
    <row r="49" spans="1:5" s="1" customFormat="1" ht="15.75">
      <c r="A49" s="306" t="s">
        <v>540</v>
      </c>
      <c r="B49" s="50" t="s">
        <v>181</v>
      </c>
      <c r="C49" s="352"/>
      <c r="D49" s="1" t="s">
        <v>490</v>
      </c>
      <c r="E49" s="357"/>
    </row>
    <row r="50" spans="1:7" s="6" customFormat="1" ht="18.75">
      <c r="A50" s="308" t="s">
        <v>541</v>
      </c>
      <c r="B50" s="50" t="s">
        <v>182</v>
      </c>
      <c r="C50" s="352"/>
      <c r="D50" s="1" t="s">
        <v>490</v>
      </c>
      <c r="E50" s="357"/>
      <c r="F50" s="1"/>
      <c r="G50" s="4"/>
    </row>
    <row r="51" spans="1:7" ht="15.75">
      <c r="A51" s="306" t="s">
        <v>542</v>
      </c>
      <c r="B51" s="50" t="s">
        <v>474</v>
      </c>
      <c r="C51" s="356">
        <f>'4.mell. - kiadás (2)'!O48</f>
        <v>1121209</v>
      </c>
      <c r="D51" s="1" t="s">
        <v>490</v>
      </c>
      <c r="E51" s="357"/>
      <c r="F51" s="1"/>
      <c r="G51" s="1"/>
    </row>
    <row r="52" spans="1:7" ht="15.75">
      <c r="A52" s="306" t="s">
        <v>106</v>
      </c>
      <c r="B52" s="7" t="s">
        <v>49</v>
      </c>
      <c r="C52" s="356"/>
      <c r="D52" s="1"/>
      <c r="E52" s="353">
        <f>SUM(E34:E51)</f>
        <v>114254018</v>
      </c>
      <c r="F52" s="4" t="s">
        <v>490</v>
      </c>
      <c r="G52" s="1"/>
    </row>
    <row r="53" spans="1:7" ht="15.75">
      <c r="A53" s="306"/>
      <c r="B53" s="50"/>
      <c r="C53" s="352"/>
      <c r="D53" s="1"/>
      <c r="E53" s="355"/>
      <c r="F53" s="1"/>
      <c r="G53" s="1"/>
    </row>
    <row r="54" spans="1:7" ht="18.75">
      <c r="A54" s="306" t="s">
        <v>112</v>
      </c>
      <c r="B54" s="7" t="s">
        <v>50</v>
      </c>
      <c r="C54" s="352"/>
      <c r="D54" s="1"/>
      <c r="E54" s="353">
        <f>E31-E52</f>
        <v>-62033655</v>
      </c>
      <c r="F54" s="4" t="s">
        <v>490</v>
      </c>
      <c r="G54" s="6"/>
    </row>
    <row r="55" spans="1:5" ht="15.75">
      <c r="A55" s="306"/>
      <c r="B55" s="50"/>
      <c r="C55" s="352"/>
      <c r="D55" s="1"/>
      <c r="E55" s="353"/>
    </row>
    <row r="56" spans="1:6" ht="32.25">
      <c r="A56" s="306" t="s">
        <v>248</v>
      </c>
      <c r="B56" s="105" t="s">
        <v>565</v>
      </c>
      <c r="C56" s="354"/>
      <c r="D56" s="6"/>
      <c r="E56" s="353">
        <f>'2.mell - bevétel (2)'!H113</f>
        <v>50912446</v>
      </c>
      <c r="F56" s="4" t="s">
        <v>490</v>
      </c>
    </row>
    <row r="57" spans="1:5" ht="48">
      <c r="A57" s="306" t="s">
        <v>250</v>
      </c>
      <c r="B57" s="105" t="s">
        <v>519</v>
      </c>
      <c r="C57" s="354"/>
      <c r="D57" s="6"/>
      <c r="E57" s="353">
        <v>10000000</v>
      </c>
    </row>
    <row r="58" spans="1:7" s="1" customFormat="1" ht="15.75">
      <c r="A58" s="306" t="s">
        <v>252</v>
      </c>
      <c r="B58" s="21" t="s">
        <v>497</v>
      </c>
      <c r="C58" s="349"/>
      <c r="D58" s="4"/>
      <c r="E58" s="353">
        <f>'2.mell - bevétel (2)'!H115</f>
        <v>1121209</v>
      </c>
      <c r="F58" s="4"/>
      <c r="G58" s="4"/>
    </row>
    <row r="59" spans="1:6" ht="15.75">
      <c r="A59" s="309" t="s">
        <v>259</v>
      </c>
      <c r="B59" s="7" t="s">
        <v>546</v>
      </c>
      <c r="E59" s="353">
        <f>E54+E56+E57+E58</f>
        <v>0</v>
      </c>
      <c r="F59" s="4" t="s">
        <v>490</v>
      </c>
    </row>
    <row r="60" spans="2:5" s="1" customFormat="1" ht="10.5" customHeight="1">
      <c r="B60" s="5"/>
      <c r="C60" s="352"/>
      <c r="E60" s="351"/>
    </row>
    <row r="61" spans="2:6" ht="15.75">
      <c r="B61" s="5"/>
      <c r="C61" s="352"/>
      <c r="D61" s="1"/>
      <c r="E61" s="351"/>
      <c r="F61" s="7"/>
    </row>
    <row r="62" spans="2:6" ht="15.75">
      <c r="B62" s="7"/>
      <c r="E62" s="350"/>
      <c r="F62" s="7"/>
    </row>
  </sheetData>
  <sheetProtection/>
  <mergeCells count="6">
    <mergeCell ref="A1:F1"/>
    <mergeCell ref="B8:F8"/>
    <mergeCell ref="B6:F6"/>
    <mergeCell ref="B5:F5"/>
    <mergeCell ref="B7:F7"/>
    <mergeCell ref="A3:F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2:G16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2.00390625" style="0" customWidth="1"/>
    <col min="2" max="2" width="37.875" style="0" customWidth="1"/>
    <col min="3" max="3" width="15.375" style="0" customWidth="1"/>
    <col min="4" max="4" width="13.25390625" style="0" customWidth="1"/>
    <col min="5" max="5" width="15.375" style="0" customWidth="1"/>
    <col min="6" max="6" width="14.25390625" style="0" customWidth="1"/>
    <col min="7" max="7" width="18.875" style="0" customWidth="1"/>
  </cols>
  <sheetData>
    <row r="2" spans="3:7" ht="12.75">
      <c r="C2" s="514"/>
      <c r="D2" s="514"/>
      <c r="E2" s="514"/>
      <c r="F2" s="514"/>
      <c r="G2" s="514"/>
    </row>
    <row r="3" spans="2:7" ht="12.75">
      <c r="B3" s="838"/>
      <c r="C3" s="838"/>
      <c r="D3" s="838"/>
      <c r="E3" s="838"/>
      <c r="F3" s="838"/>
      <c r="G3" s="607"/>
    </row>
    <row r="5" spans="2:7" ht="12.75">
      <c r="B5" s="842" t="s">
        <v>633</v>
      </c>
      <c r="C5" s="842"/>
      <c r="D5" s="842"/>
      <c r="E5" s="842"/>
      <c r="F5" s="842"/>
      <c r="G5" s="361"/>
    </row>
    <row r="6" spans="2:6" ht="12.75">
      <c r="B6" s="359"/>
      <c r="C6" s="519"/>
      <c r="D6" s="519"/>
      <c r="E6" s="519"/>
      <c r="F6" s="359"/>
    </row>
    <row r="7" spans="3:5" ht="15" customHeight="1">
      <c r="C7" s="616" t="s">
        <v>483</v>
      </c>
      <c r="D7" s="616"/>
      <c r="E7" s="616"/>
    </row>
    <row r="8" spans="2:7" ht="18.75" customHeight="1">
      <c r="B8" s="844" t="s">
        <v>41</v>
      </c>
      <c r="C8" s="844"/>
      <c r="D8" s="844"/>
      <c r="E8" s="844"/>
      <c r="F8" s="844"/>
      <c r="G8" s="844"/>
    </row>
    <row r="9" spans="2:7" ht="19.5" customHeight="1">
      <c r="B9" s="616" t="s">
        <v>632</v>
      </c>
      <c r="C9" s="616"/>
      <c r="D9" s="616"/>
      <c r="E9" s="616"/>
      <c r="F9" s="616"/>
      <c r="G9" s="616"/>
    </row>
    <row r="10" spans="2:7" ht="18.75" customHeight="1">
      <c r="B10" s="616" t="s">
        <v>484</v>
      </c>
      <c r="C10" s="616"/>
      <c r="D10" s="616"/>
      <c r="E10" s="616"/>
      <c r="F10" s="616"/>
      <c r="G10" s="616"/>
    </row>
    <row r="12" ht="13.5" thickBot="1">
      <c r="G12" s="361" t="s">
        <v>631</v>
      </c>
    </row>
    <row r="13" spans="1:7" ht="92.25" customHeight="1" thickBot="1">
      <c r="A13" s="510" t="s">
        <v>506</v>
      </c>
      <c r="B13" s="509" t="s">
        <v>630</v>
      </c>
      <c r="C13" s="837" t="s">
        <v>629</v>
      </c>
      <c r="D13" s="837"/>
      <c r="E13" s="843" t="s">
        <v>628</v>
      </c>
      <c r="F13" s="843"/>
      <c r="G13" s="500" t="s">
        <v>627</v>
      </c>
    </row>
    <row r="14" spans="1:7" ht="24.75" customHeight="1" thickBot="1">
      <c r="A14" s="508"/>
      <c r="B14" s="507" t="s">
        <v>626</v>
      </c>
      <c r="C14" s="506" t="s">
        <v>624</v>
      </c>
      <c r="D14" s="498" t="s">
        <v>625</v>
      </c>
      <c r="E14" s="489" t="s">
        <v>624</v>
      </c>
      <c r="F14" s="498" t="s">
        <v>623</v>
      </c>
      <c r="G14" s="489"/>
    </row>
    <row r="15" spans="1:7" ht="23.25" customHeight="1" thickBot="1">
      <c r="A15" s="494" t="s">
        <v>44</v>
      </c>
      <c r="B15" s="491" t="s">
        <v>622</v>
      </c>
      <c r="C15" s="493">
        <v>830400</v>
      </c>
      <c r="D15" s="505">
        <f>C15/G15*100</f>
        <v>9.383662641055807</v>
      </c>
      <c r="E15" s="493">
        <f>8667923-830400+181500</f>
        <v>8019023</v>
      </c>
      <c r="F15" s="505">
        <f>E15/G15*100</f>
        <v>90.6163373589442</v>
      </c>
      <c r="G15" s="490">
        <f>C15+E15</f>
        <v>8849423</v>
      </c>
    </row>
    <row r="16" spans="1:7" ht="26.25" customHeight="1" thickBot="1">
      <c r="A16" s="489" t="s">
        <v>27</v>
      </c>
      <c r="B16" s="504" t="s">
        <v>2</v>
      </c>
      <c r="C16" s="502">
        <f>C15</f>
        <v>830400</v>
      </c>
      <c r="D16" s="503">
        <f>C16/G16*100</f>
        <v>9.383662641055807</v>
      </c>
      <c r="E16" s="502">
        <f>E15</f>
        <v>8019023</v>
      </c>
      <c r="F16" s="503">
        <f>E16/G16*100</f>
        <v>90.6163373589442</v>
      </c>
      <c r="G16" s="502">
        <f>G15</f>
        <v>8849423</v>
      </c>
    </row>
  </sheetData>
  <sheetProtection/>
  <mergeCells count="10">
    <mergeCell ref="C2:G2"/>
    <mergeCell ref="C6:E6"/>
    <mergeCell ref="C7:E7"/>
    <mergeCell ref="B5:F5"/>
    <mergeCell ref="B3:G3"/>
    <mergeCell ref="C13:D13"/>
    <mergeCell ref="E13:F13"/>
    <mergeCell ref="B8:G8"/>
    <mergeCell ref="B9:G9"/>
    <mergeCell ref="B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K153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25390625" style="59" customWidth="1"/>
    <col min="2" max="5" width="3.125" style="57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513"/>
      <c r="B1" s="513"/>
      <c r="C1" s="513"/>
      <c r="D1" s="513"/>
      <c r="E1" s="513"/>
      <c r="F1" s="513"/>
      <c r="G1" s="513"/>
      <c r="H1" s="513"/>
      <c r="I1" s="513"/>
    </row>
    <row r="2" spans="1:9" ht="15.75">
      <c r="A2" s="346"/>
      <c r="B2" s="346"/>
      <c r="C2" s="346"/>
      <c r="D2" s="346"/>
      <c r="E2" s="346"/>
      <c r="F2" s="346"/>
      <c r="G2" s="346"/>
      <c r="H2" s="346"/>
      <c r="I2" s="346"/>
    </row>
    <row r="3" spans="1:9" ht="15.75">
      <c r="A3" s="513"/>
      <c r="B3" s="513"/>
      <c r="C3" s="513"/>
      <c r="D3" s="513"/>
      <c r="E3" s="513"/>
      <c r="F3" s="513"/>
      <c r="G3" s="513"/>
      <c r="H3" s="513"/>
      <c r="I3" s="513"/>
    </row>
    <row r="4" spans="1:9" ht="15.75">
      <c r="A4" s="518" t="s">
        <v>570</v>
      </c>
      <c r="B4" s="518"/>
      <c r="C4" s="518"/>
      <c r="D4" s="518"/>
      <c r="E4" s="518"/>
      <c r="F4" s="518"/>
      <c r="G4" s="518"/>
      <c r="H4" s="518"/>
      <c r="I4" s="518"/>
    </row>
    <row r="5" spans="1:9" ht="15.75">
      <c r="A5" s="360"/>
      <c r="B5" s="360"/>
      <c r="C5" s="360"/>
      <c r="D5" s="360"/>
      <c r="E5" s="360"/>
      <c r="F5" s="360"/>
      <c r="G5" s="360"/>
      <c r="H5" s="360"/>
      <c r="I5" s="360"/>
    </row>
    <row r="6" spans="1:9" s="9" customFormat="1" ht="15.75">
      <c r="A6" s="532" t="s">
        <v>4</v>
      </c>
      <c r="B6" s="532"/>
      <c r="C6" s="532"/>
      <c r="D6" s="532"/>
      <c r="E6" s="532"/>
      <c r="F6" s="532"/>
      <c r="G6" s="532"/>
      <c r="H6" s="532"/>
      <c r="I6" s="532"/>
    </row>
    <row r="7" spans="1:9" s="9" customFormat="1" ht="15.75">
      <c r="A7" s="532" t="s">
        <v>38</v>
      </c>
      <c r="B7" s="532"/>
      <c r="C7" s="532"/>
      <c r="D7" s="532"/>
      <c r="E7" s="532"/>
      <c r="F7" s="532"/>
      <c r="G7" s="532"/>
      <c r="H7" s="532"/>
      <c r="I7" s="532"/>
    </row>
    <row r="8" spans="1:9" ht="15.75">
      <c r="A8" s="532" t="s">
        <v>484</v>
      </c>
      <c r="B8" s="532"/>
      <c r="C8" s="532"/>
      <c r="D8" s="532"/>
      <c r="E8" s="532"/>
      <c r="F8" s="532"/>
      <c r="G8" s="532"/>
      <c r="H8" s="532"/>
      <c r="I8" s="532"/>
    </row>
    <row r="9" ht="15.75" hidden="1"/>
    <row r="10" spans="1:9" ht="15.75">
      <c r="A10" s="522" t="s">
        <v>483</v>
      </c>
      <c r="B10" s="522"/>
      <c r="C10" s="522"/>
      <c r="D10" s="522"/>
      <c r="E10" s="522"/>
      <c r="F10" s="522"/>
      <c r="G10" s="522"/>
      <c r="H10" s="522"/>
      <c r="I10" s="522"/>
    </row>
    <row r="11" spans="8:9" ht="16.5" thickBot="1">
      <c r="H11" s="61"/>
      <c r="I11" s="62" t="s">
        <v>485</v>
      </c>
    </row>
    <row r="12" spans="1:9" ht="15.75">
      <c r="A12" s="523" t="s">
        <v>21</v>
      </c>
      <c r="B12" s="524"/>
      <c r="C12" s="524"/>
      <c r="D12" s="524"/>
      <c r="E12" s="524"/>
      <c r="F12" s="525"/>
      <c r="G12" s="63" t="s">
        <v>19</v>
      </c>
      <c r="H12" s="63" t="s">
        <v>19</v>
      </c>
      <c r="I12" s="63" t="s">
        <v>20</v>
      </c>
    </row>
    <row r="13" spans="1:9" ht="15.75">
      <c r="A13" s="526"/>
      <c r="B13" s="527"/>
      <c r="C13" s="527"/>
      <c r="D13" s="527"/>
      <c r="E13" s="527"/>
      <c r="F13" s="528"/>
      <c r="G13" s="64" t="s">
        <v>10</v>
      </c>
      <c r="H13" s="64" t="s">
        <v>10</v>
      </c>
      <c r="I13" s="64"/>
    </row>
    <row r="14" spans="1:9" ht="16.5" thickBot="1">
      <c r="A14" s="529"/>
      <c r="B14" s="530"/>
      <c r="C14" s="530"/>
      <c r="D14" s="530"/>
      <c r="E14" s="530"/>
      <c r="F14" s="531"/>
      <c r="G14" s="65" t="s">
        <v>449</v>
      </c>
      <c r="H14" s="65" t="s">
        <v>484</v>
      </c>
      <c r="I14" s="65" t="s">
        <v>22</v>
      </c>
    </row>
    <row r="15" spans="1:9" ht="6.75" customHeight="1">
      <c r="A15" s="259"/>
      <c r="B15" s="259"/>
      <c r="C15" s="259"/>
      <c r="D15" s="259"/>
      <c r="E15" s="259"/>
      <c r="F15" s="259"/>
      <c r="G15" s="259"/>
      <c r="H15" s="259"/>
      <c r="I15" s="259"/>
    </row>
    <row r="16" spans="1:9" ht="15.75">
      <c r="A16" s="18" t="s">
        <v>51</v>
      </c>
      <c r="B16" s="520" t="s">
        <v>87</v>
      </c>
      <c r="C16" s="520"/>
      <c r="D16" s="520"/>
      <c r="E16" s="520"/>
      <c r="F16" s="520"/>
      <c r="G16" s="98"/>
      <c r="H16" s="372"/>
      <c r="I16" s="98"/>
    </row>
    <row r="17" spans="1:9" ht="15.75">
      <c r="A17" s="18"/>
      <c r="B17" s="18" t="s">
        <v>51</v>
      </c>
      <c r="C17" s="18" t="s">
        <v>88</v>
      </c>
      <c r="D17" s="18"/>
      <c r="E17" s="18"/>
      <c r="F17" s="18"/>
      <c r="G17" s="373"/>
      <c r="H17" s="373"/>
      <c r="I17" s="18"/>
    </row>
    <row r="18" spans="1:9" ht="18" customHeight="1">
      <c r="A18" s="18"/>
      <c r="B18" s="18"/>
      <c r="C18" s="18" t="s">
        <v>44</v>
      </c>
      <c r="D18" s="520" t="s">
        <v>89</v>
      </c>
      <c r="E18" s="520"/>
      <c r="F18" s="520"/>
      <c r="G18" s="372"/>
      <c r="H18" s="372"/>
      <c r="I18" s="98"/>
    </row>
    <row r="19" spans="1:9" ht="21.75" customHeight="1">
      <c r="A19" s="18"/>
      <c r="B19" s="18"/>
      <c r="C19" s="18"/>
      <c r="D19" s="18" t="s">
        <v>44</v>
      </c>
      <c r="E19" s="520" t="s">
        <v>90</v>
      </c>
      <c r="F19" s="520"/>
      <c r="G19" s="372"/>
      <c r="H19" s="372"/>
      <c r="I19" s="98"/>
    </row>
    <row r="20" spans="1:9" ht="15.75">
      <c r="A20" s="21"/>
      <c r="B20" s="21"/>
      <c r="C20" s="21"/>
      <c r="D20" s="21"/>
      <c r="E20" s="21" t="s">
        <v>58</v>
      </c>
      <c r="F20" s="21" t="s">
        <v>52</v>
      </c>
      <c r="G20" s="371"/>
      <c r="H20" s="371"/>
      <c r="I20" s="99"/>
    </row>
    <row r="21" spans="1:9" ht="20.25" customHeight="1">
      <c r="A21" s="21"/>
      <c r="B21" s="21"/>
      <c r="C21" s="21"/>
      <c r="D21" s="21"/>
      <c r="E21" s="21"/>
      <c r="F21" s="21" t="s">
        <v>91</v>
      </c>
      <c r="G21" s="371"/>
      <c r="I21" s="99"/>
    </row>
    <row r="22" spans="1:9" ht="31.5" customHeight="1">
      <c r="A22" s="21"/>
      <c r="B22" s="21"/>
      <c r="C22" s="21"/>
      <c r="D22" s="21"/>
      <c r="E22" s="21" t="s">
        <v>59</v>
      </c>
      <c r="F22" s="100" t="s">
        <v>53</v>
      </c>
      <c r="G22" s="370"/>
      <c r="I22" s="99"/>
    </row>
    <row r="23" spans="1:9" ht="36.75" customHeight="1">
      <c r="A23" s="21"/>
      <c r="B23" s="21"/>
      <c r="C23" s="21"/>
      <c r="D23" s="21"/>
      <c r="E23" s="21" t="s">
        <v>92</v>
      </c>
      <c r="F23" s="100" t="s">
        <v>93</v>
      </c>
      <c r="G23" s="277">
        <f>2553*1000</f>
        <v>2553000</v>
      </c>
      <c r="H23" s="277">
        <v>2553350</v>
      </c>
      <c r="I23" s="99">
        <f>H23/G23*100</f>
        <v>100.01370936153545</v>
      </c>
    </row>
    <row r="24" spans="1:9" ht="15.75">
      <c r="A24" s="21"/>
      <c r="B24" s="21"/>
      <c r="C24" s="21"/>
      <c r="D24" s="21"/>
      <c r="E24" s="21"/>
      <c r="F24" s="21" t="s">
        <v>91</v>
      </c>
      <c r="G24" s="277"/>
      <c r="H24" s="277"/>
      <c r="I24" s="99"/>
    </row>
    <row r="25" spans="1:9" ht="15.75">
      <c r="A25" s="21"/>
      <c r="B25" s="21"/>
      <c r="C25" s="21"/>
      <c r="D25" s="21"/>
      <c r="E25" s="21" t="s">
        <v>94</v>
      </c>
      <c r="F25" s="100" t="s">
        <v>95</v>
      </c>
      <c r="G25" s="277">
        <v>3648000</v>
      </c>
      <c r="H25" s="277">
        <v>3040000</v>
      </c>
      <c r="I25" s="99">
        <f>H25/G25*100</f>
        <v>83.33333333333334</v>
      </c>
    </row>
    <row r="26" spans="1:9" ht="15.75">
      <c r="A26" s="21"/>
      <c r="B26" s="21"/>
      <c r="C26" s="21"/>
      <c r="D26" s="21"/>
      <c r="E26" s="21"/>
      <c r="F26" s="21" t="s">
        <v>91</v>
      </c>
      <c r="G26" s="277"/>
      <c r="H26" s="277"/>
      <c r="I26" s="99"/>
    </row>
    <row r="27" spans="1:9" ht="23.25" customHeight="1">
      <c r="A27" s="21"/>
      <c r="B27" s="21"/>
      <c r="C27" s="21"/>
      <c r="D27" s="21"/>
      <c r="E27" s="21" t="s">
        <v>96</v>
      </c>
      <c r="F27" s="100" t="s">
        <v>97</v>
      </c>
      <c r="G27" s="277">
        <v>100000</v>
      </c>
      <c r="H27" s="277">
        <v>100000</v>
      </c>
      <c r="I27" s="99">
        <f>H27/G27*100</f>
        <v>100</v>
      </c>
    </row>
    <row r="28" spans="1:9" ht="15.75">
      <c r="A28" s="21"/>
      <c r="B28" s="21"/>
      <c r="C28" s="21"/>
      <c r="D28" s="21"/>
      <c r="E28" s="21"/>
      <c r="F28" s="21" t="s">
        <v>91</v>
      </c>
      <c r="G28" s="277"/>
      <c r="H28" s="277"/>
      <c r="I28" s="99"/>
    </row>
    <row r="29" spans="1:9" ht="15.75">
      <c r="A29" s="21"/>
      <c r="B29" s="21"/>
      <c r="C29" s="21"/>
      <c r="D29" s="21"/>
      <c r="E29" s="21" t="s">
        <v>98</v>
      </c>
      <c r="F29" s="100" t="s">
        <v>99</v>
      </c>
      <c r="G29" s="277">
        <v>7507000</v>
      </c>
      <c r="H29" s="277">
        <v>7506890</v>
      </c>
      <c r="I29" s="99">
        <f>H29/G29*100</f>
        <v>99.99853470094578</v>
      </c>
    </row>
    <row r="30" spans="1:9" s="51" customFormat="1" ht="15.75">
      <c r="A30" s="21"/>
      <c r="B30" s="21"/>
      <c r="C30" s="21"/>
      <c r="D30" s="21"/>
      <c r="E30" s="21"/>
      <c r="F30" s="21" t="s">
        <v>91</v>
      </c>
      <c r="G30" s="278"/>
      <c r="H30" s="278"/>
      <c r="I30" s="99"/>
    </row>
    <row r="31" spans="1:9" ht="15.75">
      <c r="A31" s="21"/>
      <c r="B31" s="21"/>
      <c r="C31" s="21"/>
      <c r="D31" s="21" t="s">
        <v>60</v>
      </c>
      <c r="E31" s="21" t="s">
        <v>100</v>
      </c>
      <c r="F31" s="21"/>
      <c r="G31" s="277">
        <v>5000000</v>
      </c>
      <c r="H31" s="277">
        <v>5000000</v>
      </c>
      <c r="I31" s="99">
        <f>H31/G31*100</f>
        <v>100</v>
      </c>
    </row>
    <row r="32" spans="1:9" ht="15.75">
      <c r="A32" s="21"/>
      <c r="B32" s="21"/>
      <c r="C32" s="21"/>
      <c r="D32" s="21"/>
      <c r="E32" s="21"/>
      <c r="F32" s="21" t="s">
        <v>91</v>
      </c>
      <c r="G32" s="277">
        <v>-267000</v>
      </c>
      <c r="H32" s="277"/>
      <c r="I32" s="99"/>
    </row>
    <row r="33" spans="1:9" ht="15.75">
      <c r="A33" s="21"/>
      <c r="B33" s="21"/>
      <c r="C33" s="21"/>
      <c r="D33" s="21"/>
      <c r="E33" s="21" t="s">
        <v>487</v>
      </c>
      <c r="F33" s="21"/>
      <c r="G33" s="277"/>
      <c r="H33" s="277">
        <v>3331195</v>
      </c>
      <c r="I33" s="99"/>
    </row>
    <row r="34" spans="1:9" ht="15.75">
      <c r="A34" s="21"/>
      <c r="B34" s="21"/>
      <c r="C34" s="21"/>
      <c r="D34" s="21" t="s">
        <v>61</v>
      </c>
      <c r="E34" s="21" t="s">
        <v>156</v>
      </c>
      <c r="F34" s="21"/>
      <c r="G34" s="277">
        <v>20000</v>
      </c>
      <c r="H34" s="277">
        <v>20400</v>
      </c>
      <c r="I34" s="99">
        <f>H34/G34*100</f>
        <v>102</v>
      </c>
    </row>
    <row r="35" spans="1:9" ht="15.75">
      <c r="A35" s="21"/>
      <c r="B35" s="21"/>
      <c r="C35" s="21"/>
      <c r="D35" s="21" t="s">
        <v>157</v>
      </c>
      <c r="E35" s="21" t="s">
        <v>113</v>
      </c>
      <c r="F35" s="21"/>
      <c r="G35" s="277">
        <v>207000</v>
      </c>
      <c r="H35" s="277">
        <v>286000</v>
      </c>
      <c r="I35" s="99">
        <f>H35/G35*100</f>
        <v>138.16425120772945</v>
      </c>
    </row>
    <row r="36" spans="1:9" ht="15.75">
      <c r="A36" s="21"/>
      <c r="B36" s="21"/>
      <c r="C36" s="21" t="s">
        <v>27</v>
      </c>
      <c r="D36" s="533" t="s">
        <v>101</v>
      </c>
      <c r="E36" s="533"/>
      <c r="F36" s="533"/>
      <c r="G36" s="277">
        <v>3000</v>
      </c>
      <c r="H36" s="277">
        <v>3000</v>
      </c>
      <c r="I36" s="99">
        <f>H36/G36*100</f>
        <v>100</v>
      </c>
    </row>
    <row r="37" spans="1:9" ht="15.75">
      <c r="A37" s="21"/>
      <c r="B37" s="21"/>
      <c r="C37" s="21" t="s">
        <v>112</v>
      </c>
      <c r="D37" s="21" t="s">
        <v>486</v>
      </c>
      <c r="E37" s="21"/>
      <c r="F37" s="21"/>
      <c r="G37" s="277">
        <v>34000</v>
      </c>
      <c r="H37" s="277">
        <v>11938</v>
      </c>
      <c r="I37" s="99">
        <f>H37/G37*100</f>
        <v>35.11176470588235</v>
      </c>
    </row>
    <row r="38" spans="1:9" ht="21" customHeight="1">
      <c r="A38" s="102"/>
      <c r="B38" s="102"/>
      <c r="C38" s="103"/>
      <c r="D38" s="535" t="s">
        <v>102</v>
      </c>
      <c r="E38" s="535"/>
      <c r="F38" s="535"/>
      <c r="G38" s="369">
        <f>SUM(G20:G37)</f>
        <v>18805000</v>
      </c>
      <c r="H38" s="369">
        <f>SUM(H20:H37)</f>
        <v>21852773</v>
      </c>
      <c r="I38" s="99">
        <f>H38/G38*100</f>
        <v>116.20724807232119</v>
      </c>
    </row>
    <row r="39" spans="1:9" ht="33" customHeight="1">
      <c r="A39" s="21"/>
      <c r="B39" s="21"/>
      <c r="C39" s="18" t="s">
        <v>45</v>
      </c>
      <c r="D39" s="520" t="s">
        <v>103</v>
      </c>
      <c r="E39" s="520"/>
      <c r="F39" s="520"/>
      <c r="G39" s="277"/>
      <c r="H39" s="277"/>
      <c r="I39" s="99"/>
    </row>
    <row r="40" spans="1:9" ht="15.75">
      <c r="A40" s="21"/>
      <c r="B40" s="21"/>
      <c r="C40" s="21"/>
      <c r="D40" s="21" t="s">
        <v>44</v>
      </c>
      <c r="E40" s="21" t="s">
        <v>158</v>
      </c>
      <c r="F40" s="21"/>
      <c r="G40" s="277"/>
      <c r="H40" s="277"/>
      <c r="I40" s="99"/>
    </row>
    <row r="41" spans="1:9" ht="30.75" customHeight="1">
      <c r="A41" s="21"/>
      <c r="B41" s="21"/>
      <c r="C41" s="21"/>
      <c r="D41" s="21" t="s">
        <v>27</v>
      </c>
      <c r="E41" s="533" t="s">
        <v>159</v>
      </c>
      <c r="F41" s="533"/>
      <c r="G41" s="277">
        <v>3855000</v>
      </c>
      <c r="H41" s="277">
        <v>4162000</v>
      </c>
      <c r="I41" s="99">
        <f>H41/G41*100</f>
        <v>107.96368352788586</v>
      </c>
    </row>
    <row r="42" spans="1:9" ht="15.75">
      <c r="A42" s="21"/>
      <c r="B42" s="21"/>
      <c r="C42" s="21"/>
      <c r="D42" s="21" t="s">
        <v>45</v>
      </c>
      <c r="E42" s="21" t="s">
        <v>104</v>
      </c>
      <c r="F42" s="21"/>
      <c r="G42" s="277">
        <v>830000</v>
      </c>
      <c r="H42" s="277">
        <v>830400</v>
      </c>
      <c r="I42" s="99">
        <f>H42/G42*100</f>
        <v>100.04819277108435</v>
      </c>
    </row>
    <row r="43" spans="1:9" ht="15.75">
      <c r="A43" s="21"/>
      <c r="B43" s="21"/>
      <c r="C43" s="21"/>
      <c r="D43" s="21" t="s">
        <v>106</v>
      </c>
      <c r="E43" s="21" t="s">
        <v>107</v>
      </c>
      <c r="F43" s="21"/>
      <c r="G43" s="277">
        <v>3824000</v>
      </c>
      <c r="H43" s="277"/>
      <c r="I43" s="99">
        <f>H43/G43*100</f>
        <v>0</v>
      </c>
    </row>
    <row r="44" spans="1:9" ht="33.75" customHeight="1">
      <c r="A44" s="102"/>
      <c r="B44" s="102"/>
      <c r="C44" s="535" t="s">
        <v>108</v>
      </c>
      <c r="D44" s="535"/>
      <c r="E44" s="535"/>
      <c r="F44" s="535"/>
      <c r="G44" s="368">
        <f>SUM(G40:G43)</f>
        <v>8509000</v>
      </c>
      <c r="H44" s="368">
        <f>SUM(H40:H43)</f>
        <v>4992400</v>
      </c>
      <c r="I44" s="99">
        <f>H44/G44*100</f>
        <v>58.67199435891409</v>
      </c>
    </row>
    <row r="45" spans="1:9" ht="21.75" customHeight="1">
      <c r="A45" s="21"/>
      <c r="B45" s="21"/>
      <c r="C45" s="18" t="s">
        <v>105</v>
      </c>
      <c r="D45" s="520" t="s">
        <v>109</v>
      </c>
      <c r="E45" s="520"/>
      <c r="F45" s="520"/>
      <c r="G45" s="367"/>
      <c r="H45" s="277"/>
      <c r="I45" s="99"/>
    </row>
    <row r="46" spans="1:9" ht="15.75">
      <c r="A46" s="21"/>
      <c r="B46" s="21"/>
      <c r="C46" s="21"/>
      <c r="D46" s="21" t="s">
        <v>44</v>
      </c>
      <c r="E46" s="533" t="s">
        <v>56</v>
      </c>
      <c r="F46" s="533"/>
      <c r="G46" s="363"/>
      <c r="H46" s="277"/>
      <c r="I46" s="99"/>
    </row>
    <row r="47" spans="1:9" ht="31.5">
      <c r="A47" s="21"/>
      <c r="B47" s="21"/>
      <c r="C47" s="21"/>
      <c r="D47" s="21"/>
      <c r="E47" s="21" t="s">
        <v>61</v>
      </c>
      <c r="F47" s="100" t="s">
        <v>110</v>
      </c>
      <c r="G47" s="363">
        <v>1200000</v>
      </c>
      <c r="H47" s="277">
        <v>1200000</v>
      </c>
      <c r="I47" s="99">
        <f>H47/G47*100</f>
        <v>100</v>
      </c>
    </row>
    <row r="48" spans="1:9" ht="12" customHeight="1">
      <c r="A48" s="21"/>
      <c r="B48" s="21"/>
      <c r="C48" s="21"/>
      <c r="D48" s="21"/>
      <c r="E48" s="21"/>
      <c r="F48" s="21"/>
      <c r="G48" s="362"/>
      <c r="H48" s="277"/>
      <c r="I48" s="99"/>
    </row>
    <row r="49" spans="1:9" ht="30" customHeight="1">
      <c r="A49" s="102"/>
      <c r="B49" s="102"/>
      <c r="C49" s="534" t="s">
        <v>111</v>
      </c>
      <c r="D49" s="534"/>
      <c r="E49" s="534"/>
      <c r="F49" s="534"/>
      <c r="G49" s="368">
        <f>SUM(G47:G48)</f>
        <v>1200000</v>
      </c>
      <c r="H49" s="368">
        <f>SUM(H47:H48)</f>
        <v>1200000</v>
      </c>
      <c r="I49" s="99">
        <f>H49/G49*100</f>
        <v>100</v>
      </c>
    </row>
    <row r="50" spans="1:9" ht="15.75">
      <c r="A50" s="104"/>
      <c r="B50" s="520" t="s">
        <v>114</v>
      </c>
      <c r="C50" s="520"/>
      <c r="D50" s="520"/>
      <c r="E50" s="520"/>
      <c r="F50" s="520"/>
      <c r="G50" s="366">
        <f>G38+G44+G49</f>
        <v>28514000</v>
      </c>
      <c r="H50" s="366">
        <f>H38+H44+H49</f>
        <v>28045173</v>
      </c>
      <c r="I50" s="99">
        <f>H50/G50*100</f>
        <v>98.35580065932524</v>
      </c>
    </row>
    <row r="51" spans="1:9" ht="12" customHeight="1">
      <c r="A51" s="21"/>
      <c r="B51" s="21"/>
      <c r="C51" s="21"/>
      <c r="D51" s="21"/>
      <c r="E51" s="21"/>
      <c r="F51" s="21"/>
      <c r="G51" s="362"/>
      <c r="H51" s="277"/>
      <c r="I51" s="99"/>
    </row>
    <row r="52" spans="1:9" ht="15.75">
      <c r="A52" s="104"/>
      <c r="B52" s="18" t="s">
        <v>54</v>
      </c>
      <c r="C52" s="520" t="s">
        <v>115</v>
      </c>
      <c r="D52" s="520"/>
      <c r="E52" s="520"/>
      <c r="F52" s="520"/>
      <c r="G52" s="367"/>
      <c r="H52" s="277"/>
      <c r="I52" s="99"/>
    </row>
    <row r="53" spans="1:9" ht="30" customHeight="1">
      <c r="A53" s="21"/>
      <c r="B53" s="21"/>
      <c r="C53" s="21" t="s">
        <v>44</v>
      </c>
      <c r="D53" s="536" t="s">
        <v>369</v>
      </c>
      <c r="E53" s="536"/>
      <c r="F53" s="536"/>
      <c r="G53" s="362">
        <v>46000</v>
      </c>
      <c r="H53" s="277">
        <v>46400</v>
      </c>
      <c r="I53" s="99">
        <f>H53/G53*100</f>
        <v>100.8695652173913</v>
      </c>
    </row>
    <row r="54" spans="1:9" ht="17.25" customHeight="1">
      <c r="A54" s="21"/>
      <c r="B54" s="21"/>
      <c r="C54" s="21" t="s">
        <v>27</v>
      </c>
      <c r="D54" s="21" t="s">
        <v>569</v>
      </c>
      <c r="E54" s="21"/>
      <c r="F54" s="21"/>
      <c r="G54" s="362"/>
      <c r="H54" s="277">
        <v>27846</v>
      </c>
      <c r="I54" s="99"/>
    </row>
    <row r="55" spans="1:9" ht="17.25" customHeight="1">
      <c r="A55" s="21"/>
      <c r="B55" s="21"/>
      <c r="C55" s="21" t="s">
        <v>45</v>
      </c>
      <c r="D55" s="21" t="s">
        <v>568</v>
      </c>
      <c r="E55" s="21"/>
      <c r="F55" s="21"/>
      <c r="G55" s="362"/>
      <c r="H55" s="277">
        <v>722670</v>
      </c>
      <c r="I55" s="99"/>
    </row>
    <row r="56" spans="1:9" ht="15.75" customHeight="1">
      <c r="A56" s="104"/>
      <c r="B56" s="520" t="s">
        <v>116</v>
      </c>
      <c r="C56" s="520"/>
      <c r="D56" s="520"/>
      <c r="E56" s="520"/>
      <c r="F56" s="520"/>
      <c r="G56" s="366">
        <f>SUM(G53:G54)</f>
        <v>46000</v>
      </c>
      <c r="H56" s="366">
        <f>SUM(H53:H55)</f>
        <v>796916</v>
      </c>
      <c r="I56" s="99">
        <f>H56/G56*100</f>
        <v>1732.4260869565219</v>
      </c>
    </row>
    <row r="57" spans="1:9" ht="12" customHeight="1">
      <c r="A57" s="21"/>
      <c r="B57" s="21"/>
      <c r="C57" s="21"/>
      <c r="D57" s="21"/>
      <c r="E57" s="21"/>
      <c r="F57" s="21"/>
      <c r="G57" s="362"/>
      <c r="H57" s="277"/>
      <c r="I57" s="99"/>
    </row>
    <row r="58" spans="1:9" ht="36" customHeight="1">
      <c r="A58" s="520" t="s">
        <v>117</v>
      </c>
      <c r="B58" s="520"/>
      <c r="C58" s="520"/>
      <c r="D58" s="520"/>
      <c r="E58" s="520"/>
      <c r="F58" s="520"/>
      <c r="G58" s="279">
        <f>G56+G50</f>
        <v>28560000</v>
      </c>
      <c r="H58" s="279">
        <f>H56+H50</f>
        <v>28842089</v>
      </c>
      <c r="I58" s="99">
        <f>H58/G58*100</f>
        <v>100.98770658263305</v>
      </c>
    </row>
    <row r="59" spans="1:9" s="66" customFormat="1" ht="32.25" customHeight="1">
      <c r="A59" s="18" t="s">
        <v>54</v>
      </c>
      <c r="B59" s="520" t="s">
        <v>118</v>
      </c>
      <c r="C59" s="520"/>
      <c r="D59" s="520"/>
      <c r="E59" s="520"/>
      <c r="F59" s="520"/>
      <c r="G59" s="279"/>
      <c r="H59" s="367"/>
      <c r="I59" s="99"/>
    </row>
    <row r="60" spans="1:9" ht="11.25" customHeight="1">
      <c r="A60" s="97"/>
      <c r="B60" s="97"/>
      <c r="C60" s="97"/>
      <c r="D60" s="97"/>
      <c r="E60" s="97"/>
      <c r="F60" s="97"/>
      <c r="G60" s="366"/>
      <c r="H60" s="366"/>
      <c r="I60" s="99"/>
    </row>
    <row r="61" spans="1:9" ht="15.75">
      <c r="A61" s="18" t="s">
        <v>55</v>
      </c>
      <c r="B61" s="18" t="s">
        <v>119</v>
      </c>
      <c r="C61" s="18"/>
      <c r="D61" s="18"/>
      <c r="E61" s="18"/>
      <c r="F61" s="18"/>
      <c r="G61" s="280"/>
      <c r="H61" s="365"/>
      <c r="I61" s="99"/>
    </row>
    <row r="62" spans="1:9" ht="12" customHeight="1">
      <c r="A62" s="21"/>
      <c r="B62" s="21"/>
      <c r="C62" s="21"/>
      <c r="D62" s="21"/>
      <c r="E62" s="21"/>
      <c r="F62" s="21"/>
      <c r="G62" s="362"/>
      <c r="H62" s="362"/>
      <c r="I62" s="99"/>
    </row>
    <row r="63" spans="1:9" ht="15.75">
      <c r="A63" s="21"/>
      <c r="B63" s="21" t="s">
        <v>44</v>
      </c>
      <c r="C63" s="21" t="s">
        <v>120</v>
      </c>
      <c r="D63" s="21"/>
      <c r="E63" s="21"/>
      <c r="F63" s="21"/>
      <c r="G63" s="281"/>
      <c r="H63" s="362"/>
      <c r="I63" s="99"/>
    </row>
    <row r="64" spans="1:9" ht="15.75">
      <c r="A64" s="21"/>
      <c r="B64" s="21"/>
      <c r="C64" s="21" t="s">
        <v>44</v>
      </c>
      <c r="D64" s="21" t="s">
        <v>121</v>
      </c>
      <c r="E64" s="21"/>
      <c r="F64" s="21"/>
      <c r="G64" s="362">
        <v>1500000</v>
      </c>
      <c r="H64" s="277">
        <v>1500000</v>
      </c>
      <c r="I64" s="99">
        <f>H64/G64*100</f>
        <v>100</v>
      </c>
    </row>
    <row r="65" spans="1:9" ht="15.75">
      <c r="A65" s="18"/>
      <c r="B65" s="18" t="s">
        <v>27</v>
      </c>
      <c r="C65" s="18" t="s">
        <v>122</v>
      </c>
      <c r="D65" s="18"/>
      <c r="E65" s="18"/>
      <c r="F65" s="18"/>
      <c r="G65" s="365"/>
      <c r="H65" s="277"/>
      <c r="I65" s="99"/>
    </row>
    <row r="66" spans="1:9" s="9" customFormat="1" ht="15.75">
      <c r="A66" s="21"/>
      <c r="B66" s="21"/>
      <c r="C66" s="21" t="s">
        <v>44</v>
      </c>
      <c r="D66" s="21" t="s">
        <v>123</v>
      </c>
      <c r="E66" s="21"/>
      <c r="F66" s="21"/>
      <c r="G66" s="362">
        <v>3900000</v>
      </c>
      <c r="H66" s="282">
        <v>3900000</v>
      </c>
      <c r="I66" s="99">
        <f>H66/G66*100</f>
        <v>100</v>
      </c>
    </row>
    <row r="67" spans="1:9" ht="15.75">
      <c r="A67" s="18"/>
      <c r="B67" s="18" t="s">
        <v>45</v>
      </c>
      <c r="C67" s="18" t="s">
        <v>124</v>
      </c>
      <c r="D67" s="18"/>
      <c r="E67" s="18"/>
      <c r="F67" s="18"/>
      <c r="G67" s="365"/>
      <c r="H67" s="277"/>
      <c r="I67" s="99"/>
    </row>
    <row r="68" spans="1:9" ht="15.75">
      <c r="A68" s="21"/>
      <c r="B68" s="21"/>
      <c r="C68" s="21" t="s">
        <v>44</v>
      </c>
      <c r="D68" s="21" t="s">
        <v>125</v>
      </c>
      <c r="E68" s="21"/>
      <c r="F68" s="21"/>
      <c r="G68" s="362">
        <v>1913000</v>
      </c>
      <c r="H68" s="277">
        <v>1913000</v>
      </c>
      <c r="I68" s="99">
        <f>H68/G68*100</f>
        <v>100</v>
      </c>
    </row>
    <row r="69" spans="1:9" ht="15.75">
      <c r="A69" s="21"/>
      <c r="B69" s="18" t="s">
        <v>105</v>
      </c>
      <c r="C69" s="18" t="s">
        <v>126</v>
      </c>
      <c r="D69" s="21"/>
      <c r="E69" s="21"/>
      <c r="F69" s="21"/>
      <c r="G69" s="362"/>
      <c r="H69" s="277"/>
      <c r="I69" s="99"/>
    </row>
    <row r="70" spans="1:9" ht="15.75">
      <c r="A70" s="21"/>
      <c r="B70" s="21"/>
      <c r="C70" s="21" t="s">
        <v>44</v>
      </c>
      <c r="D70" s="21" t="s">
        <v>127</v>
      </c>
      <c r="E70" s="21"/>
      <c r="F70" s="21"/>
      <c r="G70" s="362">
        <v>140000</v>
      </c>
      <c r="H70" s="277">
        <v>140000</v>
      </c>
      <c r="I70" s="99">
        <f>H70/G70*100</f>
        <v>100</v>
      </c>
    </row>
    <row r="71" spans="1:9" ht="15.75">
      <c r="A71" s="21"/>
      <c r="B71" s="21"/>
      <c r="C71" s="21" t="s">
        <v>27</v>
      </c>
      <c r="D71" s="21" t="s">
        <v>86</v>
      </c>
      <c r="E71" s="21"/>
      <c r="F71" s="21"/>
      <c r="G71" s="362">
        <v>280000</v>
      </c>
      <c r="H71" s="277">
        <v>280000</v>
      </c>
      <c r="I71" s="99">
        <f>H71/G71*100</f>
        <v>100</v>
      </c>
    </row>
    <row r="72" spans="1:9" ht="15.75">
      <c r="A72" s="18"/>
      <c r="B72" s="18" t="s">
        <v>106</v>
      </c>
      <c r="C72" s="18" t="s">
        <v>128</v>
      </c>
      <c r="D72" s="18"/>
      <c r="E72" s="18"/>
      <c r="F72" s="18"/>
      <c r="G72" s="365"/>
      <c r="H72" s="277"/>
      <c r="I72" s="99"/>
    </row>
    <row r="73" spans="1:9" ht="15.75">
      <c r="A73" s="21"/>
      <c r="B73" s="21"/>
      <c r="C73" s="18" t="s">
        <v>44</v>
      </c>
      <c r="D73" s="21" t="s">
        <v>129</v>
      </c>
      <c r="E73" s="21"/>
      <c r="F73" s="21"/>
      <c r="G73" s="362">
        <v>5000</v>
      </c>
      <c r="H73" s="277">
        <v>5000</v>
      </c>
      <c r="I73" s="99">
        <f>H73/G73*100</f>
        <v>100</v>
      </c>
    </row>
    <row r="74" spans="1:9" ht="15.75" customHeight="1">
      <c r="A74" s="104"/>
      <c r="B74" s="104"/>
      <c r="C74" s="104" t="s">
        <v>45</v>
      </c>
      <c r="D74" s="106" t="s">
        <v>128</v>
      </c>
      <c r="E74" s="104"/>
      <c r="F74" s="104"/>
      <c r="G74" s="364"/>
      <c r="H74" s="277"/>
      <c r="I74" s="99"/>
    </row>
    <row r="75" spans="1:9" ht="15.75">
      <c r="A75" s="21"/>
      <c r="B75" s="21"/>
      <c r="C75" s="18" t="s">
        <v>105</v>
      </c>
      <c r="D75" s="21" t="s">
        <v>130</v>
      </c>
      <c r="E75" s="21"/>
      <c r="F75" s="21"/>
      <c r="G75" s="362">
        <v>75000</v>
      </c>
      <c r="H75" s="277">
        <v>75000</v>
      </c>
      <c r="I75" s="99">
        <f>H75/G75*100</f>
        <v>100</v>
      </c>
    </row>
    <row r="76" spans="1:9" s="9" customFormat="1" ht="15.75">
      <c r="A76" s="18" t="s">
        <v>73</v>
      </c>
      <c r="B76" s="104"/>
      <c r="C76" s="104"/>
      <c r="D76" s="104"/>
      <c r="E76" s="104"/>
      <c r="F76" s="104"/>
      <c r="G76" s="366">
        <f>G64+G66+G68+G70+G71+G73+G74+G75</f>
        <v>7813000</v>
      </c>
      <c r="H76" s="366">
        <f>H64+H66+H68+H70+H71+H73+H74+H75</f>
        <v>7813000</v>
      </c>
      <c r="I76" s="99">
        <f>H76/G76*100</f>
        <v>100</v>
      </c>
    </row>
    <row r="77" spans="1:9" ht="12.75" customHeight="1">
      <c r="A77" s="104"/>
      <c r="B77" s="104"/>
      <c r="C77" s="104"/>
      <c r="D77" s="104"/>
      <c r="E77" s="104"/>
      <c r="F77" s="104"/>
      <c r="G77" s="364"/>
      <c r="H77" s="364"/>
      <c r="I77" s="99"/>
    </row>
    <row r="78" spans="1:9" ht="15.75">
      <c r="A78" s="18" t="s">
        <v>131</v>
      </c>
      <c r="B78" s="18" t="s">
        <v>57</v>
      </c>
      <c r="C78" s="18"/>
      <c r="D78" s="18"/>
      <c r="E78" s="18"/>
      <c r="F78" s="18"/>
      <c r="G78" s="280"/>
      <c r="H78" s="365"/>
      <c r="I78" s="99"/>
    </row>
    <row r="79" spans="1:9" ht="15.75">
      <c r="A79" s="104"/>
      <c r="B79" s="104" t="s">
        <v>44</v>
      </c>
      <c r="C79" s="521" t="s">
        <v>132</v>
      </c>
      <c r="D79" s="521"/>
      <c r="E79" s="521"/>
      <c r="F79" s="521"/>
      <c r="G79" s="364"/>
      <c r="H79" s="364"/>
      <c r="I79" s="99"/>
    </row>
    <row r="80" spans="1:9" ht="15.75">
      <c r="A80" s="104"/>
      <c r="B80" s="104"/>
      <c r="C80" s="104" t="s">
        <v>44</v>
      </c>
      <c r="D80" s="106" t="s">
        <v>143</v>
      </c>
      <c r="E80" s="106"/>
      <c r="F80" s="106"/>
      <c r="G80" s="364">
        <v>187000</v>
      </c>
      <c r="H80" s="277">
        <v>186535</v>
      </c>
      <c r="I80" s="99">
        <f>H80/G80*100</f>
        <v>99.75133689839572</v>
      </c>
    </row>
    <row r="81" spans="1:9" ht="15.75">
      <c r="A81" s="104"/>
      <c r="B81" s="104"/>
      <c r="C81" s="104" t="s">
        <v>27</v>
      </c>
      <c r="D81" s="106" t="s">
        <v>135</v>
      </c>
      <c r="E81" s="106"/>
      <c r="F81" s="106"/>
      <c r="G81" s="364"/>
      <c r="H81" s="277"/>
      <c r="I81" s="99"/>
    </row>
    <row r="82" spans="1:9" ht="15.75">
      <c r="A82" s="104"/>
      <c r="B82" s="104"/>
      <c r="C82" s="104"/>
      <c r="D82" s="106" t="s">
        <v>44</v>
      </c>
      <c r="E82" s="106" t="s">
        <v>136</v>
      </c>
      <c r="F82" s="106"/>
      <c r="G82" s="364">
        <v>20000</v>
      </c>
      <c r="H82" s="277">
        <v>20000</v>
      </c>
      <c r="I82" s="99">
        <f>H82/G82*100</f>
        <v>100</v>
      </c>
    </row>
    <row r="83" spans="1:9" ht="15.75">
      <c r="A83" s="104"/>
      <c r="B83" s="104"/>
      <c r="C83" s="104"/>
      <c r="D83" s="106" t="s">
        <v>27</v>
      </c>
      <c r="E83" s="106" t="s">
        <v>137</v>
      </c>
      <c r="F83" s="106"/>
      <c r="G83" s="364">
        <v>820000</v>
      </c>
      <c r="H83" s="277">
        <v>820000</v>
      </c>
      <c r="I83" s="99">
        <f>H83/G83*100</f>
        <v>100</v>
      </c>
    </row>
    <row r="84" spans="1:9" ht="15.75">
      <c r="A84" s="104"/>
      <c r="B84" s="104"/>
      <c r="C84" s="104"/>
      <c r="D84" s="106" t="s">
        <v>45</v>
      </c>
      <c r="E84" s="106" t="s">
        <v>138</v>
      </c>
      <c r="F84" s="106"/>
      <c r="G84" s="364">
        <v>2000</v>
      </c>
      <c r="H84" s="277">
        <v>2000</v>
      </c>
      <c r="I84" s="99">
        <f>H84/G84*100</f>
        <v>100</v>
      </c>
    </row>
    <row r="85" spans="1:9" ht="15.75">
      <c r="A85" s="104"/>
      <c r="B85" s="104"/>
      <c r="C85" s="104"/>
      <c r="D85" s="106" t="s">
        <v>105</v>
      </c>
      <c r="E85" s="106" t="s">
        <v>74</v>
      </c>
      <c r="F85" s="106"/>
      <c r="G85" s="364">
        <v>1000</v>
      </c>
      <c r="H85" s="277"/>
      <c r="I85" s="99">
        <f>H85/G85*100</f>
        <v>0</v>
      </c>
    </row>
    <row r="86" spans="1:9" ht="15.75">
      <c r="A86" s="104"/>
      <c r="B86" s="104"/>
      <c r="C86" s="104"/>
      <c r="D86" s="106" t="s">
        <v>106</v>
      </c>
      <c r="E86" s="106" t="s">
        <v>139</v>
      </c>
      <c r="F86" s="106"/>
      <c r="G86" s="364">
        <v>85000</v>
      </c>
      <c r="H86" s="277">
        <v>85179</v>
      </c>
      <c r="I86" s="99">
        <f>H86/G86*100</f>
        <v>100.21058823529413</v>
      </c>
    </row>
    <row r="87" spans="1:9" ht="15.75">
      <c r="A87" s="104"/>
      <c r="B87" s="104"/>
      <c r="C87" s="104" t="s">
        <v>45</v>
      </c>
      <c r="D87" s="106" t="s">
        <v>160</v>
      </c>
      <c r="E87" s="106"/>
      <c r="F87" s="106"/>
      <c r="G87" s="364"/>
      <c r="H87" s="277"/>
      <c r="I87" s="99"/>
    </row>
    <row r="88" spans="1:9" ht="15.75">
      <c r="A88" s="104"/>
      <c r="B88" s="104"/>
      <c r="D88" s="104" t="s">
        <v>44</v>
      </c>
      <c r="E88" s="106" t="s">
        <v>133</v>
      </c>
      <c r="F88" s="104"/>
      <c r="G88" s="364">
        <v>40000</v>
      </c>
      <c r="H88" s="277">
        <v>51800</v>
      </c>
      <c r="I88" s="99">
        <f>H88/G88*100</f>
        <v>129.5</v>
      </c>
    </row>
    <row r="89" spans="1:9" ht="15.75">
      <c r="A89" s="104"/>
      <c r="B89" s="104"/>
      <c r="D89" s="104" t="s">
        <v>27</v>
      </c>
      <c r="E89" s="106" t="s">
        <v>134</v>
      </c>
      <c r="F89" s="106"/>
      <c r="G89" s="364">
        <v>385000</v>
      </c>
      <c r="H89" s="277">
        <v>177600</v>
      </c>
      <c r="I89" s="99">
        <f>H89/G89*100</f>
        <v>46.129870129870135</v>
      </c>
    </row>
    <row r="90" spans="4:9" ht="15.75">
      <c r="D90" s="57" t="s">
        <v>45</v>
      </c>
      <c r="E90" s="106" t="s">
        <v>75</v>
      </c>
      <c r="G90" s="364">
        <v>661000</v>
      </c>
      <c r="H90" s="277">
        <v>660744</v>
      </c>
      <c r="I90" s="99">
        <f>H90/G90*100</f>
        <v>99.96127080181543</v>
      </c>
    </row>
    <row r="91" spans="1:9" ht="15.75">
      <c r="A91" s="104"/>
      <c r="B91" s="104" t="s">
        <v>27</v>
      </c>
      <c r="C91" s="106" t="s">
        <v>140</v>
      </c>
      <c r="D91" s="106"/>
      <c r="E91" s="106"/>
      <c r="F91" s="106"/>
      <c r="G91" s="364"/>
      <c r="H91" s="277"/>
      <c r="I91" s="99"/>
    </row>
    <row r="92" spans="1:9" ht="15.75">
      <c r="A92" s="104"/>
      <c r="B92" s="104"/>
      <c r="C92" s="104" t="s">
        <v>44</v>
      </c>
      <c r="D92" s="106" t="s">
        <v>141</v>
      </c>
      <c r="E92" s="106"/>
      <c r="F92" s="106"/>
      <c r="G92" s="364">
        <v>4099000</v>
      </c>
      <c r="H92" s="277">
        <v>4099152</v>
      </c>
      <c r="I92" s="99">
        <f>H92/G92*100</f>
        <v>100.00370822151746</v>
      </c>
    </row>
    <row r="93" spans="1:9" ht="15.75">
      <c r="A93" s="104"/>
      <c r="B93" s="104" t="s">
        <v>45</v>
      </c>
      <c r="C93" s="106" t="s">
        <v>142</v>
      </c>
      <c r="D93" s="106"/>
      <c r="E93" s="106"/>
      <c r="F93" s="106"/>
      <c r="G93" s="364"/>
      <c r="H93" s="277"/>
      <c r="I93" s="99"/>
    </row>
    <row r="94" spans="1:9" ht="15.75">
      <c r="A94" s="104"/>
      <c r="B94" s="104"/>
      <c r="C94" s="104" t="s">
        <v>44</v>
      </c>
      <c r="D94" s="106" t="s">
        <v>84</v>
      </c>
      <c r="E94" s="106"/>
      <c r="F94" s="106"/>
      <c r="G94" s="364">
        <v>1249000</v>
      </c>
      <c r="H94" s="277">
        <v>1843937</v>
      </c>
      <c r="I94" s="99">
        <f>H94/G94*100</f>
        <v>147.6330664531625</v>
      </c>
    </row>
    <row r="95" spans="1:9" ht="15.75">
      <c r="A95" s="104"/>
      <c r="B95" s="104" t="s">
        <v>105</v>
      </c>
      <c r="C95" s="106" t="s">
        <v>144</v>
      </c>
      <c r="D95" s="104"/>
      <c r="E95" s="104"/>
      <c r="F95" s="104"/>
      <c r="G95" s="364">
        <f>(337+178+50+104+1107+11+29)*1000</f>
        <v>1816000</v>
      </c>
      <c r="H95" s="277">
        <f>28938+1106771+47952+50364+178401</f>
        <v>1412426</v>
      </c>
      <c r="I95" s="99">
        <f>H95/G95*100</f>
        <v>77.77676211453745</v>
      </c>
    </row>
    <row r="96" spans="1:9" ht="15.75">
      <c r="A96" s="104"/>
      <c r="B96" s="104" t="s">
        <v>106</v>
      </c>
      <c r="C96" s="106" t="s">
        <v>145</v>
      </c>
      <c r="D96" s="104"/>
      <c r="E96" s="104"/>
      <c r="F96" s="104"/>
      <c r="G96" s="364">
        <f>(115+1107+80+239)*1000</f>
        <v>1541000</v>
      </c>
      <c r="H96" s="277">
        <f>1106771+95489+114586</f>
        <v>1316846</v>
      </c>
      <c r="I96" s="99">
        <f>H96/G96*100</f>
        <v>85.45399091499026</v>
      </c>
    </row>
    <row r="97" spans="1:9" ht="24.75" customHeight="1">
      <c r="A97" s="104"/>
      <c r="B97" s="104" t="s">
        <v>112</v>
      </c>
      <c r="C97" s="106" t="s">
        <v>146</v>
      </c>
      <c r="D97" s="104"/>
      <c r="E97" s="104"/>
      <c r="F97" s="104"/>
      <c r="G97" s="364">
        <v>2000</v>
      </c>
      <c r="H97" s="277">
        <v>2000</v>
      </c>
      <c r="I97" s="99">
        <f>H97/G97*100</f>
        <v>100</v>
      </c>
    </row>
    <row r="98" spans="1:9" ht="19.5" customHeight="1">
      <c r="A98" s="104"/>
      <c r="B98" s="300" t="s">
        <v>248</v>
      </c>
      <c r="C98" s="521" t="s">
        <v>498</v>
      </c>
      <c r="D98" s="521"/>
      <c r="E98" s="521"/>
      <c r="F98" s="521"/>
      <c r="G98" s="364"/>
      <c r="H98" s="277">
        <v>4825255</v>
      </c>
      <c r="I98" s="99"/>
    </row>
    <row r="99" spans="1:11" ht="15.75">
      <c r="A99" s="18" t="s">
        <v>23</v>
      </c>
      <c r="B99" s="104"/>
      <c r="C99" s="104"/>
      <c r="D99" s="104"/>
      <c r="E99" s="104"/>
      <c r="F99" s="104"/>
      <c r="G99" s="366">
        <f>SUM(G79:G98)</f>
        <v>10908000</v>
      </c>
      <c r="H99" s="366">
        <f>SUM(H79:H98)</f>
        <v>15503474</v>
      </c>
      <c r="I99" s="99">
        <f>H99/G99*100</f>
        <v>142.1293912724606</v>
      </c>
      <c r="K99" s="276"/>
    </row>
    <row r="100" spans="1:9" ht="11.25" customHeight="1">
      <c r="A100" s="104"/>
      <c r="B100" s="104"/>
      <c r="C100" s="104"/>
      <c r="D100" s="104"/>
      <c r="E100" s="104"/>
      <c r="F100" s="104"/>
      <c r="G100" s="364"/>
      <c r="H100" s="277"/>
      <c r="I100" s="99"/>
    </row>
    <row r="101" spans="1:9" ht="10.5" customHeight="1">
      <c r="A101" s="104"/>
      <c r="B101" s="104"/>
      <c r="C101" s="104"/>
      <c r="D101" s="104"/>
      <c r="E101" s="104"/>
      <c r="F101" s="104"/>
      <c r="G101" s="364"/>
      <c r="H101" s="277"/>
      <c r="I101" s="99"/>
    </row>
    <row r="102" spans="1:9" ht="10.5" customHeight="1">
      <c r="A102" s="104"/>
      <c r="B102" s="104"/>
      <c r="C102" s="104"/>
      <c r="D102" s="104"/>
      <c r="E102" s="104"/>
      <c r="F102" s="104"/>
      <c r="G102" s="364"/>
      <c r="H102" s="277"/>
      <c r="I102" s="99"/>
    </row>
    <row r="103" spans="1:9" ht="15.75">
      <c r="A103" s="18" t="s">
        <v>62</v>
      </c>
      <c r="B103" s="18" t="s">
        <v>147</v>
      </c>
      <c r="C103" s="18"/>
      <c r="D103" s="18"/>
      <c r="E103" s="18"/>
      <c r="F103" s="18"/>
      <c r="G103" s="365"/>
      <c r="H103" s="277"/>
      <c r="I103" s="99"/>
    </row>
    <row r="104" spans="1:9" ht="38.25" customHeight="1">
      <c r="A104" s="21"/>
      <c r="B104" s="21" t="s">
        <v>44</v>
      </c>
      <c r="C104" s="533" t="s">
        <v>148</v>
      </c>
      <c r="D104" s="533"/>
      <c r="E104" s="533"/>
      <c r="F104" s="533"/>
      <c r="G104" s="363"/>
      <c r="H104" s="277"/>
      <c r="I104" s="99"/>
    </row>
    <row r="105" spans="1:9" ht="32.25" customHeight="1">
      <c r="A105" s="21"/>
      <c r="B105" s="21"/>
      <c r="C105" s="105" t="s">
        <v>44</v>
      </c>
      <c r="D105" s="533" t="s">
        <v>149</v>
      </c>
      <c r="E105" s="533"/>
      <c r="F105" s="533"/>
      <c r="G105" s="363">
        <v>62000</v>
      </c>
      <c r="H105" s="277">
        <v>61800</v>
      </c>
      <c r="I105" s="99">
        <f>H105/G105*100</f>
        <v>99.67741935483872</v>
      </c>
    </row>
    <row r="106" spans="1:9" ht="12" customHeight="1">
      <c r="A106" s="104"/>
      <c r="B106" s="104"/>
      <c r="C106" s="104"/>
      <c r="D106" s="21"/>
      <c r="E106" s="104"/>
      <c r="F106" s="104"/>
      <c r="G106" s="364"/>
      <c r="H106" s="277"/>
      <c r="I106" s="99"/>
    </row>
    <row r="107" spans="1:9" ht="15.75">
      <c r="A107" s="538" t="s">
        <v>150</v>
      </c>
      <c r="B107" s="538"/>
      <c r="C107" s="538"/>
      <c r="D107" s="538"/>
      <c r="E107" s="538"/>
      <c r="F107" s="538"/>
      <c r="G107" s="280">
        <f>SUM(G105:G106)</f>
        <v>62000</v>
      </c>
      <c r="H107" s="280">
        <f>SUM(H105:H106)</f>
        <v>61800</v>
      </c>
      <c r="I107" s="99">
        <f>H107/G107*100</f>
        <v>99.67741935483872</v>
      </c>
    </row>
    <row r="108" spans="1:9" ht="9" customHeight="1">
      <c r="A108" s="104"/>
      <c r="B108" s="104"/>
      <c r="C108" s="104"/>
      <c r="D108" s="104"/>
      <c r="E108" s="104"/>
      <c r="F108" s="104"/>
      <c r="G108" s="364"/>
      <c r="H108" s="277"/>
      <c r="I108" s="99"/>
    </row>
    <row r="109" spans="1:9" ht="16.5">
      <c r="A109" s="108" t="s">
        <v>151</v>
      </c>
      <c r="B109" s="108"/>
      <c r="C109" s="108"/>
      <c r="D109" s="108"/>
      <c r="E109" s="108"/>
      <c r="F109" s="108"/>
      <c r="G109" s="280">
        <f>G107+G99+G76+G58</f>
        <v>47343000</v>
      </c>
      <c r="H109" s="280">
        <f>H107+H99+H76+H58</f>
        <v>52220363</v>
      </c>
      <c r="I109" s="99">
        <f>H109/G109*100</f>
        <v>110.30218406100163</v>
      </c>
    </row>
    <row r="110" spans="1:9" ht="16.5">
      <c r="A110" s="108"/>
      <c r="B110" s="108"/>
      <c r="C110" s="108"/>
      <c r="D110" s="108"/>
      <c r="E110" s="108"/>
      <c r="F110" s="108"/>
      <c r="G110" s="283"/>
      <c r="H110" s="277"/>
      <c r="I110" s="99"/>
    </row>
    <row r="111" spans="1:9" ht="15.75">
      <c r="A111" s="109" t="s">
        <v>152</v>
      </c>
      <c r="B111" s="520" t="s">
        <v>153</v>
      </c>
      <c r="C111" s="520"/>
      <c r="D111" s="520"/>
      <c r="E111" s="520"/>
      <c r="F111" s="520"/>
      <c r="G111" s="363"/>
      <c r="H111" s="277"/>
      <c r="I111" s="99"/>
    </row>
    <row r="112" spans="1:9" ht="15.75">
      <c r="A112" s="18"/>
      <c r="B112" s="97" t="s">
        <v>44</v>
      </c>
      <c r="C112" s="520" t="s">
        <v>154</v>
      </c>
      <c r="D112" s="520"/>
      <c r="E112" s="520"/>
      <c r="F112" s="520"/>
      <c r="G112" s="363"/>
      <c r="H112" s="277"/>
      <c r="I112" s="99"/>
    </row>
    <row r="113" spans="1:9" ht="23.25" customHeight="1">
      <c r="A113" s="18"/>
      <c r="B113" s="97"/>
      <c r="C113" s="105" t="s">
        <v>44</v>
      </c>
      <c r="D113" s="533" t="s">
        <v>567</v>
      </c>
      <c r="E113" s="533"/>
      <c r="F113" s="533"/>
      <c r="G113" s="363">
        <f>(26261+2000)*1000</f>
        <v>28261000</v>
      </c>
      <c r="H113" s="277">
        <f>600000+4825255+6584967+64122+89764+120000+17000+195900+38415438</f>
        <v>50912446</v>
      </c>
      <c r="I113" s="99">
        <f>H113/G113*100</f>
        <v>180.15090053430524</v>
      </c>
    </row>
    <row r="114" spans="1:9" ht="33" customHeight="1">
      <c r="A114" s="21"/>
      <c r="B114" s="21"/>
      <c r="C114" s="305" t="s">
        <v>27</v>
      </c>
      <c r="D114" s="537" t="s">
        <v>517</v>
      </c>
      <c r="E114" s="537"/>
      <c r="F114" s="537"/>
      <c r="G114" s="362"/>
      <c r="H114" s="277">
        <v>10000000</v>
      </c>
      <c r="I114" s="99"/>
    </row>
    <row r="115" spans="1:9" ht="16.5" customHeight="1">
      <c r="A115" s="21"/>
      <c r="B115" s="21"/>
      <c r="C115" s="21" t="s">
        <v>45</v>
      </c>
      <c r="D115" s="537" t="s">
        <v>518</v>
      </c>
      <c r="E115" s="537"/>
      <c r="F115" s="537"/>
      <c r="G115" s="362"/>
      <c r="H115" s="277">
        <v>1121209</v>
      </c>
      <c r="I115" s="99"/>
    </row>
    <row r="116" spans="1:9" ht="16.5">
      <c r="A116" s="108" t="s">
        <v>153</v>
      </c>
      <c r="B116" s="108"/>
      <c r="C116" s="108"/>
      <c r="D116" s="108"/>
      <c r="E116" s="108"/>
      <c r="F116" s="108"/>
      <c r="G116" s="280">
        <f>G113</f>
        <v>28261000</v>
      </c>
      <c r="H116" s="280">
        <f>SUM(H113:H115)</f>
        <v>62033655</v>
      </c>
      <c r="I116" s="99">
        <f>H116/G116*100</f>
        <v>219.50268921835746</v>
      </c>
    </row>
    <row r="117" spans="1:9" ht="8.25" customHeight="1">
      <c r="A117" s="21"/>
      <c r="B117" s="21"/>
      <c r="C117" s="21"/>
      <c r="D117" s="21"/>
      <c r="E117" s="21"/>
      <c r="F117" s="21"/>
      <c r="G117" s="284"/>
      <c r="H117" s="281"/>
      <c r="I117" s="99"/>
    </row>
    <row r="118" spans="1:9" ht="18.75">
      <c r="A118" s="20" t="s">
        <v>155</v>
      </c>
      <c r="B118" s="20"/>
      <c r="C118" s="20"/>
      <c r="D118" s="20"/>
      <c r="E118" s="20"/>
      <c r="F118" s="20"/>
      <c r="G118" s="280">
        <f>G109+G116</f>
        <v>75604000</v>
      </c>
      <c r="H118" s="280">
        <f>H109+H116</f>
        <v>114254018</v>
      </c>
      <c r="I118" s="99">
        <f>H118/G118*100</f>
        <v>151.1216575842548</v>
      </c>
    </row>
    <row r="119" spans="7:9" ht="15.75">
      <c r="G119" s="276"/>
      <c r="H119" s="276"/>
      <c r="I119" s="99"/>
    </row>
    <row r="120" spans="7:9" ht="15.75">
      <c r="G120" s="276"/>
      <c r="H120" s="276"/>
      <c r="I120" s="99"/>
    </row>
    <row r="121" spans="7:8" ht="15.75">
      <c r="G121" s="276"/>
      <c r="H121" s="276"/>
    </row>
    <row r="122" spans="7:8" ht="15.75">
      <c r="G122" s="276"/>
      <c r="H122" s="276"/>
    </row>
    <row r="123" spans="7:8" ht="15.75">
      <c r="G123" s="276"/>
      <c r="H123" s="276"/>
    </row>
    <row r="124" spans="7:8" ht="15.75">
      <c r="G124" s="276"/>
      <c r="H124" s="276"/>
    </row>
    <row r="125" spans="7:8" ht="15.75">
      <c r="G125" s="276"/>
      <c r="H125" s="276"/>
    </row>
    <row r="126" spans="7:8" ht="15.75">
      <c r="G126" s="276"/>
      <c r="H126" s="276"/>
    </row>
    <row r="127" spans="7:8" ht="15.75">
      <c r="G127" s="276"/>
      <c r="H127" s="276"/>
    </row>
    <row r="128" spans="7:8" ht="15.75">
      <c r="G128" s="276"/>
      <c r="H128" s="276"/>
    </row>
    <row r="129" spans="7:8" ht="15.75">
      <c r="G129" s="276"/>
      <c r="H129" s="276"/>
    </row>
    <row r="130" spans="7:8" ht="15.75">
      <c r="G130" s="276"/>
      <c r="H130" s="276"/>
    </row>
    <row r="131" spans="7:8" ht="15.75">
      <c r="G131" s="276"/>
      <c r="H131" s="276"/>
    </row>
    <row r="132" spans="7:8" ht="15.75">
      <c r="G132" s="276"/>
      <c r="H132" s="276"/>
    </row>
    <row r="133" spans="7:8" ht="15.75">
      <c r="G133" s="276"/>
      <c r="H133" s="276"/>
    </row>
    <row r="134" spans="7:8" ht="15.75">
      <c r="G134" s="276"/>
      <c r="H134" s="276"/>
    </row>
    <row r="135" spans="7:8" ht="15.75">
      <c r="G135" s="276"/>
      <c r="H135" s="276"/>
    </row>
    <row r="136" spans="7:8" ht="15.75">
      <c r="G136" s="276"/>
      <c r="H136" s="276"/>
    </row>
    <row r="137" spans="7:8" ht="15.75">
      <c r="G137" s="276"/>
      <c r="H137" s="276"/>
    </row>
    <row r="138" spans="7:8" ht="15.75">
      <c r="G138" s="276"/>
      <c r="H138" s="276"/>
    </row>
    <row r="139" spans="7:8" ht="15.75">
      <c r="G139" s="276"/>
      <c r="H139" s="276"/>
    </row>
    <row r="140" spans="7:8" ht="15.75">
      <c r="G140" s="276"/>
      <c r="H140" s="276"/>
    </row>
    <row r="141" spans="7:8" ht="15.75">
      <c r="G141" s="276"/>
      <c r="H141" s="276"/>
    </row>
    <row r="142" spans="7:8" ht="15.75">
      <c r="G142" s="276"/>
      <c r="H142" s="276"/>
    </row>
    <row r="143" spans="7:8" ht="15.75">
      <c r="G143" s="276"/>
      <c r="H143" s="276"/>
    </row>
    <row r="144" spans="7:8" ht="15.75">
      <c r="G144" s="276"/>
      <c r="H144" s="276"/>
    </row>
    <row r="145" spans="7:8" ht="15.75">
      <c r="G145" s="276"/>
      <c r="H145" s="276"/>
    </row>
    <row r="146" spans="7:8" ht="15.75">
      <c r="G146" s="276"/>
      <c r="H146" s="276"/>
    </row>
    <row r="147" spans="7:8" ht="15.75">
      <c r="G147" s="276"/>
      <c r="H147" s="276"/>
    </row>
    <row r="148" spans="7:8" ht="15.75">
      <c r="G148" s="276"/>
      <c r="H148" s="276"/>
    </row>
    <row r="149" spans="7:8" ht="15.75">
      <c r="G149" s="276"/>
      <c r="H149" s="276"/>
    </row>
    <row r="150" spans="7:8" ht="15.75">
      <c r="G150" s="276"/>
      <c r="H150" s="276"/>
    </row>
    <row r="151" spans="7:8" ht="15.75">
      <c r="G151" s="276"/>
      <c r="H151" s="276"/>
    </row>
    <row r="152" spans="7:8" ht="15.75">
      <c r="G152" s="276"/>
      <c r="H152" s="276"/>
    </row>
    <row r="153" spans="7:8" ht="15.75">
      <c r="G153" s="276"/>
      <c r="H153" s="276"/>
    </row>
  </sheetData>
  <sheetProtection/>
  <mergeCells count="35">
    <mergeCell ref="D114:F114"/>
    <mergeCell ref="D115:F115"/>
    <mergeCell ref="C104:F104"/>
    <mergeCell ref="C112:F112"/>
    <mergeCell ref="D113:F113"/>
    <mergeCell ref="E41:F41"/>
    <mergeCell ref="D105:F105"/>
    <mergeCell ref="A107:F107"/>
    <mergeCell ref="B111:F111"/>
    <mergeCell ref="A58:F58"/>
    <mergeCell ref="C79:F79"/>
    <mergeCell ref="B59:F59"/>
    <mergeCell ref="B56:F56"/>
    <mergeCell ref="B50:F50"/>
    <mergeCell ref="C52:F52"/>
    <mergeCell ref="D53:F53"/>
    <mergeCell ref="A8:I8"/>
    <mergeCell ref="D45:F45"/>
    <mergeCell ref="E46:F46"/>
    <mergeCell ref="C49:F49"/>
    <mergeCell ref="C44:F44"/>
    <mergeCell ref="E19:F19"/>
    <mergeCell ref="D36:F36"/>
    <mergeCell ref="D38:F38"/>
    <mergeCell ref="D39:F39"/>
    <mergeCell ref="A4:I4"/>
    <mergeCell ref="A1:I1"/>
    <mergeCell ref="D18:F18"/>
    <mergeCell ref="C98:F98"/>
    <mergeCell ref="A3:I3"/>
    <mergeCell ref="A10:I10"/>
    <mergeCell ref="B16:F16"/>
    <mergeCell ref="A12:F14"/>
    <mergeCell ref="A6:I6"/>
    <mergeCell ref="A7:I7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162" customWidth="1"/>
    <col min="2" max="2" width="9.125" style="162" customWidth="1"/>
    <col min="3" max="3" width="61.125" style="162" customWidth="1"/>
    <col min="4" max="7" width="26.25390625" style="162" customWidth="1"/>
    <col min="8" max="16384" width="9.125" style="162" customWidth="1"/>
  </cols>
  <sheetData>
    <row r="1" spans="1:7" ht="15.75">
      <c r="A1" s="541"/>
      <c r="B1" s="514"/>
      <c r="C1" s="514"/>
      <c r="D1" s="514"/>
      <c r="E1" s="514"/>
      <c r="F1" s="514"/>
      <c r="G1" s="514"/>
    </row>
    <row r="2" spans="1:7" ht="14.25" customHeight="1">
      <c r="A2" s="541"/>
      <c r="B2" s="514"/>
      <c r="C2" s="514"/>
      <c r="D2" s="514"/>
      <c r="E2" s="514"/>
      <c r="F2" s="514"/>
      <c r="G2" s="514"/>
    </row>
    <row r="3" spans="1:7" s="158" customFormat="1" ht="15.75">
      <c r="A3" s="542" t="s">
        <v>576</v>
      </c>
      <c r="B3" s="519"/>
      <c r="C3" s="519"/>
      <c r="D3" s="519"/>
      <c r="E3" s="519"/>
      <c r="F3" s="519"/>
      <c r="G3" s="519"/>
    </row>
    <row r="4" spans="3:7" s="72" customFormat="1" ht="15" customHeight="1">
      <c r="C4" s="543"/>
      <c r="D4" s="543"/>
      <c r="E4" s="543"/>
      <c r="F4" s="543"/>
      <c r="G4" s="543"/>
    </row>
    <row r="5" spans="2:7" s="160" customFormat="1" ht="15" customHeight="1">
      <c r="B5" s="539" t="s">
        <v>483</v>
      </c>
      <c r="C5" s="539"/>
      <c r="D5" s="539"/>
      <c r="E5" s="539"/>
      <c r="F5" s="539"/>
      <c r="G5" s="539"/>
    </row>
    <row r="6" spans="2:7" s="125" customFormat="1" ht="15" customHeight="1">
      <c r="B6" s="539" t="s">
        <v>41</v>
      </c>
      <c r="C6" s="539"/>
      <c r="D6" s="539"/>
      <c r="E6" s="539"/>
      <c r="F6" s="539"/>
      <c r="G6" s="539"/>
    </row>
    <row r="7" spans="2:7" s="125" customFormat="1" ht="15.75" customHeight="1">
      <c r="B7" s="540" t="s">
        <v>296</v>
      </c>
      <c r="C7" s="540"/>
      <c r="D7" s="540"/>
      <c r="E7" s="540"/>
      <c r="F7" s="540"/>
      <c r="G7" s="540"/>
    </row>
    <row r="8" spans="3:7" s="125" customFormat="1" ht="15" customHeight="1">
      <c r="C8" s="539" t="s">
        <v>484</v>
      </c>
      <c r="D8" s="539"/>
      <c r="E8" s="539"/>
      <c r="F8" s="539"/>
      <c r="G8" s="539"/>
    </row>
    <row r="9" spans="3:7" s="158" customFormat="1" ht="12" customHeight="1" thickBot="1">
      <c r="C9" s="159"/>
      <c r="D9" s="161"/>
      <c r="E9" s="393"/>
      <c r="F9" s="393"/>
      <c r="G9" s="392"/>
    </row>
    <row r="10" spans="1:7" s="158" customFormat="1" ht="23.25" customHeight="1" thickBot="1">
      <c r="A10" s="544" t="s">
        <v>491</v>
      </c>
      <c r="B10" s="547" t="s">
        <v>184</v>
      </c>
      <c r="C10" s="550" t="s">
        <v>185</v>
      </c>
      <c r="D10" s="553" t="s">
        <v>297</v>
      </c>
      <c r="E10" s="556" t="s">
        <v>298</v>
      </c>
      <c r="F10" s="556"/>
      <c r="G10" s="557"/>
    </row>
    <row r="11" spans="1:7" s="158" customFormat="1" ht="39.75" customHeight="1" thickBot="1">
      <c r="A11" s="545"/>
      <c r="B11" s="548"/>
      <c r="C11" s="551"/>
      <c r="D11" s="554"/>
      <c r="E11" s="389" t="s">
        <v>299</v>
      </c>
      <c r="F11" s="391" t="s">
        <v>300</v>
      </c>
      <c r="G11" s="390" t="s">
        <v>301</v>
      </c>
    </row>
    <row r="12" spans="1:7" s="158" customFormat="1" ht="22.5" customHeight="1">
      <c r="A12" s="545"/>
      <c r="B12" s="548"/>
      <c r="C12" s="551"/>
      <c r="D12" s="554"/>
      <c r="E12" s="558" t="s">
        <v>302</v>
      </c>
      <c r="F12" s="559"/>
      <c r="G12" s="560"/>
    </row>
    <row r="13" spans="1:7" ht="21.75" customHeight="1" thickBot="1">
      <c r="A13" s="546"/>
      <c r="B13" s="549"/>
      <c r="C13" s="552"/>
      <c r="D13" s="555"/>
      <c r="E13" s="561"/>
      <c r="F13" s="562"/>
      <c r="G13" s="563"/>
    </row>
    <row r="14" spans="1:7" ht="30">
      <c r="A14" s="290" t="s">
        <v>44</v>
      </c>
      <c r="B14" s="285" t="s">
        <v>201</v>
      </c>
      <c r="C14" s="163" t="s">
        <v>202</v>
      </c>
      <c r="D14" s="388">
        <f aca="true" t="shared" si="0" ref="D14:D27">SUM(E14:G14)</f>
        <v>68800</v>
      </c>
      <c r="E14" s="388">
        <v>7000</v>
      </c>
      <c r="F14" s="388">
        <v>61800</v>
      </c>
      <c r="G14" s="387"/>
    </row>
    <row r="15" spans="1:7" ht="15">
      <c r="A15" s="289" t="s">
        <v>27</v>
      </c>
      <c r="B15" s="286" t="s">
        <v>203</v>
      </c>
      <c r="C15" s="118" t="s">
        <v>36</v>
      </c>
      <c r="D15" s="382">
        <f t="shared" si="0"/>
        <v>51800</v>
      </c>
      <c r="E15" s="382">
        <v>51800</v>
      </c>
      <c r="F15" s="382"/>
      <c r="G15" s="381"/>
    </row>
    <row r="16" spans="1:7" ht="15">
      <c r="A16" s="289" t="s">
        <v>45</v>
      </c>
      <c r="B16" s="286" t="s">
        <v>204</v>
      </c>
      <c r="C16" s="118" t="s">
        <v>205</v>
      </c>
      <c r="D16" s="382">
        <f t="shared" si="0"/>
        <v>956117</v>
      </c>
      <c r="E16" s="382">
        <v>820000</v>
      </c>
      <c r="F16" s="382">
        <f>85179+2000+20000+28938</f>
        <v>136117</v>
      </c>
      <c r="G16" s="381"/>
    </row>
    <row r="17" spans="1:7" ht="15">
      <c r="A17" s="289" t="s">
        <v>105</v>
      </c>
      <c r="B17" s="286" t="s">
        <v>303</v>
      </c>
      <c r="C17" s="118" t="s">
        <v>304</v>
      </c>
      <c r="D17" s="382">
        <f t="shared" si="0"/>
        <v>28073019</v>
      </c>
      <c r="E17" s="382">
        <f>28045173+27846</f>
        <v>28073019</v>
      </c>
      <c r="F17" s="382"/>
      <c r="G17" s="381"/>
    </row>
    <row r="18" spans="1:7" ht="15">
      <c r="A18" s="289" t="s">
        <v>106</v>
      </c>
      <c r="B18" s="286" t="s">
        <v>493</v>
      </c>
      <c r="C18" s="118" t="s">
        <v>494</v>
      </c>
      <c r="D18" s="382">
        <f t="shared" si="0"/>
        <v>62033655</v>
      </c>
      <c r="E18" s="382">
        <f>16546464+6584967+64122+89764+120000+17000+195900+38415438</f>
        <v>62033655</v>
      </c>
      <c r="F18" s="382"/>
      <c r="G18" s="381"/>
    </row>
    <row r="19" spans="1:7" ht="15">
      <c r="A19" s="289" t="s">
        <v>112</v>
      </c>
      <c r="B19" s="286" t="s">
        <v>575</v>
      </c>
      <c r="C19" s="118" t="s">
        <v>574</v>
      </c>
      <c r="D19" s="382">
        <f t="shared" si="0"/>
        <v>722670</v>
      </c>
      <c r="E19" s="382">
        <v>722670</v>
      </c>
      <c r="F19" s="382"/>
      <c r="G19" s="381"/>
    </row>
    <row r="20" spans="1:7" ht="15">
      <c r="A20" s="289" t="s">
        <v>248</v>
      </c>
      <c r="B20" s="286" t="s">
        <v>208</v>
      </c>
      <c r="C20" s="118" t="s">
        <v>209</v>
      </c>
      <c r="D20" s="382">
        <f t="shared" si="0"/>
        <v>6312694</v>
      </c>
      <c r="E20" s="382">
        <v>6312694</v>
      </c>
      <c r="F20" s="382"/>
      <c r="G20" s="381"/>
    </row>
    <row r="21" spans="1:7" ht="15">
      <c r="A21" s="289" t="s">
        <v>250</v>
      </c>
      <c r="B21" s="286" t="s">
        <v>218</v>
      </c>
      <c r="C21" s="118" t="s">
        <v>34</v>
      </c>
      <c r="D21" s="382">
        <f t="shared" si="0"/>
        <v>4825255</v>
      </c>
      <c r="E21" s="382">
        <v>4825255</v>
      </c>
      <c r="F21" s="382"/>
      <c r="G21" s="381"/>
    </row>
    <row r="22" spans="1:7" ht="15">
      <c r="A22" s="289" t="s">
        <v>252</v>
      </c>
      <c r="B22" s="286" t="s">
        <v>305</v>
      </c>
      <c r="C22" s="118" t="s">
        <v>306</v>
      </c>
      <c r="D22" s="382">
        <f t="shared" si="0"/>
        <v>77200</v>
      </c>
      <c r="E22" s="382">
        <v>77200</v>
      </c>
      <c r="F22" s="382"/>
      <c r="G22" s="381"/>
    </row>
    <row r="23" spans="1:7" ht="15">
      <c r="A23" s="289" t="s">
        <v>259</v>
      </c>
      <c r="B23" s="286" t="s">
        <v>307</v>
      </c>
      <c r="C23" s="118" t="s">
        <v>308</v>
      </c>
      <c r="D23" s="382">
        <f t="shared" si="0"/>
        <v>85418</v>
      </c>
      <c r="E23" s="382"/>
      <c r="F23" s="382">
        <v>85418</v>
      </c>
      <c r="G23" s="381"/>
    </row>
    <row r="24" spans="1:7" ht="15">
      <c r="A24" s="289" t="s">
        <v>261</v>
      </c>
      <c r="B24" s="286" t="s">
        <v>307</v>
      </c>
      <c r="C24" s="120" t="s">
        <v>450</v>
      </c>
      <c r="D24" s="382">
        <f t="shared" si="0"/>
        <v>165719</v>
      </c>
      <c r="E24" s="382"/>
      <c r="F24" s="382">
        <v>165719</v>
      </c>
      <c r="G24" s="381"/>
    </row>
    <row r="25" spans="1:7" ht="15">
      <c r="A25" s="289" t="s">
        <v>263</v>
      </c>
      <c r="B25" s="287">
        <v>104051</v>
      </c>
      <c r="C25" s="118" t="s">
        <v>364</v>
      </c>
      <c r="D25" s="382">
        <f t="shared" si="0"/>
        <v>46400</v>
      </c>
      <c r="E25" s="382"/>
      <c r="F25" s="382"/>
      <c r="G25" s="381">
        <v>46400</v>
      </c>
    </row>
    <row r="26" spans="1:7" ht="15">
      <c r="A26" s="289" t="s">
        <v>268</v>
      </c>
      <c r="B26" s="286" t="s">
        <v>226</v>
      </c>
      <c r="C26" s="120" t="s">
        <v>362</v>
      </c>
      <c r="D26" s="382">
        <f t="shared" si="0"/>
        <v>296786</v>
      </c>
      <c r="E26" s="382">
        <v>296786</v>
      </c>
      <c r="F26" s="382"/>
      <c r="G26" s="381"/>
    </row>
    <row r="27" spans="1:7" ht="30.75" thickBot="1">
      <c r="A27" s="289" t="s">
        <v>270</v>
      </c>
      <c r="B27" s="287">
        <v>900020</v>
      </c>
      <c r="C27" s="118" t="s">
        <v>309</v>
      </c>
      <c r="D27" s="382">
        <f t="shared" si="0"/>
        <v>7808000</v>
      </c>
      <c r="E27" s="382">
        <v>7808000</v>
      </c>
      <c r="F27" s="382"/>
      <c r="G27" s="381"/>
    </row>
    <row r="28" spans="1:7" ht="30" customHeight="1" thickBot="1">
      <c r="A28" s="386" t="s">
        <v>272</v>
      </c>
      <c r="B28" s="288"/>
      <c r="C28" s="375" t="s">
        <v>573</v>
      </c>
      <c r="D28" s="385">
        <f>SUM(D14:D27)</f>
        <v>111523533</v>
      </c>
      <c r="E28" s="385">
        <f>SUM(E14:E27)</f>
        <v>111028079</v>
      </c>
      <c r="F28" s="385">
        <f>SUM(F14:F27)</f>
        <v>449054</v>
      </c>
      <c r="G28" s="385">
        <f>SUM(G14:G27)</f>
        <v>46400</v>
      </c>
    </row>
    <row r="29" spans="1:7" ht="19.5" customHeight="1">
      <c r="A29" s="384" t="s">
        <v>279</v>
      </c>
      <c r="B29" s="383" t="s">
        <v>305</v>
      </c>
      <c r="C29" s="118" t="s">
        <v>306</v>
      </c>
      <c r="D29" s="382">
        <f>SUM(E29:G29)</f>
        <v>148352</v>
      </c>
      <c r="E29" s="382">
        <v>148352</v>
      </c>
      <c r="F29" s="382"/>
      <c r="G29" s="381"/>
    </row>
    <row r="30" spans="1:7" ht="15">
      <c r="A30" s="289" t="s">
        <v>282</v>
      </c>
      <c r="B30" s="119" t="s">
        <v>307</v>
      </c>
      <c r="C30" s="118" t="s">
        <v>308</v>
      </c>
      <c r="D30" s="382">
        <f>SUM(E30:G30)</f>
        <v>246970</v>
      </c>
      <c r="E30" s="382"/>
      <c r="F30" s="382">
        <v>246970</v>
      </c>
      <c r="G30" s="381"/>
    </row>
    <row r="31" spans="1:7" ht="15">
      <c r="A31" s="289" t="s">
        <v>284</v>
      </c>
      <c r="B31" s="119" t="s">
        <v>307</v>
      </c>
      <c r="C31" s="120" t="s">
        <v>450</v>
      </c>
      <c r="D31" s="382">
        <f>SUM(E31:G31)</f>
        <v>788012</v>
      </c>
      <c r="E31" s="382"/>
      <c r="F31" s="382">
        <v>788012</v>
      </c>
      <c r="G31" s="381"/>
    </row>
    <row r="32" spans="1:7" ht="15.75" thickBot="1">
      <c r="A32" s="289" t="s">
        <v>356</v>
      </c>
      <c r="B32" s="380" t="s">
        <v>226</v>
      </c>
      <c r="C32" s="379" t="s">
        <v>362</v>
      </c>
      <c r="D32" s="378">
        <f>SUM(E32:G32)</f>
        <v>1547151</v>
      </c>
      <c r="E32" s="378">
        <v>1547151</v>
      </c>
      <c r="F32" s="378"/>
      <c r="G32" s="377"/>
    </row>
    <row r="33" spans="1:7" ht="19.5" customHeight="1" thickBot="1">
      <c r="A33" s="289" t="s">
        <v>358</v>
      </c>
      <c r="B33" s="164"/>
      <c r="C33" s="375" t="s">
        <v>572</v>
      </c>
      <c r="D33" s="374">
        <f>SUM(D29:D32)</f>
        <v>2730485</v>
      </c>
      <c r="E33" s="374">
        <f>SUM(E29:E32)</f>
        <v>1695503</v>
      </c>
      <c r="F33" s="374">
        <f>SUM(F29:F32)</f>
        <v>1034982</v>
      </c>
      <c r="G33" s="376">
        <f>SUM(G29:G32)</f>
        <v>0</v>
      </c>
    </row>
    <row r="34" spans="1:7" ht="15.75" customHeight="1" thickBot="1">
      <c r="A34" s="313" t="s">
        <v>499</v>
      </c>
      <c r="B34" s="164"/>
      <c r="C34" s="375" t="s">
        <v>571</v>
      </c>
      <c r="D34" s="374">
        <f>D28+D33</f>
        <v>114254018</v>
      </c>
      <c r="E34" s="374">
        <f>E28+E33</f>
        <v>112723582</v>
      </c>
      <c r="F34" s="374">
        <f>F28+F33</f>
        <v>1484036</v>
      </c>
      <c r="G34" s="374">
        <f>G28+G33</f>
        <v>46400</v>
      </c>
    </row>
  </sheetData>
  <sheetProtection/>
  <mergeCells count="14">
    <mergeCell ref="C8:G8"/>
    <mergeCell ref="A10:A13"/>
    <mergeCell ref="B10:B13"/>
    <mergeCell ref="C10:C13"/>
    <mergeCell ref="D10:D13"/>
    <mergeCell ref="E10:G10"/>
    <mergeCell ref="E12:G13"/>
    <mergeCell ref="B5:G5"/>
    <mergeCell ref="B6:G6"/>
    <mergeCell ref="B7:G7"/>
    <mergeCell ref="A1:G1"/>
    <mergeCell ref="A3:G3"/>
    <mergeCell ref="A2:G2"/>
    <mergeCell ref="C4:G4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9"/>
  <sheetViews>
    <sheetView zoomScalePageLayoutView="0" workbookViewId="0" topLeftCell="B1">
      <selection activeCell="B6" sqref="B6:T6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3.1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</row>
    <row r="2" spans="2:17" ht="15.75" customHeight="1">
      <c r="B2" s="571" t="s">
        <v>585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</row>
    <row r="3" spans="2:20" s="116" customFormat="1" ht="15.75" customHeight="1"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</row>
    <row r="4" spans="2:17" s="116" customFormat="1" ht="15.75" customHeight="1">
      <c r="B4" s="115"/>
      <c r="C4" s="115"/>
      <c r="D4" s="115"/>
      <c r="E4" s="115"/>
      <c r="F4" s="115"/>
      <c r="G4" s="115"/>
      <c r="H4" s="567" t="s">
        <v>483</v>
      </c>
      <c r="I4" s="597"/>
      <c r="J4" s="597"/>
      <c r="K4" s="597"/>
      <c r="L4" s="115"/>
      <c r="M4" s="115"/>
      <c r="N4" s="115"/>
      <c r="O4" s="115"/>
      <c r="P4" s="115"/>
      <c r="Q4" s="115"/>
    </row>
    <row r="5" spans="2:20" s="116" customFormat="1" ht="15.75" customHeight="1">
      <c r="B5" s="567" t="s">
        <v>41</v>
      </c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567"/>
    </row>
    <row r="6" spans="2:20" s="116" customFormat="1" ht="15.75" customHeight="1">
      <c r="B6" s="567" t="s">
        <v>183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</row>
    <row r="7" spans="2:20" s="116" customFormat="1" ht="15.75" customHeight="1">
      <c r="B7" s="567" t="s">
        <v>489</v>
      </c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</row>
    <row r="8" spans="19:20" s="116" customFormat="1" ht="15.75" thickBot="1">
      <c r="S8" s="575" t="s">
        <v>492</v>
      </c>
      <c r="T8" s="575"/>
    </row>
    <row r="9" spans="1:20" s="117" customFormat="1" ht="20.25" customHeight="1" thickBot="1">
      <c r="A9" s="604" t="s">
        <v>491</v>
      </c>
      <c r="B9" s="601" t="s">
        <v>184</v>
      </c>
      <c r="C9" s="598" t="s">
        <v>185</v>
      </c>
      <c r="D9" s="564" t="s">
        <v>186</v>
      </c>
      <c r="E9" s="581" t="s">
        <v>187</v>
      </c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3"/>
      <c r="S9" s="576" t="s">
        <v>3</v>
      </c>
      <c r="T9" s="577"/>
    </row>
    <row r="10" spans="1:20" s="117" customFormat="1" ht="38.25" customHeight="1" thickBot="1">
      <c r="A10" s="605"/>
      <c r="B10" s="602"/>
      <c r="C10" s="599"/>
      <c r="D10" s="565"/>
      <c r="E10" s="594" t="s">
        <v>76</v>
      </c>
      <c r="F10" s="595"/>
      <c r="G10" s="595"/>
      <c r="H10" s="595"/>
      <c r="I10" s="595"/>
      <c r="J10" s="596"/>
      <c r="K10" s="584" t="s">
        <v>77</v>
      </c>
      <c r="L10" s="585"/>
      <c r="M10" s="585"/>
      <c r="N10" s="586"/>
      <c r="O10" s="591" t="s">
        <v>188</v>
      </c>
      <c r="P10" s="592"/>
      <c r="Q10" s="592"/>
      <c r="R10" s="593"/>
      <c r="S10" s="589" t="s">
        <v>8</v>
      </c>
      <c r="T10" s="590"/>
    </row>
    <row r="11" spans="1:20" s="117" customFormat="1" ht="21" customHeight="1" thickBot="1">
      <c r="A11" s="605"/>
      <c r="B11" s="602"/>
      <c r="C11" s="599"/>
      <c r="D11" s="565"/>
      <c r="E11" s="564" t="s">
        <v>189</v>
      </c>
      <c r="F11" s="564" t="s">
        <v>190</v>
      </c>
      <c r="G11" s="564" t="s">
        <v>191</v>
      </c>
      <c r="H11" s="564" t="s">
        <v>192</v>
      </c>
      <c r="I11" s="564" t="s">
        <v>193</v>
      </c>
      <c r="J11" s="568" t="s">
        <v>194</v>
      </c>
      <c r="K11" s="578" t="s">
        <v>195</v>
      </c>
      <c r="L11" s="578" t="s">
        <v>78</v>
      </c>
      <c r="M11" s="564" t="s">
        <v>310</v>
      </c>
      <c r="N11" s="572" t="s">
        <v>311</v>
      </c>
      <c r="O11" s="564" t="s">
        <v>451</v>
      </c>
      <c r="P11" s="564" t="s">
        <v>196</v>
      </c>
      <c r="Q11" s="564" t="s">
        <v>197</v>
      </c>
      <c r="R11" s="572" t="s">
        <v>312</v>
      </c>
      <c r="S11" s="156" t="s">
        <v>198</v>
      </c>
      <c r="T11" s="157" t="s">
        <v>199</v>
      </c>
    </row>
    <row r="12" spans="1:20" s="117" customFormat="1" ht="18.75" customHeight="1">
      <c r="A12" s="605"/>
      <c r="B12" s="602"/>
      <c r="C12" s="599"/>
      <c r="D12" s="565"/>
      <c r="E12" s="565"/>
      <c r="F12" s="565"/>
      <c r="G12" s="565"/>
      <c r="H12" s="565"/>
      <c r="I12" s="565"/>
      <c r="J12" s="569"/>
      <c r="K12" s="579"/>
      <c r="L12" s="579"/>
      <c r="M12" s="565"/>
      <c r="N12" s="573"/>
      <c r="O12" s="565"/>
      <c r="P12" s="565"/>
      <c r="Q12" s="565"/>
      <c r="R12" s="573"/>
      <c r="S12" s="587" t="s">
        <v>200</v>
      </c>
      <c r="T12" s="588"/>
    </row>
    <row r="13" spans="1:20" s="117" customFormat="1" ht="20.25" customHeight="1" thickBot="1">
      <c r="A13" s="606"/>
      <c r="B13" s="603"/>
      <c r="C13" s="600"/>
      <c r="D13" s="566"/>
      <c r="E13" s="566"/>
      <c r="F13" s="566"/>
      <c r="G13" s="566"/>
      <c r="H13" s="566"/>
      <c r="I13" s="566"/>
      <c r="J13" s="570"/>
      <c r="K13" s="580"/>
      <c r="L13" s="580"/>
      <c r="M13" s="566"/>
      <c r="N13" s="574"/>
      <c r="O13" s="566"/>
      <c r="P13" s="566"/>
      <c r="Q13" s="566"/>
      <c r="R13" s="574"/>
      <c r="S13" s="589"/>
      <c r="T13" s="590"/>
    </row>
    <row r="14" spans="1:20" s="116" customFormat="1" ht="30">
      <c r="A14" s="332" t="s">
        <v>44</v>
      </c>
      <c r="B14" s="330" t="s">
        <v>201</v>
      </c>
      <c r="C14" s="118" t="s">
        <v>202</v>
      </c>
      <c r="D14" s="299">
        <f>J14+N14+P14+Q14</f>
        <v>58739344</v>
      </c>
      <c r="E14" s="291">
        <f>11856713+444000+74764+2250</f>
        <v>12377727</v>
      </c>
      <c r="F14" s="292">
        <f>2822558+97680+15000</f>
        <v>2935238</v>
      </c>
      <c r="G14" s="292">
        <f>3583240+143179+64122</f>
        <v>3790541</v>
      </c>
      <c r="H14" s="292"/>
      <c r="I14" s="292">
        <f>278800+38415438</f>
        <v>38694238</v>
      </c>
      <c r="J14" s="293">
        <f>SUM(E14:I14)</f>
        <v>57797744</v>
      </c>
      <c r="K14" s="294">
        <v>101600</v>
      </c>
      <c r="L14" s="294"/>
      <c r="M14" s="294">
        <v>840000</v>
      </c>
      <c r="N14" s="295">
        <f>SUM(K14:M14)</f>
        <v>941600</v>
      </c>
      <c r="O14" s="295"/>
      <c r="P14" s="296"/>
      <c r="Q14" s="297"/>
      <c r="R14" s="297"/>
      <c r="S14" s="338">
        <f>0.5+0.1+0.2-0.3</f>
        <v>0.5</v>
      </c>
      <c r="T14" s="339">
        <v>0.5</v>
      </c>
    </row>
    <row r="15" spans="1:20" s="116" customFormat="1" ht="15">
      <c r="A15" s="332" t="s">
        <v>27</v>
      </c>
      <c r="B15" s="286" t="s">
        <v>203</v>
      </c>
      <c r="C15" s="118" t="s">
        <v>36</v>
      </c>
      <c r="D15" s="299">
        <f>J15+N15+P15+Q15</f>
        <v>64340</v>
      </c>
      <c r="E15" s="291"/>
      <c r="F15" s="292"/>
      <c r="G15" s="292">
        <v>64340</v>
      </c>
      <c r="H15" s="292"/>
      <c r="I15" s="292"/>
      <c r="J15" s="293">
        <f>SUM(E15:I15)</f>
        <v>64340</v>
      </c>
      <c r="K15" s="294"/>
      <c r="L15" s="294"/>
      <c r="M15" s="294"/>
      <c r="N15" s="295"/>
      <c r="O15" s="295"/>
      <c r="P15" s="296"/>
      <c r="Q15" s="297"/>
      <c r="R15" s="297"/>
      <c r="S15" s="340"/>
      <c r="T15" s="341"/>
    </row>
    <row r="16" spans="1:20" s="116" customFormat="1" ht="29.25" customHeight="1">
      <c r="A16" s="332" t="s">
        <v>45</v>
      </c>
      <c r="B16" s="286" t="s">
        <v>204</v>
      </c>
      <c r="C16" s="118" t="s">
        <v>205</v>
      </c>
      <c r="D16" s="299">
        <f>J16+N16+R16</f>
        <v>364790</v>
      </c>
      <c r="E16" s="291"/>
      <c r="F16" s="292"/>
      <c r="G16" s="292">
        <v>244790</v>
      </c>
      <c r="H16" s="292"/>
      <c r="I16" s="292"/>
      <c r="J16" s="293">
        <f>SUM(E16:I16)</f>
        <v>244790</v>
      </c>
      <c r="K16" s="294"/>
      <c r="L16" s="294">
        <v>120000</v>
      </c>
      <c r="M16" s="294"/>
      <c r="N16" s="295">
        <f>SUM(K16:M16)</f>
        <v>120000</v>
      </c>
      <c r="O16" s="295"/>
      <c r="P16" s="296"/>
      <c r="Q16" s="297"/>
      <c r="R16" s="297"/>
      <c r="S16" s="342"/>
      <c r="T16" s="341"/>
    </row>
    <row r="17" spans="1:20" s="116" customFormat="1" ht="30" customHeight="1">
      <c r="A17" s="332" t="s">
        <v>105</v>
      </c>
      <c r="B17" s="286" t="s">
        <v>303</v>
      </c>
      <c r="C17" s="118" t="s">
        <v>304</v>
      </c>
      <c r="D17" s="299">
        <f>J17+N17+R17</f>
        <v>1121209</v>
      </c>
      <c r="E17" s="291"/>
      <c r="F17" s="292"/>
      <c r="G17" s="292"/>
      <c r="H17" s="292"/>
      <c r="I17" s="292"/>
      <c r="J17" s="293">
        <f>SUM(E17:I17)</f>
        <v>0</v>
      </c>
      <c r="K17" s="294"/>
      <c r="L17" s="294"/>
      <c r="M17" s="294"/>
      <c r="N17" s="295">
        <f>SUM(K17:M17)</f>
        <v>0</v>
      </c>
      <c r="O17" s="295">
        <v>1121209</v>
      </c>
      <c r="P17" s="296"/>
      <c r="Q17" s="297"/>
      <c r="R17" s="297">
        <f>O17+P17+Q17</f>
        <v>1121209</v>
      </c>
      <c r="S17" s="338"/>
      <c r="T17" s="341"/>
    </row>
    <row r="18" spans="1:20" s="116" customFormat="1" ht="30" customHeight="1">
      <c r="A18" s="332" t="s">
        <v>106</v>
      </c>
      <c r="B18" s="286" t="s">
        <v>575</v>
      </c>
      <c r="C18" s="118" t="s">
        <v>574</v>
      </c>
      <c r="D18" s="299">
        <f>J18+N18+R18</f>
        <v>722670</v>
      </c>
      <c r="E18" s="291">
        <v>647490</v>
      </c>
      <c r="F18" s="292">
        <v>75180</v>
      </c>
      <c r="G18" s="292"/>
      <c r="H18" s="292"/>
      <c r="I18" s="292"/>
      <c r="J18" s="293">
        <f>SUM(E18:I18)</f>
        <v>722670</v>
      </c>
      <c r="K18" s="294"/>
      <c r="L18" s="294"/>
      <c r="M18" s="294"/>
      <c r="N18" s="295"/>
      <c r="O18" s="295"/>
      <c r="P18" s="296"/>
      <c r="Q18" s="297"/>
      <c r="R18" s="297"/>
      <c r="S18" s="338"/>
      <c r="T18" s="341"/>
    </row>
    <row r="19" spans="1:20" s="116" customFormat="1" ht="30" customHeight="1">
      <c r="A19" s="332" t="s">
        <v>584</v>
      </c>
      <c r="B19" s="286" t="s">
        <v>495</v>
      </c>
      <c r="C19" s="118" t="s">
        <v>496</v>
      </c>
      <c r="D19" s="299">
        <f>J19+N19+R19</f>
        <v>10000000</v>
      </c>
      <c r="E19" s="291"/>
      <c r="F19" s="292"/>
      <c r="G19" s="292"/>
      <c r="H19" s="292"/>
      <c r="I19" s="292"/>
      <c r="J19" s="293"/>
      <c r="K19" s="294"/>
      <c r="L19" s="294">
        <v>10000000</v>
      </c>
      <c r="M19" s="294"/>
      <c r="N19" s="295">
        <f>SUM(K19:M19)</f>
        <v>10000000</v>
      </c>
      <c r="O19" s="295"/>
      <c r="P19" s="296"/>
      <c r="Q19" s="297"/>
      <c r="R19" s="297"/>
      <c r="S19" s="338"/>
      <c r="T19" s="341"/>
    </row>
    <row r="20" spans="1:20" s="116" customFormat="1" ht="30">
      <c r="A20" s="332" t="s">
        <v>248</v>
      </c>
      <c r="B20" s="286" t="s">
        <v>206</v>
      </c>
      <c r="C20" s="118" t="s">
        <v>207</v>
      </c>
      <c r="D20" s="299">
        <f aca="true" t="shared" si="0" ref="D20:D41">J20+N20+P20+Q20</f>
        <v>26670</v>
      </c>
      <c r="E20" s="291"/>
      <c r="F20" s="292"/>
      <c r="G20" s="292">
        <v>26670</v>
      </c>
      <c r="H20" s="292"/>
      <c r="I20" s="292"/>
      <c r="J20" s="293">
        <f>SUM(E20:I20)</f>
        <v>26670</v>
      </c>
      <c r="K20" s="294"/>
      <c r="L20" s="294"/>
      <c r="M20" s="294"/>
      <c r="N20" s="295">
        <f>SUM(K20:M20)</f>
        <v>0</v>
      </c>
      <c r="O20" s="295"/>
      <c r="P20" s="296"/>
      <c r="Q20" s="297"/>
      <c r="R20" s="297"/>
      <c r="S20" s="338"/>
      <c r="T20" s="341"/>
    </row>
    <row r="21" spans="1:20" s="116" customFormat="1" ht="15">
      <c r="A21" s="332" t="s">
        <v>250</v>
      </c>
      <c r="B21" s="286" t="s">
        <v>457</v>
      </c>
      <c r="C21" s="118" t="s">
        <v>458</v>
      </c>
      <c r="D21" s="299">
        <f t="shared" si="0"/>
        <v>19050</v>
      </c>
      <c r="E21" s="291"/>
      <c r="F21" s="292"/>
      <c r="G21" s="292">
        <v>19050</v>
      </c>
      <c r="H21" s="292"/>
      <c r="I21" s="292"/>
      <c r="J21" s="293">
        <f>SUM(E21:I21)</f>
        <v>19050</v>
      </c>
      <c r="K21" s="294"/>
      <c r="L21" s="294"/>
      <c r="M21" s="294"/>
      <c r="N21" s="295">
        <f>SUM(K21:M21)</f>
        <v>0</v>
      </c>
      <c r="O21" s="295"/>
      <c r="P21" s="296"/>
      <c r="Q21" s="297"/>
      <c r="R21" s="297"/>
      <c r="S21" s="338"/>
      <c r="T21" s="341"/>
    </row>
    <row r="22" spans="1:20" s="116" customFormat="1" ht="30">
      <c r="A22" s="332" t="s">
        <v>252</v>
      </c>
      <c r="B22" s="286" t="s">
        <v>208</v>
      </c>
      <c r="C22" s="118" t="s">
        <v>209</v>
      </c>
      <c r="D22" s="299">
        <f t="shared" si="0"/>
        <v>6312694</v>
      </c>
      <c r="E22" s="291"/>
      <c r="F22" s="292"/>
      <c r="G22" s="292">
        <v>6312694</v>
      </c>
      <c r="H22" s="292"/>
      <c r="I22" s="292"/>
      <c r="J22" s="293">
        <f>SUM(E22:I22)</f>
        <v>6312694</v>
      </c>
      <c r="K22" s="294"/>
      <c r="L22" s="294"/>
      <c r="M22" s="294"/>
      <c r="N22" s="295"/>
      <c r="O22" s="295"/>
      <c r="P22" s="296"/>
      <c r="Q22" s="297"/>
      <c r="R22" s="297"/>
      <c r="S22" s="342"/>
      <c r="T22" s="341"/>
    </row>
    <row r="23" spans="1:20" s="116" customFormat="1" ht="15">
      <c r="A23" s="332" t="s">
        <v>259</v>
      </c>
      <c r="B23" s="286" t="s">
        <v>210</v>
      </c>
      <c r="C23" s="118" t="s">
        <v>211</v>
      </c>
      <c r="D23" s="299">
        <f t="shared" si="0"/>
        <v>360000</v>
      </c>
      <c r="E23" s="291"/>
      <c r="F23" s="292"/>
      <c r="G23" s="292"/>
      <c r="H23" s="292"/>
      <c r="I23" s="292"/>
      <c r="J23" s="293"/>
      <c r="K23" s="294"/>
      <c r="L23" s="294"/>
      <c r="M23" s="294">
        <f>1200000-840000</f>
        <v>360000</v>
      </c>
      <c r="N23" s="295">
        <f>SUM(K23:M23)</f>
        <v>360000</v>
      </c>
      <c r="O23" s="295"/>
      <c r="P23" s="296"/>
      <c r="Q23" s="297"/>
      <c r="R23" s="297"/>
      <c r="S23" s="342"/>
      <c r="T23" s="341"/>
    </row>
    <row r="24" spans="1:20" s="116" customFormat="1" ht="15">
      <c r="A24" s="332" t="s">
        <v>261</v>
      </c>
      <c r="B24" s="286" t="s">
        <v>212</v>
      </c>
      <c r="C24" s="118" t="s">
        <v>213</v>
      </c>
      <c r="D24" s="299">
        <f t="shared" si="0"/>
        <v>1899920</v>
      </c>
      <c r="E24" s="291"/>
      <c r="F24" s="292"/>
      <c r="G24" s="292">
        <v>1899920</v>
      </c>
      <c r="H24" s="294"/>
      <c r="I24" s="292"/>
      <c r="J24" s="293">
        <f aca="true" t="shared" si="1" ref="J24:J41">SUM(E24:I24)</f>
        <v>1899920</v>
      </c>
      <c r="K24" s="294"/>
      <c r="L24" s="294"/>
      <c r="M24" s="294"/>
      <c r="N24" s="295"/>
      <c r="O24" s="295"/>
      <c r="P24" s="296"/>
      <c r="Q24" s="297"/>
      <c r="R24" s="297"/>
      <c r="S24" s="342"/>
      <c r="T24" s="341"/>
    </row>
    <row r="25" spans="1:20" s="116" customFormat="1" ht="15">
      <c r="A25" s="332" t="s">
        <v>263</v>
      </c>
      <c r="B25" s="286" t="s">
        <v>214</v>
      </c>
      <c r="C25" s="118" t="s">
        <v>215</v>
      </c>
      <c r="D25" s="299">
        <f t="shared" si="0"/>
        <v>635000</v>
      </c>
      <c r="E25" s="291"/>
      <c r="F25" s="292"/>
      <c r="G25" s="292">
        <v>635000</v>
      </c>
      <c r="H25" s="294"/>
      <c r="I25" s="292"/>
      <c r="J25" s="293">
        <f t="shared" si="1"/>
        <v>635000</v>
      </c>
      <c r="K25" s="294"/>
      <c r="L25" s="294"/>
      <c r="M25" s="294"/>
      <c r="N25" s="295"/>
      <c r="O25" s="295"/>
      <c r="P25" s="296"/>
      <c r="Q25" s="297"/>
      <c r="R25" s="297"/>
      <c r="S25" s="342"/>
      <c r="T25" s="341"/>
    </row>
    <row r="26" spans="1:20" s="116" customFormat="1" ht="30">
      <c r="A26" s="332" t="s">
        <v>268</v>
      </c>
      <c r="B26" s="286" t="s">
        <v>216</v>
      </c>
      <c r="C26" s="118" t="s">
        <v>217</v>
      </c>
      <c r="D26" s="299">
        <f t="shared" si="0"/>
        <v>1953606</v>
      </c>
      <c r="E26" s="291"/>
      <c r="F26" s="292"/>
      <c r="G26" s="292">
        <v>1953606</v>
      </c>
      <c r="H26" s="294"/>
      <c r="I26" s="292"/>
      <c r="J26" s="293">
        <f t="shared" si="1"/>
        <v>1953606</v>
      </c>
      <c r="K26" s="294"/>
      <c r="L26" s="294"/>
      <c r="M26" s="294"/>
      <c r="N26" s="295">
        <f aca="true" t="shared" si="2" ref="N26:N41">SUM(K26:M26)</f>
        <v>0</v>
      </c>
      <c r="O26" s="295"/>
      <c r="P26" s="296"/>
      <c r="Q26" s="297"/>
      <c r="R26" s="297"/>
      <c r="S26" s="342"/>
      <c r="T26" s="341"/>
    </row>
    <row r="27" spans="1:20" s="116" customFormat="1" ht="15">
      <c r="A27" s="332" t="s">
        <v>270</v>
      </c>
      <c r="B27" s="286" t="s">
        <v>218</v>
      </c>
      <c r="C27" s="118" t="s">
        <v>34</v>
      </c>
      <c r="D27" s="299">
        <f t="shared" si="0"/>
        <v>9744490</v>
      </c>
      <c r="E27" s="291"/>
      <c r="F27" s="292"/>
      <c r="G27" s="292">
        <f>9744490-4825255</f>
        <v>4919235</v>
      </c>
      <c r="H27" s="294"/>
      <c r="I27" s="292">
        <v>4825255</v>
      </c>
      <c r="J27" s="293">
        <f t="shared" si="1"/>
        <v>9744490</v>
      </c>
      <c r="K27" s="294"/>
      <c r="L27" s="294"/>
      <c r="M27" s="294"/>
      <c r="N27" s="295">
        <f t="shared" si="2"/>
        <v>0</v>
      </c>
      <c r="O27" s="295"/>
      <c r="P27" s="296"/>
      <c r="Q27" s="297"/>
      <c r="R27" s="297"/>
      <c r="S27" s="342"/>
      <c r="T27" s="341"/>
    </row>
    <row r="28" spans="1:20" s="116" customFormat="1" ht="31.5" customHeight="1">
      <c r="A28" s="332" t="s">
        <v>272</v>
      </c>
      <c r="B28" s="286" t="s">
        <v>219</v>
      </c>
      <c r="C28" s="118" t="s">
        <v>220</v>
      </c>
      <c r="D28" s="299">
        <f t="shared" si="0"/>
        <v>675000</v>
      </c>
      <c r="E28" s="291"/>
      <c r="F28" s="292"/>
      <c r="G28" s="292"/>
      <c r="H28" s="292"/>
      <c r="I28" s="292">
        <v>675000</v>
      </c>
      <c r="J28" s="293">
        <f t="shared" si="1"/>
        <v>675000</v>
      </c>
      <c r="K28" s="294"/>
      <c r="L28" s="294"/>
      <c r="M28" s="294"/>
      <c r="N28" s="295">
        <f t="shared" si="2"/>
        <v>0</v>
      </c>
      <c r="O28" s="295"/>
      <c r="P28" s="296"/>
      <c r="Q28" s="297"/>
      <c r="R28" s="297"/>
      <c r="S28" s="342"/>
      <c r="T28" s="341"/>
    </row>
    <row r="29" spans="1:20" s="116" customFormat="1" ht="15">
      <c r="A29" s="332" t="s">
        <v>279</v>
      </c>
      <c r="B29" s="286" t="s">
        <v>221</v>
      </c>
      <c r="C29" s="118" t="s">
        <v>37</v>
      </c>
      <c r="D29" s="299">
        <f t="shared" si="0"/>
        <v>922013</v>
      </c>
      <c r="E29" s="291">
        <f>537200+900</f>
        <v>538100</v>
      </c>
      <c r="F29" s="292">
        <v>121404</v>
      </c>
      <c r="G29" s="292">
        <v>82550</v>
      </c>
      <c r="H29" s="292"/>
      <c r="I29" s="292"/>
      <c r="J29" s="293">
        <f t="shared" si="1"/>
        <v>742054</v>
      </c>
      <c r="K29" s="294">
        <v>179959</v>
      </c>
      <c r="L29" s="294"/>
      <c r="M29" s="294"/>
      <c r="N29" s="295">
        <f t="shared" si="2"/>
        <v>179959</v>
      </c>
      <c r="O29" s="295"/>
      <c r="P29" s="296"/>
      <c r="Q29" s="297"/>
      <c r="R29" s="297"/>
      <c r="S29" s="342">
        <v>0.2</v>
      </c>
      <c r="T29" s="341">
        <v>0.2</v>
      </c>
    </row>
    <row r="30" spans="1:20" s="116" customFormat="1" ht="30">
      <c r="A30" s="332" t="s">
        <v>282</v>
      </c>
      <c r="B30" s="286" t="s">
        <v>452</v>
      </c>
      <c r="C30" s="118" t="s">
        <v>453</v>
      </c>
      <c r="D30" s="299">
        <f t="shared" si="0"/>
        <v>2908584</v>
      </c>
      <c r="E30" s="291">
        <f>1981200+4100+18725+4850</f>
        <v>2008875</v>
      </c>
      <c r="F30" s="292">
        <f>449808+4119+902</f>
        <v>454829</v>
      </c>
      <c r="G30" s="292">
        <v>444880</v>
      </c>
      <c r="H30" s="292"/>
      <c r="I30" s="292"/>
      <c r="J30" s="293">
        <f t="shared" si="1"/>
        <v>2908584</v>
      </c>
      <c r="K30" s="294"/>
      <c r="L30" s="294"/>
      <c r="M30" s="294"/>
      <c r="N30" s="295">
        <f t="shared" si="2"/>
        <v>0</v>
      </c>
      <c r="O30" s="295"/>
      <c r="P30" s="296"/>
      <c r="Q30" s="297"/>
      <c r="R30" s="297"/>
      <c r="S30" s="342">
        <f>0.75+0.3</f>
        <v>1.05</v>
      </c>
      <c r="T30" s="341">
        <v>1.05</v>
      </c>
    </row>
    <row r="31" spans="1:20" s="116" customFormat="1" ht="15">
      <c r="A31" s="332" t="s">
        <v>284</v>
      </c>
      <c r="B31" s="286" t="s">
        <v>454</v>
      </c>
      <c r="C31" s="118" t="s">
        <v>455</v>
      </c>
      <c r="D31" s="299">
        <f t="shared" si="0"/>
        <v>384710</v>
      </c>
      <c r="E31" s="291">
        <v>320000</v>
      </c>
      <c r="F31" s="292">
        <v>64710</v>
      </c>
      <c r="G31" s="292"/>
      <c r="H31" s="292"/>
      <c r="I31" s="292"/>
      <c r="J31" s="293">
        <f t="shared" si="1"/>
        <v>384710</v>
      </c>
      <c r="K31" s="294"/>
      <c r="L31" s="294"/>
      <c r="M31" s="294"/>
      <c r="N31" s="295">
        <f t="shared" si="2"/>
        <v>0</v>
      </c>
      <c r="O31" s="295"/>
      <c r="P31" s="296"/>
      <c r="Q31" s="297"/>
      <c r="R31" s="297"/>
      <c r="S31" s="342"/>
      <c r="T31" s="341"/>
    </row>
    <row r="32" spans="1:20" s="116" customFormat="1" ht="15">
      <c r="A32" s="332" t="s">
        <v>356</v>
      </c>
      <c r="B32" s="286" t="s">
        <v>222</v>
      </c>
      <c r="C32" s="118" t="s">
        <v>35</v>
      </c>
      <c r="D32" s="299">
        <f t="shared" si="0"/>
        <v>120000</v>
      </c>
      <c r="E32" s="291"/>
      <c r="F32" s="292"/>
      <c r="G32" s="292"/>
      <c r="H32" s="292"/>
      <c r="I32" s="292">
        <v>120000</v>
      </c>
      <c r="J32" s="293">
        <f t="shared" si="1"/>
        <v>120000</v>
      </c>
      <c r="K32" s="294"/>
      <c r="L32" s="294"/>
      <c r="M32" s="294"/>
      <c r="N32" s="295">
        <f t="shared" si="2"/>
        <v>0</v>
      </c>
      <c r="O32" s="295"/>
      <c r="P32" s="296"/>
      <c r="Q32" s="297"/>
      <c r="R32" s="297"/>
      <c r="S32" s="342"/>
      <c r="T32" s="341"/>
    </row>
    <row r="33" spans="1:20" s="116" customFormat="1" ht="15">
      <c r="A33" s="332" t="s">
        <v>358</v>
      </c>
      <c r="B33" s="286" t="s">
        <v>223</v>
      </c>
      <c r="C33" s="118" t="s">
        <v>224</v>
      </c>
      <c r="D33" s="299">
        <f t="shared" si="0"/>
        <v>50000</v>
      </c>
      <c r="E33" s="291"/>
      <c r="F33" s="292"/>
      <c r="G33" s="292"/>
      <c r="H33" s="292">
        <v>50000</v>
      </c>
      <c r="I33" s="292"/>
      <c r="J33" s="293">
        <f t="shared" si="1"/>
        <v>50000</v>
      </c>
      <c r="K33" s="294"/>
      <c r="L33" s="294"/>
      <c r="M33" s="294"/>
      <c r="N33" s="295">
        <f t="shared" si="2"/>
        <v>0</v>
      </c>
      <c r="O33" s="295"/>
      <c r="P33" s="296"/>
      <c r="Q33" s="297"/>
      <c r="R33" s="297"/>
      <c r="S33" s="342"/>
      <c r="T33" s="341"/>
    </row>
    <row r="34" spans="1:20" s="116" customFormat="1" ht="15">
      <c r="A34" s="332" t="s">
        <v>499</v>
      </c>
      <c r="B34" s="286" t="s">
        <v>305</v>
      </c>
      <c r="C34" s="118" t="s">
        <v>306</v>
      </c>
      <c r="D34" s="299">
        <f t="shared" si="0"/>
        <v>1044772</v>
      </c>
      <c r="E34" s="291">
        <f>367080+5130+8208</f>
        <v>380418</v>
      </c>
      <c r="F34" s="292">
        <v>89023</v>
      </c>
      <c r="G34" s="292">
        <v>575331</v>
      </c>
      <c r="H34" s="292"/>
      <c r="I34" s="292"/>
      <c r="J34" s="293">
        <f t="shared" si="1"/>
        <v>1044772</v>
      </c>
      <c r="K34" s="294"/>
      <c r="L34" s="294"/>
      <c r="M34" s="294"/>
      <c r="N34" s="295">
        <f t="shared" si="2"/>
        <v>0</v>
      </c>
      <c r="O34" s="295"/>
      <c r="P34" s="296"/>
      <c r="Q34" s="297"/>
      <c r="R34" s="297"/>
      <c r="S34" s="342"/>
      <c r="T34" s="341"/>
    </row>
    <row r="35" spans="1:20" s="116" customFormat="1" ht="15.75" customHeight="1">
      <c r="A35" s="332" t="s">
        <v>500</v>
      </c>
      <c r="B35" s="286" t="s">
        <v>307</v>
      </c>
      <c r="C35" s="118" t="s">
        <v>308</v>
      </c>
      <c r="D35" s="299">
        <f t="shared" si="0"/>
        <v>231683</v>
      </c>
      <c r="E35" s="291">
        <f>77280+1080+1728</f>
        <v>80088</v>
      </c>
      <c r="F35" s="292">
        <f>18742</f>
        <v>18742</v>
      </c>
      <c r="G35" s="292">
        <v>132853</v>
      </c>
      <c r="H35" s="292"/>
      <c r="I35" s="292"/>
      <c r="J35" s="293">
        <f t="shared" si="1"/>
        <v>231683</v>
      </c>
      <c r="K35" s="294"/>
      <c r="L35" s="294"/>
      <c r="M35" s="294"/>
      <c r="N35" s="295">
        <f t="shared" si="2"/>
        <v>0</v>
      </c>
      <c r="O35" s="295"/>
      <c r="P35" s="296"/>
      <c r="Q35" s="297"/>
      <c r="R35" s="297"/>
      <c r="S35" s="342"/>
      <c r="T35" s="341"/>
    </row>
    <row r="36" spans="1:20" s="116" customFormat="1" ht="15">
      <c r="A36" s="332" t="s">
        <v>501</v>
      </c>
      <c r="B36" s="286" t="s">
        <v>307</v>
      </c>
      <c r="C36" s="120" t="s">
        <v>456</v>
      </c>
      <c r="D36" s="299">
        <f t="shared" si="0"/>
        <v>141994</v>
      </c>
      <c r="E36" s="291">
        <f>38640+540+864</f>
        <v>40044</v>
      </c>
      <c r="F36" s="292">
        <f>9371</f>
        <v>9371</v>
      </c>
      <c r="G36" s="292">
        <v>92579</v>
      </c>
      <c r="H36" s="292"/>
      <c r="I36" s="292"/>
      <c r="J36" s="293">
        <f t="shared" si="1"/>
        <v>141994</v>
      </c>
      <c r="K36" s="294"/>
      <c r="L36" s="294"/>
      <c r="M36" s="294"/>
      <c r="N36" s="295">
        <f t="shared" si="2"/>
        <v>0</v>
      </c>
      <c r="O36" s="295"/>
      <c r="P36" s="296"/>
      <c r="Q36" s="297"/>
      <c r="R36" s="297"/>
      <c r="S36" s="342"/>
      <c r="T36" s="341"/>
    </row>
    <row r="37" spans="1:20" s="116" customFormat="1" ht="30">
      <c r="A37" s="332" t="s">
        <v>502</v>
      </c>
      <c r="B37" s="286">
        <v>104051</v>
      </c>
      <c r="C37" s="118" t="s">
        <v>364</v>
      </c>
      <c r="D37" s="299">
        <f t="shared" si="0"/>
        <v>46400</v>
      </c>
      <c r="E37" s="291"/>
      <c r="F37" s="292"/>
      <c r="G37" s="292"/>
      <c r="H37" s="292">
        <v>46400</v>
      </c>
      <c r="I37" s="292"/>
      <c r="J37" s="293">
        <f t="shared" si="1"/>
        <v>46400</v>
      </c>
      <c r="K37" s="294"/>
      <c r="L37" s="294"/>
      <c r="M37" s="294"/>
      <c r="N37" s="295">
        <f t="shared" si="2"/>
        <v>0</v>
      </c>
      <c r="O37" s="295"/>
      <c r="P37" s="296"/>
      <c r="Q37" s="297"/>
      <c r="R37" s="297"/>
      <c r="S37" s="342"/>
      <c r="T37" s="341"/>
    </row>
    <row r="38" spans="1:20" s="116" customFormat="1" ht="30">
      <c r="A38" s="332" t="s">
        <v>503</v>
      </c>
      <c r="B38" s="286">
        <v>106020</v>
      </c>
      <c r="C38" s="118" t="s">
        <v>225</v>
      </c>
      <c r="D38" s="299">
        <f t="shared" si="0"/>
        <v>0</v>
      </c>
      <c r="E38" s="291"/>
      <c r="F38" s="292"/>
      <c r="G38" s="292"/>
      <c r="H38" s="292">
        <f>300000-300000</f>
        <v>0</v>
      </c>
      <c r="I38" s="292"/>
      <c r="J38" s="293">
        <f t="shared" si="1"/>
        <v>0</v>
      </c>
      <c r="K38" s="294"/>
      <c r="L38" s="294"/>
      <c r="M38" s="294"/>
      <c r="N38" s="295">
        <f t="shared" si="2"/>
        <v>0</v>
      </c>
      <c r="O38" s="295"/>
      <c r="P38" s="296"/>
      <c r="Q38" s="297"/>
      <c r="R38" s="297"/>
      <c r="S38" s="342"/>
      <c r="T38" s="341"/>
    </row>
    <row r="39" spans="1:20" s="116" customFormat="1" ht="15">
      <c r="A39" s="332" t="s">
        <v>504</v>
      </c>
      <c r="B39" s="286" t="s">
        <v>226</v>
      </c>
      <c r="C39" s="120" t="s">
        <v>362</v>
      </c>
      <c r="D39" s="299">
        <f t="shared" si="0"/>
        <v>507941</v>
      </c>
      <c r="E39" s="291">
        <f>161000+2250+3600</f>
        <v>166850</v>
      </c>
      <c r="F39" s="292">
        <v>39045</v>
      </c>
      <c r="G39" s="292">
        <v>302046</v>
      </c>
      <c r="H39" s="292"/>
      <c r="I39" s="292"/>
      <c r="J39" s="293">
        <f t="shared" si="1"/>
        <v>507941</v>
      </c>
      <c r="K39" s="294"/>
      <c r="L39" s="294"/>
      <c r="M39" s="294"/>
      <c r="N39" s="295">
        <f t="shared" si="2"/>
        <v>0</v>
      </c>
      <c r="O39" s="295"/>
      <c r="P39" s="296"/>
      <c r="Q39" s="297"/>
      <c r="R39" s="297"/>
      <c r="S39" s="342"/>
      <c r="T39" s="341"/>
    </row>
    <row r="40" spans="1:20" s="116" customFormat="1" ht="15">
      <c r="A40" s="332" t="s">
        <v>505</v>
      </c>
      <c r="B40" s="286">
        <v>107052</v>
      </c>
      <c r="C40" s="121" t="s">
        <v>227</v>
      </c>
      <c r="D40" s="299">
        <f t="shared" si="0"/>
        <v>662230</v>
      </c>
      <c r="E40" s="291"/>
      <c r="F40" s="292"/>
      <c r="G40" s="292">
        <f>662230-600000</f>
        <v>62230</v>
      </c>
      <c r="H40" s="292"/>
      <c r="I40" s="292">
        <v>600000</v>
      </c>
      <c r="J40" s="293">
        <f t="shared" si="1"/>
        <v>662230</v>
      </c>
      <c r="K40" s="294"/>
      <c r="L40" s="294"/>
      <c r="M40" s="294"/>
      <c r="N40" s="295">
        <f t="shared" si="2"/>
        <v>0</v>
      </c>
      <c r="O40" s="295"/>
      <c r="P40" s="296"/>
      <c r="Q40" s="297"/>
      <c r="R40" s="297"/>
      <c r="S40" s="342"/>
      <c r="T40" s="341"/>
    </row>
    <row r="41" spans="1:20" s="116" customFormat="1" ht="27.75" customHeight="1" thickBot="1">
      <c r="A41" s="332" t="s">
        <v>545</v>
      </c>
      <c r="B41" s="286">
        <v>107060</v>
      </c>
      <c r="C41" s="118" t="s">
        <v>228</v>
      </c>
      <c r="D41" s="299">
        <f t="shared" si="0"/>
        <v>3015000</v>
      </c>
      <c r="E41" s="291"/>
      <c r="F41" s="292"/>
      <c r="G41" s="292"/>
      <c r="H41" s="292">
        <f>2715000+300000</f>
        <v>3015000</v>
      </c>
      <c r="I41" s="292"/>
      <c r="J41" s="293">
        <f t="shared" si="1"/>
        <v>3015000</v>
      </c>
      <c r="K41" s="294"/>
      <c r="L41" s="294"/>
      <c r="M41" s="294"/>
      <c r="N41" s="295">
        <f t="shared" si="2"/>
        <v>0</v>
      </c>
      <c r="O41" s="295"/>
      <c r="P41" s="296"/>
      <c r="Q41" s="297"/>
      <c r="R41" s="297"/>
      <c r="S41" s="338"/>
      <c r="T41" s="341"/>
    </row>
    <row r="42" spans="1:20" ht="15" thickBot="1">
      <c r="A42" s="333" t="s">
        <v>583</v>
      </c>
      <c r="B42" s="331"/>
      <c r="C42" s="165" t="s">
        <v>573</v>
      </c>
      <c r="D42" s="298">
        <f aca="true" t="shared" si="3" ref="D42:O42">SUM(D14:D41)</f>
        <v>102674110</v>
      </c>
      <c r="E42" s="298">
        <f t="shared" si="3"/>
        <v>16559592</v>
      </c>
      <c r="F42" s="298">
        <f t="shared" si="3"/>
        <v>3807542</v>
      </c>
      <c r="G42" s="298">
        <f t="shared" si="3"/>
        <v>21558315</v>
      </c>
      <c r="H42" s="298">
        <f t="shared" si="3"/>
        <v>3111400</v>
      </c>
      <c r="I42" s="298">
        <f t="shared" si="3"/>
        <v>44914493</v>
      </c>
      <c r="J42" s="298">
        <f t="shared" si="3"/>
        <v>89951342</v>
      </c>
      <c r="K42" s="298">
        <f t="shared" si="3"/>
        <v>281559</v>
      </c>
      <c r="L42" s="298">
        <f t="shared" si="3"/>
        <v>10120000</v>
      </c>
      <c r="M42" s="298">
        <f t="shared" si="3"/>
        <v>1200000</v>
      </c>
      <c r="N42" s="298">
        <f t="shared" si="3"/>
        <v>11601559</v>
      </c>
      <c r="O42" s="298">
        <f t="shared" si="3"/>
        <v>1121209</v>
      </c>
      <c r="P42" s="298"/>
      <c r="Q42" s="298"/>
      <c r="R42" s="298">
        <f>SUM(R14:R41)</f>
        <v>1121209</v>
      </c>
      <c r="S42" s="343">
        <f>SUM(S14:S41)</f>
        <v>1.75</v>
      </c>
      <c r="T42" s="343">
        <f>SUM(T14:T41)</f>
        <v>1.75</v>
      </c>
    </row>
    <row r="43" spans="1:20" ht="15">
      <c r="A43" s="333" t="s">
        <v>582</v>
      </c>
      <c r="B43" s="330" t="s">
        <v>305</v>
      </c>
      <c r="C43" s="118" t="s">
        <v>306</v>
      </c>
      <c r="D43" s="299">
        <f>J43+N43+P43+Q43</f>
        <v>5593484</v>
      </c>
      <c r="E43" s="291">
        <f>1918740+103455</f>
        <v>2022195</v>
      </c>
      <c r="F43" s="292">
        <v>427983</v>
      </c>
      <c r="G43" s="292">
        <v>3091490</v>
      </c>
      <c r="H43" s="292"/>
      <c r="I43" s="292"/>
      <c r="J43" s="293">
        <f>SUM(E43:I43)</f>
        <v>5541668</v>
      </c>
      <c r="K43" s="294">
        <v>51816</v>
      </c>
      <c r="L43" s="294"/>
      <c r="M43" s="294"/>
      <c r="N43" s="295">
        <f>SUM(K43:M43)</f>
        <v>51816</v>
      </c>
      <c r="O43" s="295"/>
      <c r="P43" s="296"/>
      <c r="Q43" s="297"/>
      <c r="R43" s="297"/>
      <c r="S43" s="342">
        <v>2</v>
      </c>
      <c r="T43" s="341">
        <v>2</v>
      </c>
    </row>
    <row r="44" spans="1:20" ht="30">
      <c r="A44" s="333" t="s">
        <v>581</v>
      </c>
      <c r="B44" s="286" t="s">
        <v>307</v>
      </c>
      <c r="C44" s="118" t="s">
        <v>308</v>
      </c>
      <c r="D44" s="299">
        <f>J44+N44+P44+Q44</f>
        <v>1111781</v>
      </c>
      <c r="E44" s="291">
        <f>370920+21780</f>
        <v>392700</v>
      </c>
      <c r="F44" s="292">
        <v>82632</v>
      </c>
      <c r="G44" s="292">
        <v>627305</v>
      </c>
      <c r="H44" s="292"/>
      <c r="I44" s="292"/>
      <c r="J44" s="293">
        <f>SUM(E44:I44)</f>
        <v>1102637</v>
      </c>
      <c r="K44" s="294">
        <v>9144</v>
      </c>
      <c r="L44" s="294"/>
      <c r="M44" s="294"/>
      <c r="N44" s="295">
        <f>SUM(K44:M44)</f>
        <v>9144</v>
      </c>
      <c r="O44" s="295"/>
      <c r="P44" s="296"/>
      <c r="Q44" s="297"/>
      <c r="R44" s="297"/>
      <c r="S44" s="342"/>
      <c r="T44" s="341"/>
    </row>
    <row r="45" spans="1:20" ht="15">
      <c r="A45" s="333" t="s">
        <v>580</v>
      </c>
      <c r="B45" s="286" t="s">
        <v>363</v>
      </c>
      <c r="C45" s="120" t="s">
        <v>456</v>
      </c>
      <c r="D45" s="299">
        <f>J45+N45+P45+Q45</f>
        <v>1570406</v>
      </c>
      <c r="E45" s="291">
        <f>499200+10890</f>
        <v>510090</v>
      </c>
      <c r="F45" s="292">
        <v>112278</v>
      </c>
      <c r="G45" s="292">
        <v>934830</v>
      </c>
      <c r="H45" s="292"/>
      <c r="I45" s="292"/>
      <c r="J45" s="293">
        <f>SUM(E45:I45)</f>
        <v>1557198</v>
      </c>
      <c r="K45" s="294">
        <v>13208</v>
      </c>
      <c r="L45" s="294"/>
      <c r="M45" s="294"/>
      <c r="N45" s="295">
        <f>SUM(K45:M45)</f>
        <v>13208</v>
      </c>
      <c r="O45" s="295"/>
      <c r="P45" s="296"/>
      <c r="Q45" s="297"/>
      <c r="R45" s="297"/>
      <c r="S45" s="342"/>
      <c r="T45" s="341"/>
    </row>
    <row r="46" spans="1:20" ht="15.75" thickBot="1">
      <c r="A46" s="333" t="s">
        <v>579</v>
      </c>
      <c r="B46" s="287" t="s">
        <v>226</v>
      </c>
      <c r="C46" s="379" t="s">
        <v>362</v>
      </c>
      <c r="D46" s="408">
        <f>J46+N46+P46+Q46</f>
        <v>3304237</v>
      </c>
      <c r="E46" s="407">
        <f>1049140+45375</f>
        <v>1094515</v>
      </c>
      <c r="F46" s="406">
        <v>234665</v>
      </c>
      <c r="G46" s="406">
        <v>1948387</v>
      </c>
      <c r="H46" s="406"/>
      <c r="I46" s="406"/>
      <c r="J46" s="405">
        <f>SUM(E46:I46)</f>
        <v>3277567</v>
      </c>
      <c r="K46" s="404">
        <v>26670</v>
      </c>
      <c r="L46" s="404"/>
      <c r="M46" s="404"/>
      <c r="N46" s="403">
        <f>SUM(K46:M46)</f>
        <v>26670</v>
      </c>
      <c r="O46" s="403"/>
      <c r="P46" s="402"/>
      <c r="Q46" s="401"/>
      <c r="R46" s="401"/>
      <c r="S46" s="340">
        <v>1</v>
      </c>
      <c r="T46" s="400">
        <v>1</v>
      </c>
    </row>
    <row r="47" spans="1:20" ht="16.5" customHeight="1" thickBot="1">
      <c r="A47" s="333" t="s">
        <v>578</v>
      </c>
      <c r="B47" s="399"/>
      <c r="C47" s="398" t="s">
        <v>572</v>
      </c>
      <c r="D47" s="397">
        <f>SUM(D43:D46)</f>
        <v>11579908</v>
      </c>
      <c r="E47" s="397">
        <f>SUM(E43:E46)</f>
        <v>4019500</v>
      </c>
      <c r="F47" s="397">
        <f>SUM(F43:F46)</f>
        <v>857558</v>
      </c>
      <c r="G47" s="397">
        <f>SUM(G43:G46)</f>
        <v>6602012</v>
      </c>
      <c r="H47" s="397"/>
      <c r="I47" s="397"/>
      <c r="J47" s="397">
        <f>SUM(J43:J46)</f>
        <v>11479070</v>
      </c>
      <c r="K47" s="397">
        <f>SUM(K43:K46)</f>
        <v>100838</v>
      </c>
      <c r="L47" s="397"/>
      <c r="M47" s="397"/>
      <c r="N47" s="397">
        <f>SUM(N43:N46)</f>
        <v>100838</v>
      </c>
      <c r="O47" s="397"/>
      <c r="P47" s="397"/>
      <c r="Q47" s="397"/>
      <c r="R47" s="397">
        <f>SUM(R43:R46)</f>
        <v>0</v>
      </c>
      <c r="S47" s="396">
        <f>SUM(S43:S46)</f>
        <v>3</v>
      </c>
      <c r="T47" s="396">
        <f>SUM(T43:T46)</f>
        <v>3</v>
      </c>
    </row>
    <row r="48" spans="1:20" ht="15" thickBot="1">
      <c r="A48" s="333" t="s">
        <v>577</v>
      </c>
      <c r="B48" s="399"/>
      <c r="C48" s="398" t="s">
        <v>571</v>
      </c>
      <c r="D48" s="397">
        <f aca="true" t="shared" si="4" ref="D48:O48">D42+D47</f>
        <v>114254018</v>
      </c>
      <c r="E48" s="397">
        <f t="shared" si="4"/>
        <v>20579092</v>
      </c>
      <c r="F48" s="397">
        <f t="shared" si="4"/>
        <v>4665100</v>
      </c>
      <c r="G48" s="397">
        <f t="shared" si="4"/>
        <v>28160327</v>
      </c>
      <c r="H48" s="397">
        <f t="shared" si="4"/>
        <v>3111400</v>
      </c>
      <c r="I48" s="397">
        <f t="shared" si="4"/>
        <v>44914493</v>
      </c>
      <c r="J48" s="397">
        <f t="shared" si="4"/>
        <v>101430412</v>
      </c>
      <c r="K48" s="397">
        <f t="shared" si="4"/>
        <v>382397</v>
      </c>
      <c r="L48" s="397">
        <f t="shared" si="4"/>
        <v>10120000</v>
      </c>
      <c r="M48" s="397">
        <f t="shared" si="4"/>
        <v>1200000</v>
      </c>
      <c r="N48" s="397">
        <f t="shared" si="4"/>
        <v>11702397</v>
      </c>
      <c r="O48" s="397">
        <f t="shared" si="4"/>
        <v>1121209</v>
      </c>
      <c r="P48" s="397"/>
      <c r="Q48" s="397"/>
      <c r="R48" s="397">
        <f>R42+R47</f>
        <v>1121209</v>
      </c>
      <c r="S48" s="396">
        <f>S42+S47</f>
        <v>4.75</v>
      </c>
      <c r="T48" s="396">
        <f>T42+T47</f>
        <v>4.75</v>
      </c>
    </row>
    <row r="49" ht="12.75">
      <c r="J49" s="395"/>
    </row>
  </sheetData>
  <sheetProtection/>
  <mergeCells count="33">
    <mergeCell ref="H4:K4"/>
    <mergeCell ref="C9:C13"/>
    <mergeCell ref="F11:F13"/>
    <mergeCell ref="B9:B13"/>
    <mergeCell ref="A9:A13"/>
    <mergeCell ref="I11:I13"/>
    <mergeCell ref="D9:D13"/>
    <mergeCell ref="O10:R10"/>
    <mergeCell ref="N11:N13"/>
    <mergeCell ref="O11:O13"/>
    <mergeCell ref="E10:J10"/>
    <mergeCell ref="S10:T10"/>
    <mergeCell ref="E11:E13"/>
    <mergeCell ref="S8:T8"/>
    <mergeCell ref="B6:T6"/>
    <mergeCell ref="S9:T9"/>
    <mergeCell ref="K11:K13"/>
    <mergeCell ref="E9:R9"/>
    <mergeCell ref="K10:N10"/>
    <mergeCell ref="S12:T13"/>
    <mergeCell ref="G11:G13"/>
    <mergeCell ref="L11:L13"/>
    <mergeCell ref="M11:M13"/>
    <mergeCell ref="B1:T1"/>
    <mergeCell ref="H11:H13"/>
    <mergeCell ref="B7:T7"/>
    <mergeCell ref="Q11:Q13"/>
    <mergeCell ref="J11:J13"/>
    <mergeCell ref="P11:P13"/>
    <mergeCell ref="B2:Q2"/>
    <mergeCell ref="B3:T3"/>
    <mergeCell ref="B5:T5"/>
    <mergeCell ref="R11:R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49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162" customWidth="1"/>
    <col min="2" max="2" width="9.125" style="162" customWidth="1"/>
    <col min="3" max="3" width="63.125" style="162" customWidth="1"/>
    <col min="4" max="4" width="24.00390625" style="162" customWidth="1"/>
    <col min="5" max="7" width="26.25390625" style="162" customWidth="1"/>
    <col min="8" max="16384" width="9.125" style="162" customWidth="1"/>
  </cols>
  <sheetData>
    <row r="1" spans="1:7" ht="15.75">
      <c r="A1" s="541"/>
      <c r="B1" s="514"/>
      <c r="C1" s="514"/>
      <c r="D1" s="514"/>
      <c r="E1" s="514"/>
      <c r="F1" s="514"/>
      <c r="G1" s="514"/>
    </row>
    <row r="2" spans="2:7" s="158" customFormat="1" ht="15.75">
      <c r="B2" s="541"/>
      <c r="C2" s="541"/>
      <c r="D2" s="541"/>
      <c r="E2" s="541"/>
      <c r="F2" s="541"/>
      <c r="G2" s="541"/>
    </row>
    <row r="3" spans="2:7" s="72" customFormat="1" ht="15" customHeight="1">
      <c r="B3" s="542" t="s">
        <v>586</v>
      </c>
      <c r="C3" s="542"/>
      <c r="D3" s="542"/>
      <c r="E3" s="542"/>
      <c r="F3" s="542"/>
      <c r="G3" s="542"/>
    </row>
    <row r="4" spans="4:7" s="160" customFormat="1" ht="15" customHeight="1">
      <c r="D4" s="539" t="s">
        <v>483</v>
      </c>
      <c r="E4" s="607"/>
      <c r="F4" s="434"/>
      <c r="G4" s="434"/>
    </row>
    <row r="5" spans="3:7" s="125" customFormat="1" ht="15" customHeight="1">
      <c r="C5" s="539" t="s">
        <v>41</v>
      </c>
      <c r="D5" s="539"/>
      <c r="E5" s="539"/>
      <c r="F5" s="539"/>
      <c r="G5" s="539"/>
    </row>
    <row r="6" spans="3:7" s="125" customFormat="1" ht="15.75">
      <c r="C6" s="540" t="s">
        <v>314</v>
      </c>
      <c r="D6" s="540"/>
      <c r="E6" s="540"/>
      <c r="F6" s="540"/>
      <c r="G6" s="540"/>
    </row>
    <row r="7" spans="3:7" s="125" customFormat="1" ht="15" customHeight="1">
      <c r="C7" s="539" t="s">
        <v>484</v>
      </c>
      <c r="D7" s="539"/>
      <c r="E7" s="539"/>
      <c r="F7" s="539"/>
      <c r="G7" s="539"/>
    </row>
    <row r="8" spans="3:7" s="158" customFormat="1" ht="12" customHeight="1" thickBot="1">
      <c r="C8" s="159"/>
      <c r="D8" s="161"/>
      <c r="E8" s="393"/>
      <c r="F8" s="393"/>
      <c r="G8" s="392"/>
    </row>
    <row r="9" spans="1:7" s="158" customFormat="1" ht="19.5" customHeight="1" thickBot="1">
      <c r="A9" s="608" t="s">
        <v>506</v>
      </c>
      <c r="B9" s="610" t="s">
        <v>184</v>
      </c>
      <c r="C9" s="550" t="s">
        <v>185</v>
      </c>
      <c r="D9" s="553" t="s">
        <v>315</v>
      </c>
      <c r="E9" s="556" t="s">
        <v>298</v>
      </c>
      <c r="F9" s="556"/>
      <c r="G9" s="557"/>
    </row>
    <row r="10" spans="1:7" s="158" customFormat="1" ht="33" customHeight="1" thickBot="1">
      <c r="A10" s="609"/>
      <c r="B10" s="611"/>
      <c r="C10" s="551"/>
      <c r="D10" s="554"/>
      <c r="E10" s="389" t="s">
        <v>299</v>
      </c>
      <c r="F10" s="391" t="s">
        <v>300</v>
      </c>
      <c r="G10" s="390" t="s">
        <v>301</v>
      </c>
    </row>
    <row r="11" spans="1:7" s="158" customFormat="1" ht="22.5" customHeight="1">
      <c r="A11" s="609"/>
      <c r="B11" s="611"/>
      <c r="C11" s="551"/>
      <c r="D11" s="554"/>
      <c r="E11" s="558" t="s">
        <v>302</v>
      </c>
      <c r="F11" s="559"/>
      <c r="G11" s="560"/>
    </row>
    <row r="12" spans="1:7" ht="13.5" thickBot="1">
      <c r="A12" s="609"/>
      <c r="B12" s="611"/>
      <c r="C12" s="551"/>
      <c r="D12" s="554"/>
      <c r="E12" s="612"/>
      <c r="F12" s="613"/>
      <c r="G12" s="614"/>
    </row>
    <row r="13" spans="1:7" ht="30">
      <c r="A13" s="384" t="s">
        <v>44</v>
      </c>
      <c r="B13" s="383" t="s">
        <v>201</v>
      </c>
      <c r="C13" s="433" t="s">
        <v>202</v>
      </c>
      <c r="D13" s="432">
        <f aca="true" t="shared" si="0" ref="D13:D40">SUM(E13:G13)</f>
        <v>58739344</v>
      </c>
      <c r="E13" s="431">
        <f>95000+1221000+9400+4687100+1640303+703065+246045+900000+294270+2234787+3583240+101600+444000+97680+143179+64122+89764+38415438</f>
        <v>54969993</v>
      </c>
      <c r="F13" s="430">
        <f>30000+1874800+450000+4956+182080+5310+101156+278800-1+2250+840000</f>
        <v>3769351</v>
      </c>
      <c r="G13" s="429"/>
    </row>
    <row r="14" spans="1:7" ht="15">
      <c r="A14" s="290" t="s">
        <v>27</v>
      </c>
      <c r="B14" s="310" t="s">
        <v>203</v>
      </c>
      <c r="C14" s="311" t="s">
        <v>36</v>
      </c>
      <c r="D14" s="428">
        <f t="shared" si="0"/>
        <v>64340</v>
      </c>
      <c r="E14" s="427">
        <v>64340</v>
      </c>
      <c r="F14" s="388"/>
      <c r="G14" s="387"/>
    </row>
    <row r="15" spans="1:7" ht="15">
      <c r="A15" s="289" t="s">
        <v>45</v>
      </c>
      <c r="B15" s="286" t="s">
        <v>204</v>
      </c>
      <c r="C15" s="118" t="s">
        <v>205</v>
      </c>
      <c r="D15" s="413">
        <f t="shared" si="0"/>
        <v>364790</v>
      </c>
      <c r="E15" s="426">
        <f>244790+120000</f>
        <v>364790</v>
      </c>
      <c r="F15" s="382"/>
      <c r="G15" s="381"/>
    </row>
    <row r="16" spans="1:7" ht="15">
      <c r="A16" s="289" t="s">
        <v>105</v>
      </c>
      <c r="B16" s="286" t="s">
        <v>303</v>
      </c>
      <c r="C16" s="118" t="s">
        <v>304</v>
      </c>
      <c r="D16" s="413">
        <f t="shared" si="0"/>
        <v>1121209</v>
      </c>
      <c r="E16" s="426">
        <v>1121209</v>
      </c>
      <c r="F16" s="382"/>
      <c r="G16" s="381"/>
    </row>
    <row r="17" spans="1:7" ht="15">
      <c r="A17" s="289" t="s">
        <v>106</v>
      </c>
      <c r="B17" s="286" t="s">
        <v>575</v>
      </c>
      <c r="C17" s="118" t="s">
        <v>574</v>
      </c>
      <c r="D17" s="413">
        <f t="shared" si="0"/>
        <v>722670</v>
      </c>
      <c r="E17" s="426">
        <v>722670</v>
      </c>
      <c r="F17" s="382"/>
      <c r="G17" s="381"/>
    </row>
    <row r="18" spans="1:7" ht="15">
      <c r="A18" s="289" t="s">
        <v>106</v>
      </c>
      <c r="B18" s="119" t="s">
        <v>495</v>
      </c>
      <c r="C18" s="118" t="s">
        <v>496</v>
      </c>
      <c r="D18" s="413">
        <f t="shared" si="0"/>
        <v>10000000</v>
      </c>
      <c r="E18" s="426">
        <v>10000000</v>
      </c>
      <c r="F18" s="382"/>
      <c r="G18" s="381"/>
    </row>
    <row r="19" spans="1:7" ht="27" customHeight="1">
      <c r="A19" s="289" t="s">
        <v>112</v>
      </c>
      <c r="B19" s="286" t="s">
        <v>206</v>
      </c>
      <c r="C19" s="118" t="s">
        <v>207</v>
      </c>
      <c r="D19" s="413">
        <f t="shared" si="0"/>
        <v>26670</v>
      </c>
      <c r="E19" s="426">
        <v>26670</v>
      </c>
      <c r="F19" s="382"/>
      <c r="G19" s="381"/>
    </row>
    <row r="20" spans="1:7" ht="15">
      <c r="A20" s="289" t="s">
        <v>248</v>
      </c>
      <c r="B20" s="286" t="s">
        <v>457</v>
      </c>
      <c r="C20" s="118" t="s">
        <v>458</v>
      </c>
      <c r="D20" s="413">
        <f t="shared" si="0"/>
        <v>19050</v>
      </c>
      <c r="E20" s="316">
        <v>19050</v>
      </c>
      <c r="F20" s="124"/>
      <c r="G20" s="312"/>
    </row>
    <row r="21" spans="1:7" ht="15">
      <c r="A21" s="289" t="s">
        <v>250</v>
      </c>
      <c r="B21" s="286" t="s">
        <v>208</v>
      </c>
      <c r="C21" s="118" t="s">
        <v>209</v>
      </c>
      <c r="D21" s="413">
        <f t="shared" si="0"/>
        <v>6312694</v>
      </c>
      <c r="E21" s="426">
        <v>6312694</v>
      </c>
      <c r="F21" s="382"/>
      <c r="G21" s="381"/>
    </row>
    <row r="22" spans="1:7" ht="15">
      <c r="A22" s="289" t="s">
        <v>252</v>
      </c>
      <c r="B22" s="286" t="s">
        <v>210</v>
      </c>
      <c r="C22" s="118" t="s">
        <v>211</v>
      </c>
      <c r="D22" s="413">
        <f t="shared" si="0"/>
        <v>360000</v>
      </c>
      <c r="E22" s="426"/>
      <c r="F22" s="382">
        <f>1200000-840000</f>
        <v>360000</v>
      </c>
      <c r="G22" s="381"/>
    </row>
    <row r="23" spans="1:7" ht="15">
      <c r="A23" s="289" t="s">
        <v>259</v>
      </c>
      <c r="B23" s="286" t="s">
        <v>212</v>
      </c>
      <c r="C23" s="118" t="s">
        <v>213</v>
      </c>
      <c r="D23" s="413">
        <f t="shared" si="0"/>
        <v>1899920</v>
      </c>
      <c r="E23" s="426">
        <v>1899920</v>
      </c>
      <c r="F23" s="382"/>
      <c r="G23" s="381"/>
    </row>
    <row r="24" spans="1:7" ht="15">
      <c r="A24" s="289" t="s">
        <v>261</v>
      </c>
      <c r="B24" s="286" t="s">
        <v>214</v>
      </c>
      <c r="C24" s="118" t="s">
        <v>215</v>
      </c>
      <c r="D24" s="413">
        <f t="shared" si="0"/>
        <v>635000</v>
      </c>
      <c r="E24" s="426">
        <v>635000</v>
      </c>
      <c r="F24" s="382"/>
      <c r="G24" s="381"/>
    </row>
    <row r="25" spans="1:7" ht="15">
      <c r="A25" s="289" t="s">
        <v>263</v>
      </c>
      <c r="B25" s="286" t="s">
        <v>216</v>
      </c>
      <c r="C25" s="118" t="s">
        <v>217</v>
      </c>
      <c r="D25" s="413">
        <f t="shared" si="0"/>
        <v>1953606</v>
      </c>
      <c r="E25" s="426">
        <v>1953606</v>
      </c>
      <c r="F25" s="382"/>
      <c r="G25" s="381"/>
    </row>
    <row r="26" spans="1:7" ht="15">
      <c r="A26" s="289" t="s">
        <v>268</v>
      </c>
      <c r="B26" s="286" t="s">
        <v>218</v>
      </c>
      <c r="C26" s="118" t="s">
        <v>34</v>
      </c>
      <c r="D26" s="413">
        <f t="shared" si="0"/>
        <v>9744490</v>
      </c>
      <c r="E26" s="426">
        <v>9744490</v>
      </c>
      <c r="F26" s="382"/>
      <c r="G26" s="381"/>
    </row>
    <row r="27" spans="1:7" ht="15">
      <c r="A27" s="289" t="s">
        <v>270</v>
      </c>
      <c r="B27" s="286" t="s">
        <v>219</v>
      </c>
      <c r="C27" s="118" t="s">
        <v>220</v>
      </c>
      <c r="D27" s="413">
        <f t="shared" si="0"/>
        <v>675000</v>
      </c>
      <c r="E27" s="426">
        <v>675000</v>
      </c>
      <c r="F27" s="382"/>
      <c r="G27" s="381"/>
    </row>
    <row r="28" spans="1:7" ht="15">
      <c r="A28" s="289" t="s">
        <v>272</v>
      </c>
      <c r="B28" s="286" t="s">
        <v>221</v>
      </c>
      <c r="C28" s="118" t="s">
        <v>37</v>
      </c>
      <c r="D28" s="413">
        <f t="shared" si="0"/>
        <v>922013</v>
      </c>
      <c r="E28" s="426">
        <f>526400+117708+82550+179959</f>
        <v>906617</v>
      </c>
      <c r="F28" s="382">
        <f>10800+1784+1912+900</f>
        <v>15396</v>
      </c>
      <c r="G28" s="381"/>
    </row>
    <row r="29" spans="1:7" ht="15">
      <c r="A29" s="289" t="s">
        <v>279</v>
      </c>
      <c r="B29" s="286" t="s">
        <v>452</v>
      </c>
      <c r="C29" s="118" t="s">
        <v>459</v>
      </c>
      <c r="D29" s="413">
        <f t="shared" si="0"/>
        <v>2908584</v>
      </c>
      <c r="E29" s="426">
        <f>789600+1134900+430405+444880+27846</f>
        <v>2827631</v>
      </c>
      <c r="F29" s="382">
        <f>16200+40500+9367+10036+4850</f>
        <v>80953</v>
      </c>
      <c r="G29" s="381"/>
    </row>
    <row r="30" spans="1:7" ht="15">
      <c r="A30" s="289" t="s">
        <v>282</v>
      </c>
      <c r="B30" s="286" t="s">
        <v>460</v>
      </c>
      <c r="C30" s="118" t="s">
        <v>461</v>
      </c>
      <c r="D30" s="413">
        <f t="shared" si="0"/>
        <v>384710</v>
      </c>
      <c r="E30" s="426">
        <v>384710</v>
      </c>
      <c r="F30" s="382"/>
      <c r="G30" s="381"/>
    </row>
    <row r="31" spans="1:7" ht="15">
      <c r="A31" s="289" t="s">
        <v>284</v>
      </c>
      <c r="B31" s="286" t="s">
        <v>222</v>
      </c>
      <c r="C31" s="118" t="s">
        <v>35</v>
      </c>
      <c r="D31" s="413">
        <f t="shared" si="0"/>
        <v>120000</v>
      </c>
      <c r="E31" s="426"/>
      <c r="F31" s="382">
        <v>120000</v>
      </c>
      <c r="G31" s="381"/>
    </row>
    <row r="32" spans="1:7" ht="15">
      <c r="A32" s="289" t="s">
        <v>356</v>
      </c>
      <c r="B32" s="286" t="s">
        <v>223</v>
      </c>
      <c r="C32" s="118" t="s">
        <v>224</v>
      </c>
      <c r="D32" s="413">
        <f t="shared" si="0"/>
        <v>50000</v>
      </c>
      <c r="E32" s="426"/>
      <c r="F32" s="382">
        <v>50000</v>
      </c>
      <c r="G32" s="381"/>
    </row>
    <row r="33" spans="1:7" ht="15">
      <c r="A33" s="289" t="s">
        <v>358</v>
      </c>
      <c r="B33" s="286" t="s">
        <v>305</v>
      </c>
      <c r="C33" s="118" t="s">
        <v>306</v>
      </c>
      <c r="D33" s="413">
        <f t="shared" si="0"/>
        <v>1044772</v>
      </c>
      <c r="E33" s="426">
        <f>2230740+498158+3738298+51816-5561506+73928+8208</f>
        <v>1039642</v>
      </c>
      <c r="F33" s="382">
        <f>55080+9099+9749-73928+5130</f>
        <v>5130</v>
      </c>
      <c r="G33" s="381"/>
    </row>
    <row r="34" spans="1:7" ht="15">
      <c r="A34" s="289" t="s">
        <v>499</v>
      </c>
      <c r="B34" s="286" t="s">
        <v>307</v>
      </c>
      <c r="C34" s="118" t="s">
        <v>308</v>
      </c>
      <c r="D34" s="413">
        <f t="shared" si="0"/>
        <v>231683</v>
      </c>
      <c r="E34" s="426"/>
      <c r="F34" s="382">
        <f>1332680-1103805+1080+1728</f>
        <v>231683</v>
      </c>
      <c r="G34" s="381"/>
    </row>
    <row r="35" spans="1:7" ht="15">
      <c r="A35" s="289" t="s">
        <v>500</v>
      </c>
      <c r="B35" s="286" t="s">
        <v>307</v>
      </c>
      <c r="C35" s="118" t="s">
        <v>462</v>
      </c>
      <c r="D35" s="413">
        <f t="shared" si="0"/>
        <v>141994</v>
      </c>
      <c r="E35" s="426"/>
      <c r="F35" s="382">
        <f>1718831-1578241+540+864</f>
        <v>141994</v>
      </c>
      <c r="G35" s="381"/>
    </row>
    <row r="36" spans="1:7" ht="15">
      <c r="A36" s="289" t="s">
        <v>501</v>
      </c>
      <c r="B36" s="286">
        <v>104051</v>
      </c>
      <c r="C36" s="121" t="s">
        <v>364</v>
      </c>
      <c r="D36" s="413">
        <f t="shared" si="0"/>
        <v>46400</v>
      </c>
      <c r="E36" s="426"/>
      <c r="F36" s="382"/>
      <c r="G36" s="381">
        <v>46400</v>
      </c>
    </row>
    <row r="37" spans="1:7" ht="15">
      <c r="A37" s="289" t="s">
        <v>502</v>
      </c>
      <c r="B37" s="286">
        <v>106020</v>
      </c>
      <c r="C37" s="118" t="s">
        <v>225</v>
      </c>
      <c r="D37" s="413">
        <f t="shared" si="0"/>
        <v>0</v>
      </c>
      <c r="E37" s="426">
        <f>300000-300000</f>
        <v>0</v>
      </c>
      <c r="F37" s="382"/>
      <c r="G37" s="381"/>
    </row>
    <row r="38" spans="1:14" ht="15">
      <c r="A38" s="289" t="s">
        <v>503</v>
      </c>
      <c r="B38" s="286" t="s">
        <v>226</v>
      </c>
      <c r="C38" s="314" t="s">
        <v>362</v>
      </c>
      <c r="D38" s="413">
        <f t="shared" si="0"/>
        <v>507941</v>
      </c>
      <c r="E38" s="426">
        <f>1180980+263731+2289606+26670-3258896+3600</f>
        <v>505691</v>
      </c>
      <c r="F38" s="382">
        <v>2250</v>
      </c>
      <c r="G38" s="381"/>
      <c r="H38" s="272"/>
      <c r="I38" s="272"/>
      <c r="J38" s="272"/>
      <c r="K38" s="272"/>
      <c r="L38" s="272"/>
      <c r="M38" s="272"/>
      <c r="N38" s="272"/>
    </row>
    <row r="39" spans="1:14" ht="15">
      <c r="A39" s="289" t="s">
        <v>504</v>
      </c>
      <c r="B39" s="286">
        <v>107052</v>
      </c>
      <c r="C39" s="121" t="s">
        <v>227</v>
      </c>
      <c r="D39" s="413">
        <f t="shared" si="0"/>
        <v>662230</v>
      </c>
      <c r="E39" s="317">
        <v>662230</v>
      </c>
      <c r="F39" s="124"/>
      <c r="G39" s="312"/>
      <c r="H39" s="273"/>
      <c r="I39" s="273"/>
      <c r="J39" s="274"/>
      <c r="K39" s="275"/>
      <c r="L39" s="275"/>
      <c r="M39" s="275"/>
      <c r="N39" s="274"/>
    </row>
    <row r="40" spans="1:7" ht="15.75" thickBot="1">
      <c r="A40" s="289" t="s">
        <v>505</v>
      </c>
      <c r="B40" s="286">
        <v>107060</v>
      </c>
      <c r="C40" s="118" t="s">
        <v>228</v>
      </c>
      <c r="D40" s="413">
        <f t="shared" si="0"/>
        <v>3015000</v>
      </c>
      <c r="E40" s="426">
        <f>2715000+300000</f>
        <v>3015000</v>
      </c>
      <c r="F40" s="382"/>
      <c r="G40" s="381"/>
    </row>
    <row r="41" spans="1:7" ht="15" customHeight="1" thickBot="1">
      <c r="A41" s="313" t="s">
        <v>545</v>
      </c>
      <c r="B41" s="301"/>
      <c r="C41" s="165" t="s">
        <v>573</v>
      </c>
      <c r="D41" s="385">
        <f>SUM(D13:D40)</f>
        <v>102674110</v>
      </c>
      <c r="E41" s="425">
        <f>SUM(E13:E40)</f>
        <v>97850953</v>
      </c>
      <c r="F41" s="424">
        <f>SUM(F13:F40)</f>
        <v>4776757</v>
      </c>
      <c r="G41" s="424">
        <f>SUM(G13:G40)</f>
        <v>46400</v>
      </c>
    </row>
    <row r="42" spans="1:7" ht="15">
      <c r="A42" s="333" t="s">
        <v>583</v>
      </c>
      <c r="B42" s="330" t="s">
        <v>305</v>
      </c>
      <c r="C42" s="118" t="s">
        <v>306</v>
      </c>
      <c r="D42" s="413">
        <f>SUM(E42:G42)</f>
        <v>5593484</v>
      </c>
      <c r="E42" s="423">
        <f>5490029-73928+103455</f>
        <v>5519556</v>
      </c>
      <c r="F42" s="422">
        <v>73928</v>
      </c>
      <c r="G42" s="421"/>
    </row>
    <row r="43" spans="1:7" ht="15">
      <c r="A43" s="333" t="s">
        <v>582</v>
      </c>
      <c r="B43" s="286" t="s">
        <v>307</v>
      </c>
      <c r="C43" s="118" t="s">
        <v>308</v>
      </c>
      <c r="D43" s="413">
        <f>SUM(E43:G43)</f>
        <v>1111781</v>
      </c>
      <c r="E43" s="420"/>
      <c r="F43" s="419">
        <f>1090001+21780</f>
        <v>1111781</v>
      </c>
      <c r="G43" s="418"/>
    </row>
    <row r="44" spans="1:7" ht="15">
      <c r="A44" s="333" t="s">
        <v>581</v>
      </c>
      <c r="B44" s="286" t="s">
        <v>363</v>
      </c>
      <c r="C44" s="314" t="s">
        <v>456</v>
      </c>
      <c r="D44" s="413">
        <f>SUM(E44:G44)</f>
        <v>1570406</v>
      </c>
      <c r="E44" s="417"/>
      <c r="F44" s="416">
        <f>1559516+10890</f>
        <v>1570406</v>
      </c>
      <c r="G44" s="415"/>
    </row>
    <row r="45" spans="1:7" ht="15.75" thickBot="1">
      <c r="A45" s="333" t="s">
        <v>580</v>
      </c>
      <c r="B45" s="287" t="s">
        <v>226</v>
      </c>
      <c r="C45" s="414" t="s">
        <v>362</v>
      </c>
      <c r="D45" s="413">
        <f>SUM(E45:G45)</f>
        <v>3304237</v>
      </c>
      <c r="E45" s="412">
        <f>3219734+45375</f>
        <v>3265109</v>
      </c>
      <c r="F45" s="411">
        <v>39128</v>
      </c>
      <c r="G45" s="410"/>
    </row>
    <row r="46" spans="1:7" ht="15" thickBot="1">
      <c r="A46" s="333" t="s">
        <v>579</v>
      </c>
      <c r="B46" s="399"/>
      <c r="C46" s="315" t="s">
        <v>572</v>
      </c>
      <c r="D46" s="374">
        <f>SUM(D42:D45)</f>
        <v>11579908</v>
      </c>
      <c r="E46" s="374">
        <f>SUM(E42:E45)</f>
        <v>8784665</v>
      </c>
      <c r="F46" s="374">
        <f>SUM(F42:F45)</f>
        <v>2795243</v>
      </c>
      <c r="G46" s="374"/>
    </row>
    <row r="47" spans="1:7" ht="15" thickBot="1">
      <c r="A47" s="333" t="s">
        <v>578</v>
      </c>
      <c r="B47" s="399"/>
      <c r="C47" s="315" t="s">
        <v>571</v>
      </c>
      <c r="D47" s="374">
        <f>D41+D46</f>
        <v>114254018</v>
      </c>
      <c r="E47" s="374">
        <f>E41+E46</f>
        <v>106635618</v>
      </c>
      <c r="F47" s="374">
        <f>F41+F46</f>
        <v>7572000</v>
      </c>
      <c r="G47" s="374"/>
    </row>
    <row r="49" ht="12.75">
      <c r="D49" s="409"/>
    </row>
  </sheetData>
  <sheetProtection/>
  <mergeCells count="13">
    <mergeCell ref="A9:A12"/>
    <mergeCell ref="B9:B12"/>
    <mergeCell ref="C9:C12"/>
    <mergeCell ref="D9:D12"/>
    <mergeCell ref="E9:G9"/>
    <mergeCell ref="E11:G12"/>
    <mergeCell ref="B3:G3"/>
    <mergeCell ref="C5:G5"/>
    <mergeCell ref="A1:G1"/>
    <mergeCell ref="C6:G6"/>
    <mergeCell ref="C7:G7"/>
    <mergeCell ref="B2:G2"/>
    <mergeCell ref="D4:E4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IU3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6" ht="15.75">
      <c r="A1" s="541"/>
      <c r="B1" s="541"/>
      <c r="C1" s="541"/>
      <c r="D1" s="541"/>
      <c r="E1" s="541"/>
      <c r="F1" s="541"/>
    </row>
    <row r="3" spans="1:10" ht="15.75">
      <c r="A3" s="542" t="s">
        <v>588</v>
      </c>
      <c r="B3" s="542"/>
      <c r="C3" s="542"/>
      <c r="D3" s="542"/>
      <c r="E3" s="542"/>
      <c r="F3" s="542"/>
      <c r="G3" s="95"/>
      <c r="H3" s="95"/>
      <c r="I3" s="95"/>
      <c r="J3" s="95"/>
    </row>
    <row r="4" spans="1:6" ht="15">
      <c r="A4" s="617"/>
      <c r="B4" s="617"/>
      <c r="C4" s="617"/>
      <c r="D4" s="617"/>
      <c r="E4" s="617"/>
      <c r="F4" s="617"/>
    </row>
    <row r="5" spans="1:6" ht="15">
      <c r="A5" s="617"/>
      <c r="B5" s="617"/>
      <c r="C5" s="617"/>
      <c r="D5" s="617"/>
      <c r="E5" s="617"/>
      <c r="F5" s="617"/>
    </row>
    <row r="6" spans="3:5" ht="12.75" customHeight="1">
      <c r="C6" s="615" t="s">
        <v>483</v>
      </c>
      <c r="D6" s="616"/>
      <c r="E6" s="616"/>
    </row>
    <row r="7" spans="1:6" s="21" customFormat="1" ht="15.75">
      <c r="A7" s="618" t="s">
        <v>4</v>
      </c>
      <c r="B7" s="618"/>
      <c r="C7" s="618"/>
      <c r="D7" s="618"/>
      <c r="E7" s="618"/>
      <c r="F7" s="618"/>
    </row>
    <row r="8" spans="1:6" s="21" customFormat="1" ht="15.75">
      <c r="A8" s="618" t="s">
        <v>463</v>
      </c>
      <c r="B8" s="618"/>
      <c r="C8" s="618"/>
      <c r="D8" s="618"/>
      <c r="E8" s="618"/>
      <c r="F8" s="618"/>
    </row>
    <row r="9" spans="1:6" ht="15">
      <c r="A9" s="617" t="s">
        <v>507</v>
      </c>
      <c r="B9" s="617"/>
      <c r="C9" s="617"/>
      <c r="D9" s="617"/>
      <c r="E9" s="617"/>
      <c r="F9" s="617"/>
    </row>
    <row r="10" ht="15">
      <c r="F10" s="122" t="s">
        <v>485</v>
      </c>
    </row>
    <row r="11" spans="1:6" ht="15">
      <c r="A11" s="619" t="s">
        <v>0</v>
      </c>
      <c r="B11" s="620"/>
      <c r="C11" s="620"/>
      <c r="D11" s="620"/>
      <c r="E11" s="621"/>
      <c r="F11" s="628" t="s">
        <v>11</v>
      </c>
    </row>
    <row r="12" spans="1:6" ht="15">
      <c r="A12" s="622"/>
      <c r="B12" s="623"/>
      <c r="C12" s="623"/>
      <c r="D12" s="623"/>
      <c r="E12" s="624"/>
      <c r="F12" s="629"/>
    </row>
    <row r="13" spans="1:6" ht="15">
      <c r="A13" s="625"/>
      <c r="B13" s="626"/>
      <c r="C13" s="626"/>
      <c r="D13" s="626"/>
      <c r="E13" s="627"/>
      <c r="F13" s="630"/>
    </row>
    <row r="14" spans="1:6" ht="15">
      <c r="A14" s="13" t="s">
        <v>229</v>
      </c>
      <c r="E14" s="22"/>
      <c r="F14" s="23"/>
    </row>
    <row r="15" spans="1:2" s="13" customFormat="1" ht="15">
      <c r="A15" s="122"/>
      <c r="B15" s="11"/>
    </row>
    <row r="16" spans="1:5" ht="29.25" customHeight="1">
      <c r="A16" s="122"/>
      <c r="B16" s="538" t="s">
        <v>230</v>
      </c>
      <c r="C16" s="538"/>
      <c r="D16" s="538"/>
      <c r="E16" s="538"/>
    </row>
    <row r="17" spans="1:6" ht="33.75" customHeight="1">
      <c r="A17" s="12" t="s">
        <v>45</v>
      </c>
      <c r="B17" s="631" t="s">
        <v>587</v>
      </c>
      <c r="C17" s="632"/>
      <c r="D17" s="632"/>
      <c r="E17" s="632"/>
      <c r="F17" s="435">
        <v>600000</v>
      </c>
    </row>
    <row r="18" spans="1:6" ht="33.75" customHeight="1">
      <c r="A18" s="13"/>
      <c r="B18" s="538" t="s">
        <v>231</v>
      </c>
      <c r="C18" s="538"/>
      <c r="D18" s="538"/>
      <c r="E18" s="538"/>
      <c r="F18" s="353">
        <f>SUM(F17:F17)</f>
        <v>600000</v>
      </c>
    </row>
    <row r="19" ht="13.5" customHeight="1">
      <c r="F19" s="435"/>
    </row>
    <row r="20" spans="1:6" ht="33" customHeight="1">
      <c r="A20" s="13"/>
      <c r="B20" s="538" t="s">
        <v>232</v>
      </c>
      <c r="C20" s="538"/>
      <c r="D20" s="538"/>
      <c r="E20" s="538"/>
      <c r="F20" s="435"/>
    </row>
    <row r="21" spans="1:6" ht="18.75" customHeight="1">
      <c r="A21" s="123" t="s">
        <v>44</v>
      </c>
      <c r="B21" s="15" t="s">
        <v>79</v>
      </c>
      <c r="F21" s="435">
        <v>69700</v>
      </c>
    </row>
    <row r="22" spans="1:6" ht="13.5" customHeight="1">
      <c r="A22" s="12" t="s">
        <v>27</v>
      </c>
      <c r="B22" s="11" t="s">
        <v>28</v>
      </c>
      <c r="F22" s="435">
        <v>209100</v>
      </c>
    </row>
    <row r="23" spans="1:255" ht="15.75">
      <c r="A23" s="12" t="s">
        <v>45</v>
      </c>
      <c r="B23" s="17" t="s">
        <v>25</v>
      </c>
      <c r="C23" s="17"/>
      <c r="D23" s="17"/>
      <c r="E23" s="17"/>
      <c r="F23" s="435">
        <v>40000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</row>
    <row r="24" spans="1:255" ht="15.75">
      <c r="A24" s="12" t="s">
        <v>105</v>
      </c>
      <c r="B24" s="17" t="s">
        <v>26</v>
      </c>
      <c r="C24" s="17"/>
      <c r="D24" s="17"/>
      <c r="E24" s="17"/>
      <c r="F24" s="435">
        <v>40000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</row>
    <row r="25" spans="1:255" ht="15.75">
      <c r="A25" s="12" t="s">
        <v>106</v>
      </c>
      <c r="B25" s="17" t="s">
        <v>47</v>
      </c>
      <c r="C25" s="17"/>
      <c r="D25" s="17"/>
      <c r="E25" s="17"/>
      <c r="F25" s="435">
        <v>40000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ht="15.75">
      <c r="A26" s="12" t="s">
        <v>112</v>
      </c>
      <c r="B26" s="17" t="s">
        <v>48</v>
      </c>
      <c r="C26" s="17"/>
      <c r="D26" s="17"/>
      <c r="E26" s="17"/>
      <c r="F26" s="435">
        <v>75000</v>
      </c>
      <c r="G26" s="5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6" ht="13.5" customHeight="1">
      <c r="A27" s="12" t="s">
        <v>248</v>
      </c>
      <c r="B27" s="17" t="s">
        <v>80</v>
      </c>
      <c r="F27" s="435">
        <v>600000</v>
      </c>
    </row>
    <row r="28" spans="1:6" ht="13.5" customHeight="1">
      <c r="A28" s="17"/>
      <c r="F28" s="435"/>
    </row>
    <row r="29" spans="1:8" ht="32.25" customHeight="1">
      <c r="A29" s="13"/>
      <c r="B29" s="538" t="s">
        <v>233</v>
      </c>
      <c r="C29" s="538"/>
      <c r="D29" s="538"/>
      <c r="E29" s="538"/>
      <c r="F29" s="353">
        <f>SUM(F21:F28)</f>
        <v>1073800</v>
      </c>
      <c r="G29" s="16"/>
      <c r="H29" s="16"/>
    </row>
    <row r="30" spans="1:8" ht="12.75" customHeight="1">
      <c r="A30" s="13"/>
      <c r="F30" s="435"/>
      <c r="G30" s="16"/>
      <c r="H30" s="16"/>
    </row>
    <row r="31" spans="1:7" s="18" customFormat="1" ht="15.75">
      <c r="A31" s="13" t="s">
        <v>234</v>
      </c>
      <c r="F31" s="353">
        <f>F29+F18</f>
        <v>1673800</v>
      </c>
      <c r="G31" s="19"/>
    </row>
    <row r="32" spans="1:7" s="18" customFormat="1" ht="15.75">
      <c r="A32" s="13"/>
      <c r="F32" s="353"/>
      <c r="G32" s="19"/>
    </row>
    <row r="33" spans="6:7" s="18" customFormat="1" ht="15.75">
      <c r="F33" s="435"/>
      <c r="G33" s="19"/>
    </row>
    <row r="34" spans="1:6" s="20" customFormat="1" ht="18.75">
      <c r="A34" s="20" t="s">
        <v>7</v>
      </c>
      <c r="F34" s="373">
        <f>F31</f>
        <v>1673800</v>
      </c>
    </row>
  </sheetData>
  <sheetProtection/>
  <mergeCells count="15">
    <mergeCell ref="A9:F9"/>
    <mergeCell ref="A8:F8"/>
    <mergeCell ref="B20:E20"/>
    <mergeCell ref="B29:E29"/>
    <mergeCell ref="A11:E13"/>
    <mergeCell ref="B16:E16"/>
    <mergeCell ref="B18:E18"/>
    <mergeCell ref="F11:F13"/>
    <mergeCell ref="B17:E17"/>
    <mergeCell ref="A1:F1"/>
    <mergeCell ref="C6:E6"/>
    <mergeCell ref="A3:F3"/>
    <mergeCell ref="A4:F4"/>
    <mergeCell ref="A5:F5"/>
    <mergeCell ref="A7:F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F39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4.125" style="37" customWidth="1"/>
    <col min="2" max="2" width="67.875" style="37" customWidth="1"/>
    <col min="3" max="3" width="18.00390625" style="37" customWidth="1"/>
    <col min="4" max="16384" width="9.125" style="37" customWidth="1"/>
  </cols>
  <sheetData>
    <row r="1" spans="2:4" ht="15.75">
      <c r="B1" s="541"/>
      <c r="C1" s="541"/>
      <c r="D1" s="95"/>
    </row>
    <row r="2" spans="2:4" ht="15.75">
      <c r="B2" s="347"/>
      <c r="C2" s="347"/>
      <c r="D2" s="95"/>
    </row>
    <row r="3" spans="1:4" ht="15.75">
      <c r="A3" s="542" t="s">
        <v>591</v>
      </c>
      <c r="B3" s="542"/>
      <c r="C3" s="96"/>
      <c r="D3" s="95"/>
    </row>
    <row r="4" spans="2:3" ht="15.75" customHeight="1">
      <c r="B4" s="633"/>
      <c r="C4" s="633"/>
    </row>
    <row r="5" spans="1:3" ht="15">
      <c r="A5" s="633" t="s">
        <v>483</v>
      </c>
      <c r="B5" s="638"/>
      <c r="C5" s="638"/>
    </row>
    <row r="6" spans="2:3" s="14" customFormat="1" ht="15.75" customHeight="1">
      <c r="B6" s="634" t="s">
        <v>39</v>
      </c>
      <c r="C6" s="634"/>
    </row>
    <row r="7" spans="2:6" s="21" customFormat="1" ht="15.75">
      <c r="B7" s="618" t="s">
        <v>40</v>
      </c>
      <c r="C7" s="618"/>
      <c r="D7" s="49"/>
      <c r="E7" s="49"/>
      <c r="F7" s="49"/>
    </row>
    <row r="8" spans="2:6" s="11" customFormat="1" ht="15">
      <c r="B8" s="617" t="s">
        <v>508</v>
      </c>
      <c r="C8" s="617"/>
      <c r="D8" s="48"/>
      <c r="E8" s="48"/>
      <c r="F8" s="48"/>
    </row>
    <row r="9" ht="15.75" customHeight="1" thickBot="1">
      <c r="C9" s="38"/>
    </row>
    <row r="10" spans="1:3" ht="15" customHeight="1">
      <c r="A10" s="635" t="s">
        <v>491</v>
      </c>
      <c r="B10" s="39"/>
      <c r="C10" s="40" t="s">
        <v>19</v>
      </c>
    </row>
    <row r="11" spans="1:3" ht="15.75" customHeight="1">
      <c r="A11" s="636"/>
      <c r="B11" s="41" t="s">
        <v>0</v>
      </c>
      <c r="C11" s="42"/>
    </row>
    <row r="12" spans="1:3" ht="15.75" thickBot="1">
      <c r="A12" s="637"/>
      <c r="B12" s="43"/>
      <c r="C12" s="44" t="s">
        <v>10</v>
      </c>
    </row>
    <row r="13" ht="11.25" customHeight="1"/>
    <row r="14" ht="11.25" customHeight="1">
      <c r="C14" s="435"/>
    </row>
    <row r="15" spans="1:3" ht="15">
      <c r="A15" s="37" t="s">
        <v>44</v>
      </c>
      <c r="B15" s="45" t="s">
        <v>29</v>
      </c>
      <c r="C15" s="435"/>
    </row>
    <row r="16" spans="2:3" ht="15">
      <c r="B16" s="45" t="s">
        <v>9</v>
      </c>
      <c r="C16" s="435"/>
    </row>
    <row r="17" ht="15" customHeight="1">
      <c r="C17" s="435"/>
    </row>
    <row r="18" spans="1:3" ht="15">
      <c r="A18" s="334" t="s">
        <v>27</v>
      </c>
      <c r="B18" s="37" t="s">
        <v>81</v>
      </c>
      <c r="C18" s="435">
        <v>350000</v>
      </c>
    </row>
    <row r="19" spans="1:3" ht="30">
      <c r="A19" s="334" t="s">
        <v>45</v>
      </c>
      <c r="B19" s="154" t="s">
        <v>365</v>
      </c>
      <c r="C19" s="435">
        <v>300000</v>
      </c>
    </row>
    <row r="20" spans="1:3" ht="15">
      <c r="A20" s="334" t="s">
        <v>105</v>
      </c>
      <c r="B20" s="154" t="s">
        <v>366</v>
      </c>
      <c r="C20" s="435">
        <v>715000</v>
      </c>
    </row>
    <row r="21" spans="1:3" ht="15">
      <c r="A21" s="334" t="s">
        <v>106</v>
      </c>
      <c r="B21" s="154" t="s">
        <v>367</v>
      </c>
      <c r="C21" s="435">
        <v>440000</v>
      </c>
    </row>
    <row r="22" spans="1:3" ht="30">
      <c r="A22" s="334" t="s">
        <v>112</v>
      </c>
      <c r="B22" s="154" t="s">
        <v>368</v>
      </c>
      <c r="C22" s="435">
        <v>46400</v>
      </c>
    </row>
    <row r="23" spans="1:3" ht="15">
      <c r="A23" s="334" t="s">
        <v>248</v>
      </c>
      <c r="B23" s="37" t="s">
        <v>85</v>
      </c>
      <c r="C23" s="435">
        <v>210000</v>
      </c>
    </row>
    <row r="24" spans="1:3" ht="14.25" customHeight="1">
      <c r="A24" s="334" t="s">
        <v>250</v>
      </c>
      <c r="B24" s="37" t="s">
        <v>465</v>
      </c>
      <c r="C24" s="435">
        <v>1000000</v>
      </c>
    </row>
    <row r="25" spans="1:3" ht="15">
      <c r="A25" s="334" t="s">
        <v>252</v>
      </c>
      <c r="B25" s="45" t="s">
        <v>29</v>
      </c>
      <c r="C25" s="435"/>
    </row>
    <row r="26" spans="1:3" ht="15">
      <c r="A26" s="334"/>
      <c r="B26" s="45" t="s">
        <v>30</v>
      </c>
      <c r="C26" s="353">
        <f>SUM(C18:C25)</f>
        <v>3061400</v>
      </c>
    </row>
    <row r="27" spans="1:3" ht="11.25" customHeight="1">
      <c r="A27" s="334"/>
      <c r="C27" s="435"/>
    </row>
    <row r="28" spans="1:3" ht="15">
      <c r="A28" s="334" t="s">
        <v>259</v>
      </c>
      <c r="B28" s="45" t="s">
        <v>31</v>
      </c>
      <c r="C28" s="353">
        <f>C26</f>
        <v>3061400</v>
      </c>
    </row>
    <row r="29" spans="1:3" ht="15">
      <c r="A29" s="334"/>
      <c r="B29" s="45"/>
      <c r="C29" s="353"/>
    </row>
    <row r="30" spans="1:5" ht="13.5" customHeight="1">
      <c r="A30" s="334" t="s">
        <v>261</v>
      </c>
      <c r="B30" s="14" t="s">
        <v>562</v>
      </c>
      <c r="C30" s="353">
        <v>50000</v>
      </c>
      <c r="D30" s="11"/>
      <c r="E30" s="435"/>
    </row>
    <row r="31" spans="1:5" ht="13.5" customHeight="1">
      <c r="A31" s="334"/>
      <c r="B31" s="14"/>
      <c r="C31" s="14"/>
      <c r="D31" s="11"/>
      <c r="E31" s="435"/>
    </row>
    <row r="32" spans="1:3" s="45" customFormat="1" ht="14.25">
      <c r="A32" s="335" t="s">
        <v>263</v>
      </c>
      <c r="B32" s="45" t="s">
        <v>289</v>
      </c>
      <c r="C32" s="353"/>
    </row>
    <row r="33" spans="1:3" ht="11.25" customHeight="1">
      <c r="A33" s="334"/>
      <c r="C33" s="435"/>
    </row>
    <row r="34" spans="1:3" ht="30" customHeight="1">
      <c r="A34" s="334" t="s">
        <v>268</v>
      </c>
      <c r="B34" s="154" t="s">
        <v>290</v>
      </c>
      <c r="C34" s="435">
        <f>1200000-840000</f>
        <v>360000</v>
      </c>
    </row>
    <row r="35" spans="1:3" ht="39" customHeight="1">
      <c r="A35" s="334" t="s">
        <v>590</v>
      </c>
      <c r="B35" s="154" t="s">
        <v>589</v>
      </c>
      <c r="C35" s="435">
        <v>840000</v>
      </c>
    </row>
    <row r="36" spans="1:3" ht="15">
      <c r="A36" s="334" t="s">
        <v>272</v>
      </c>
      <c r="B36" s="45" t="s">
        <v>291</v>
      </c>
      <c r="C36" s="353">
        <f>C34+C35</f>
        <v>1200000</v>
      </c>
    </row>
    <row r="37" spans="1:3" ht="11.25" customHeight="1">
      <c r="A37" s="334"/>
      <c r="C37" s="435"/>
    </row>
    <row r="38" spans="1:3" s="47" customFormat="1" ht="16.5">
      <c r="A38" s="334" t="s">
        <v>279</v>
      </c>
      <c r="B38" s="46" t="s">
        <v>32</v>
      </c>
      <c r="C38" s="437"/>
    </row>
    <row r="39" spans="1:3" s="47" customFormat="1" ht="16.5">
      <c r="A39" s="336"/>
      <c r="B39" s="46" t="s">
        <v>33</v>
      </c>
      <c r="C39" s="436">
        <f>C28+C36+C30</f>
        <v>4311400</v>
      </c>
    </row>
  </sheetData>
  <sheetProtection/>
  <mergeCells count="8">
    <mergeCell ref="B8:C8"/>
    <mergeCell ref="B7:C7"/>
    <mergeCell ref="B4:C4"/>
    <mergeCell ref="B6:C6"/>
    <mergeCell ref="B1:C1"/>
    <mergeCell ref="A10:A12"/>
    <mergeCell ref="A3:B3"/>
    <mergeCell ref="A5:C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E42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.125" style="15" customWidth="1"/>
    <col min="2" max="2" width="70.375" style="15" customWidth="1"/>
    <col min="3" max="3" width="20.00390625" style="15" customWidth="1"/>
    <col min="4" max="16384" width="9.125" style="15" customWidth="1"/>
  </cols>
  <sheetData>
    <row r="1" spans="2:5" s="166" customFormat="1" ht="15.75">
      <c r="B1" s="541" t="s">
        <v>509</v>
      </c>
      <c r="C1" s="541"/>
      <c r="D1" s="127"/>
      <c r="E1" s="324"/>
    </row>
    <row r="2" spans="2:5" s="166" customFormat="1" ht="15.75">
      <c r="B2" s="639" t="s">
        <v>483</v>
      </c>
      <c r="C2" s="639"/>
      <c r="D2" s="127"/>
      <c r="E2" s="324"/>
    </row>
    <row r="4" spans="2:5" s="168" customFormat="1" ht="18.75">
      <c r="B4" s="167" t="s">
        <v>316</v>
      </c>
      <c r="C4" s="167"/>
      <c r="D4" s="15"/>
      <c r="E4" s="15"/>
    </row>
    <row r="5" spans="2:5" s="168" customFormat="1" ht="18.75">
      <c r="B5" s="522" t="s">
        <v>317</v>
      </c>
      <c r="C5" s="522"/>
      <c r="D5" s="15"/>
      <c r="E5" s="15"/>
    </row>
    <row r="6" spans="2:5" s="168" customFormat="1" ht="18.75">
      <c r="B6" s="522" t="s">
        <v>484</v>
      </c>
      <c r="C6" s="522"/>
      <c r="D6" s="15"/>
      <c r="E6" s="15"/>
    </row>
    <row r="7" ht="16.5" thickBot="1"/>
    <row r="8" spans="1:3" ht="15.75">
      <c r="A8" s="640" t="s">
        <v>491</v>
      </c>
      <c r="B8" s="169"/>
      <c r="C8" s="170" t="s">
        <v>10</v>
      </c>
    </row>
    <row r="9" spans="1:3" ht="15.75">
      <c r="A9" s="641"/>
      <c r="B9" s="171" t="s">
        <v>318</v>
      </c>
      <c r="C9" s="171"/>
    </row>
    <row r="10" spans="1:3" ht="16.5" thickBot="1">
      <c r="A10" s="642"/>
      <c r="B10" s="172"/>
      <c r="C10" s="173" t="s">
        <v>552</v>
      </c>
    </row>
    <row r="11" spans="2:3" ht="15.75">
      <c r="B11" s="174"/>
      <c r="C11" s="175"/>
    </row>
    <row r="12" spans="1:3" ht="31.5" customHeight="1">
      <c r="A12" s="337" t="s">
        <v>44</v>
      </c>
      <c r="B12" s="325" t="s">
        <v>553</v>
      </c>
      <c r="C12" s="175"/>
    </row>
    <row r="13" spans="1:3" ht="18" customHeight="1">
      <c r="A13" s="337" t="s">
        <v>520</v>
      </c>
      <c r="B13" s="178" t="s">
        <v>466</v>
      </c>
      <c r="C13" s="177">
        <v>80000</v>
      </c>
    </row>
    <row r="14" spans="1:3" ht="18" customHeight="1">
      <c r="A14" s="337"/>
      <c r="B14" s="178" t="s">
        <v>319</v>
      </c>
      <c r="C14" s="261">
        <v>21600</v>
      </c>
    </row>
    <row r="15" spans="1:3" ht="18" customHeight="1">
      <c r="A15" s="337"/>
      <c r="B15" s="174" t="s">
        <v>2</v>
      </c>
      <c r="C15" s="179">
        <f>SUM(C13:C14)</f>
        <v>101600</v>
      </c>
    </row>
    <row r="16" spans="1:3" ht="18" customHeight="1">
      <c r="A16" s="337"/>
      <c r="B16" s="174"/>
      <c r="C16" s="179"/>
    </row>
    <row r="17" spans="1:3" ht="18" customHeight="1">
      <c r="A17" s="337" t="s">
        <v>27</v>
      </c>
      <c r="B17" s="326" t="s">
        <v>471</v>
      </c>
      <c r="C17" s="179"/>
    </row>
    <row r="18" spans="1:3" ht="18" customHeight="1">
      <c r="A18" s="337" t="s">
        <v>559</v>
      </c>
      <c r="B18" s="178" t="s">
        <v>472</v>
      </c>
      <c r="C18" s="177">
        <v>141700</v>
      </c>
    </row>
    <row r="19" spans="1:3" ht="18" customHeight="1">
      <c r="A19" s="337"/>
      <c r="B19" s="178" t="s">
        <v>319</v>
      </c>
      <c r="C19" s="264">
        <v>38259</v>
      </c>
    </row>
    <row r="20" spans="1:3" ht="18" customHeight="1">
      <c r="A20" s="337"/>
      <c r="B20" s="174" t="s">
        <v>2</v>
      </c>
      <c r="C20" s="179">
        <f>SUM(C18:C19)</f>
        <v>179959</v>
      </c>
    </row>
    <row r="21" spans="1:3" ht="18" customHeight="1">
      <c r="A21" s="337"/>
      <c r="B21" s="174"/>
      <c r="C21" s="179"/>
    </row>
    <row r="22" spans="1:3" ht="18" customHeight="1">
      <c r="A22" s="337" t="s">
        <v>45</v>
      </c>
      <c r="B22" s="326" t="s">
        <v>467</v>
      </c>
      <c r="C22" s="175"/>
    </row>
    <row r="23" spans="1:3" ht="18" customHeight="1">
      <c r="A23" s="337" t="s">
        <v>532</v>
      </c>
      <c r="B23" s="327" t="s">
        <v>554</v>
      </c>
      <c r="C23" s="260">
        <v>40800</v>
      </c>
    </row>
    <row r="24" spans="1:3" ht="18" customHeight="1">
      <c r="A24" s="337"/>
      <c r="B24" s="178" t="s">
        <v>319</v>
      </c>
      <c r="C24" s="261">
        <v>11016</v>
      </c>
    </row>
    <row r="25" spans="1:3" ht="18" customHeight="1">
      <c r="A25" s="337"/>
      <c r="B25" s="174" t="s">
        <v>2</v>
      </c>
      <c r="C25" s="179">
        <f>SUM(C23:C24)</f>
        <v>51816</v>
      </c>
    </row>
    <row r="26" spans="1:3" ht="18" customHeight="1">
      <c r="A26" s="337"/>
      <c r="B26" s="174"/>
      <c r="C26" s="179"/>
    </row>
    <row r="27" spans="1:3" ht="18" customHeight="1">
      <c r="A27" s="337" t="s">
        <v>105</v>
      </c>
      <c r="B27" s="326" t="s">
        <v>468</v>
      </c>
      <c r="C27" s="179"/>
    </row>
    <row r="28" spans="1:3" ht="18" customHeight="1">
      <c r="A28" s="337" t="s">
        <v>540</v>
      </c>
      <c r="B28" s="327" t="s">
        <v>554</v>
      </c>
      <c r="C28" s="262">
        <v>7200</v>
      </c>
    </row>
    <row r="29" spans="1:3" ht="18" customHeight="1">
      <c r="A29" s="337"/>
      <c r="B29" s="178" t="s">
        <v>319</v>
      </c>
      <c r="C29" s="263">
        <v>1944</v>
      </c>
    </row>
    <row r="30" spans="1:3" ht="18" customHeight="1">
      <c r="A30" s="337"/>
      <c r="B30" s="174" t="s">
        <v>2</v>
      </c>
      <c r="C30" s="179">
        <f>SUM(C28:C29)</f>
        <v>9144</v>
      </c>
    </row>
    <row r="31" spans="1:3" ht="18" customHeight="1">
      <c r="A31" s="337"/>
      <c r="B31" s="174"/>
      <c r="C31" s="179"/>
    </row>
    <row r="32" spans="1:3" ht="18" customHeight="1">
      <c r="A32" s="337" t="s">
        <v>106</v>
      </c>
      <c r="B32" s="326" t="s">
        <v>469</v>
      </c>
      <c r="C32" s="179"/>
    </row>
    <row r="33" spans="1:3" ht="18" customHeight="1">
      <c r="A33" s="337" t="s">
        <v>560</v>
      </c>
      <c r="B33" s="327" t="s">
        <v>554</v>
      </c>
      <c r="C33" s="262">
        <v>10400</v>
      </c>
    </row>
    <row r="34" spans="1:3" ht="18" customHeight="1">
      <c r="A34" s="337"/>
      <c r="B34" s="178" t="s">
        <v>319</v>
      </c>
      <c r="C34" s="263">
        <v>2808</v>
      </c>
    </row>
    <row r="35" spans="1:3" ht="18" customHeight="1">
      <c r="A35" s="337"/>
      <c r="B35" s="174" t="s">
        <v>2</v>
      </c>
      <c r="C35" s="179">
        <f>SUM(C33:C34)</f>
        <v>13208</v>
      </c>
    </row>
    <row r="36" spans="1:3" ht="18" customHeight="1">
      <c r="A36" s="337"/>
      <c r="B36" s="174"/>
      <c r="C36" s="179"/>
    </row>
    <row r="37" spans="1:3" ht="18" customHeight="1">
      <c r="A37" s="337" t="s">
        <v>112</v>
      </c>
      <c r="B37" s="328" t="s">
        <v>470</v>
      </c>
      <c r="C37" s="179"/>
    </row>
    <row r="38" spans="1:3" ht="18" customHeight="1">
      <c r="A38" s="337" t="s">
        <v>561</v>
      </c>
      <c r="B38" s="327" t="s">
        <v>554</v>
      </c>
      <c r="C38" s="262">
        <v>21000</v>
      </c>
    </row>
    <row r="39" spans="1:3" ht="18" customHeight="1">
      <c r="A39" s="337"/>
      <c r="B39" s="178" t="s">
        <v>319</v>
      </c>
      <c r="C39" s="263">
        <v>5670</v>
      </c>
    </row>
    <row r="40" spans="1:3" ht="18" customHeight="1">
      <c r="A40" s="337"/>
      <c r="B40" s="174" t="s">
        <v>2</v>
      </c>
      <c r="C40" s="179">
        <f>SUM(C38:C39)</f>
        <v>26670</v>
      </c>
    </row>
    <row r="41" spans="1:3" ht="18" customHeight="1">
      <c r="A41" s="337"/>
      <c r="B41" s="174"/>
      <c r="C41" s="176"/>
    </row>
    <row r="42" spans="1:3" ht="18" customHeight="1">
      <c r="A42" s="337" t="s">
        <v>248</v>
      </c>
      <c r="B42" s="174" t="s">
        <v>320</v>
      </c>
      <c r="C42" s="179">
        <f>C15+C20+C25+C30+C35+C40</f>
        <v>382397</v>
      </c>
    </row>
  </sheetData>
  <sheetProtection/>
  <mergeCells count="5">
    <mergeCell ref="B5:C5"/>
    <mergeCell ref="B6:C6"/>
    <mergeCell ref="B2:C2"/>
    <mergeCell ref="B1:C1"/>
    <mergeCell ref="A8:A10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2017-02-10T10:45:04Z</cp:lastPrinted>
  <dcterms:created xsi:type="dcterms:W3CDTF">2002-11-26T17:22:50Z</dcterms:created>
  <dcterms:modified xsi:type="dcterms:W3CDTF">2017-07-06T06:07:41Z</dcterms:modified>
  <cp:category/>
  <cp:version/>
  <cp:contentType/>
  <cp:contentStatus/>
</cp:coreProperties>
</file>